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CO2 Coalition\Publications\White Papers\"/>
    </mc:Choice>
  </mc:AlternateContent>
  <xr:revisionPtr revIDLastSave="0" documentId="8_{EA90EABB-77BF-4203-9882-C81776E4D2A4}" xr6:coauthVersionLast="47" xr6:coauthVersionMax="47" xr10:uidLastSave="{00000000-0000-0000-0000-000000000000}"/>
  <bookViews>
    <workbookView xWindow="-96" yWindow="-96" windowWidth="23232" windowHeight="13992" tabRatio="558" xr2:uid="{00000000-000D-0000-FFFF-FFFF00000000}"/>
  </bookViews>
  <sheets>
    <sheet name="Cover" sheetId="72" r:id="rId1"/>
    <sheet name="Summary" sheetId="57" r:id="rId2"/>
    <sheet name="Assumptions" sheetId="5" r:id="rId3"/>
    <sheet name="Gasoline" sheetId="1" r:id="rId4"/>
    <sheet name="State gasoline" sheetId="25" r:id="rId5"/>
    <sheet name="Diesel" sheetId="2" r:id="rId6"/>
    <sheet name="State diesel" sheetId="29" r:id="rId7"/>
    <sheet name="Res dist" sheetId="11" r:id="rId8"/>
    <sheet name="State Res Dist" sheetId="30" r:id="rId9"/>
    <sheet name="Com dist" sheetId="41" r:id="rId10"/>
    <sheet name="State Com Dist" sheetId="43" r:id="rId11"/>
    <sheet name="Ind dist" sheetId="13" r:id="rId12"/>
    <sheet name="State Ind Dist" sheetId="64" r:id="rId13"/>
    <sheet name="LPG transport" sheetId="14" r:id="rId14"/>
    <sheet name="State LPG-Transport" sheetId="32" r:id="rId15"/>
    <sheet name="LPG Res" sheetId="15" r:id="rId16"/>
    <sheet name="State LPG - Res" sheetId="33" r:id="rId17"/>
    <sheet name="LPG Comm" sheetId="45" r:id="rId18"/>
    <sheet name="State LPG - Comm" sheetId="52" r:id="rId19"/>
    <sheet name="LPG Ind" sheetId="16" r:id="rId20"/>
    <sheet name="State LPG - Ind" sheetId="66" r:id="rId21"/>
    <sheet name="Jet" sheetId="12" r:id="rId22"/>
    <sheet name="State Jet" sheetId="31" r:id="rId23"/>
    <sheet name="Kero-Res" sheetId="18" r:id="rId24"/>
    <sheet name="State kero - Res" sheetId="69" r:id="rId25"/>
    <sheet name="Kero-Comm" sheetId="58" r:id="rId26"/>
    <sheet name="Kero Ind" sheetId="42" r:id="rId27"/>
    <sheet name="HFO" sheetId="19" r:id="rId28"/>
    <sheet name="Other petroleum products" sheetId="59" r:id="rId29"/>
    <sheet name="Crude" sheetId="20" r:id="rId30"/>
    <sheet name="State Sev Tax" sheetId="54" r:id="rId31"/>
    <sheet name="Coal" sheetId="10" r:id="rId32"/>
    <sheet name="State Coal Cons" sheetId="67" r:id="rId33"/>
    <sheet name="NG transport" sheetId="70" r:id="rId34"/>
    <sheet name="NG Res" sheetId="21" r:id="rId35"/>
    <sheet name="State NG Res" sheetId="49" r:id="rId36"/>
    <sheet name="NG Comm" sheetId="7" r:id="rId37"/>
    <sheet name="State NG Comm" sheetId="50" r:id="rId38"/>
    <sheet name="NG Ind" sheetId="22" r:id="rId39"/>
    <sheet name="State NG Ind" sheetId="71" r:id="rId40"/>
    <sheet name="Electricity - Res" sheetId="23" r:id="rId41"/>
    <sheet name="State Elec Res" sheetId="38" r:id="rId42"/>
    <sheet name="Electricity-Com" sheetId="51" r:id="rId43"/>
    <sheet name="State Elec Comm" sheetId="55" r:id="rId44"/>
    <sheet name="Electricity - Ind" sheetId="24" r:id="rId45"/>
    <sheet name="State Elec Ind" sheetId="56" r:id="rId46"/>
    <sheet name="OECD gasoline subsidies" sheetId="35" r:id="rId47"/>
    <sheet name="OECD distillate subsidies" sheetId="36" r:id="rId48"/>
    <sheet name="OECD LPG subsidies" sheetId="44" r:id="rId49"/>
    <sheet name="OECD Jet subsidies" sheetId="61" r:id="rId50"/>
    <sheet name="OECD other kero subsidies" sheetId="62" r:id="rId51"/>
    <sheet name="OECD HFO subsidies" sheetId="46" r:id="rId52"/>
    <sheet name="OECD Other oil subsidies" sheetId="63" r:id="rId53"/>
    <sheet name="OECD crude subsidies" sheetId="47" r:id="rId54"/>
    <sheet name="OECD coal subsidies" sheetId="37" r:id="rId55"/>
    <sheet name="OECD NG subsidies" sheetId="34" r:id="rId56"/>
    <sheet name="OECD electricity subsidies" sheetId="40" r:id="rId57"/>
    <sheet name="Oil Prod subsidies" sheetId="60" r:id="rId5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5" l="1"/>
  <c r="C5" i="5"/>
  <c r="D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8" i="1"/>
  <c r="D29" i="1"/>
  <c r="D30" i="1"/>
  <c r="D31" i="1"/>
  <c r="D32" i="1"/>
  <c r="D33" i="1"/>
  <c r="D34" i="1"/>
  <c r="D36" i="1"/>
  <c r="D37" i="1"/>
  <c r="D38" i="1"/>
  <c r="D39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J4" i="25"/>
  <c r="P4" i="25"/>
  <c r="N4" i="25"/>
  <c r="T4" i="25"/>
  <c r="C5" i="25"/>
  <c r="J5" i="25"/>
  <c r="P5" i="25"/>
  <c r="N5" i="25"/>
  <c r="T5" i="25"/>
  <c r="C6" i="25"/>
  <c r="J6" i="25"/>
  <c r="P6" i="25"/>
  <c r="N6" i="25"/>
  <c r="T6" i="25"/>
  <c r="C7" i="25"/>
  <c r="J7" i="25"/>
  <c r="P7" i="25"/>
  <c r="N7" i="25"/>
  <c r="T7" i="25"/>
  <c r="C8" i="25"/>
  <c r="J8" i="25"/>
  <c r="P8" i="25"/>
  <c r="N8" i="25"/>
  <c r="T8" i="25"/>
  <c r="C9" i="25"/>
  <c r="J9" i="25"/>
  <c r="P9" i="25"/>
  <c r="N9" i="25"/>
  <c r="T9" i="25"/>
  <c r="C10" i="25"/>
  <c r="J10" i="25"/>
  <c r="P10" i="25"/>
  <c r="N10" i="25"/>
  <c r="T10" i="25"/>
  <c r="C11" i="25"/>
  <c r="J11" i="25"/>
  <c r="P11" i="25"/>
  <c r="N11" i="25"/>
  <c r="T11" i="25"/>
  <c r="C12" i="25"/>
  <c r="J12" i="25"/>
  <c r="P12" i="25"/>
  <c r="N12" i="25"/>
  <c r="T12" i="25"/>
  <c r="C13" i="25"/>
  <c r="J13" i="25"/>
  <c r="P13" i="25"/>
  <c r="N13" i="25"/>
  <c r="T13" i="25"/>
  <c r="C14" i="25"/>
  <c r="J14" i="25"/>
  <c r="P14" i="25"/>
  <c r="N14" i="25"/>
  <c r="T14" i="25"/>
  <c r="C15" i="25"/>
  <c r="J15" i="25"/>
  <c r="P15" i="25"/>
  <c r="N15" i="25"/>
  <c r="T15" i="25"/>
  <c r="C16" i="25"/>
  <c r="J16" i="25"/>
  <c r="P16" i="25"/>
  <c r="N16" i="25"/>
  <c r="T16" i="25"/>
  <c r="C17" i="25"/>
  <c r="J17" i="25"/>
  <c r="P17" i="25"/>
  <c r="N17" i="25"/>
  <c r="T17" i="25"/>
  <c r="C18" i="25"/>
  <c r="J18" i="25"/>
  <c r="P18" i="25"/>
  <c r="N18" i="25"/>
  <c r="T18" i="25"/>
  <c r="C19" i="25"/>
  <c r="J19" i="25"/>
  <c r="P19" i="25"/>
  <c r="N19" i="25"/>
  <c r="T19" i="25"/>
  <c r="C20" i="25"/>
  <c r="J20" i="25"/>
  <c r="P20" i="25"/>
  <c r="N20" i="25"/>
  <c r="T20" i="25"/>
  <c r="C21" i="25"/>
  <c r="J21" i="25"/>
  <c r="P21" i="25"/>
  <c r="N21" i="25"/>
  <c r="T21" i="25"/>
  <c r="C22" i="25"/>
  <c r="J22" i="25"/>
  <c r="P22" i="25"/>
  <c r="N22" i="25"/>
  <c r="T22" i="25"/>
  <c r="C23" i="25"/>
  <c r="J23" i="25"/>
  <c r="P23" i="25"/>
  <c r="N23" i="25"/>
  <c r="T23" i="25"/>
  <c r="C24" i="25"/>
  <c r="J24" i="25"/>
  <c r="P24" i="25"/>
  <c r="N24" i="25"/>
  <c r="T24" i="25"/>
  <c r="C25" i="25"/>
  <c r="J25" i="25"/>
  <c r="P25" i="25"/>
  <c r="N25" i="25"/>
  <c r="T25" i="25"/>
  <c r="C26" i="25"/>
  <c r="J26" i="25"/>
  <c r="P26" i="25"/>
  <c r="N26" i="25"/>
  <c r="T26" i="25"/>
  <c r="C27" i="25"/>
  <c r="J27" i="25"/>
  <c r="P27" i="25"/>
  <c r="N27" i="25"/>
  <c r="T27" i="25"/>
  <c r="C28" i="25"/>
  <c r="J28" i="25"/>
  <c r="P28" i="25"/>
  <c r="N28" i="25"/>
  <c r="T28" i="25"/>
  <c r="C29" i="25"/>
  <c r="J29" i="25"/>
  <c r="P29" i="25"/>
  <c r="N29" i="25"/>
  <c r="T29" i="25"/>
  <c r="C30" i="25"/>
  <c r="J30" i="25"/>
  <c r="P30" i="25"/>
  <c r="N30" i="25"/>
  <c r="T30" i="25"/>
  <c r="C31" i="25"/>
  <c r="J31" i="25"/>
  <c r="P31" i="25"/>
  <c r="N31" i="25"/>
  <c r="T31" i="25"/>
  <c r="C32" i="25"/>
  <c r="J32" i="25"/>
  <c r="P32" i="25"/>
  <c r="N32" i="25"/>
  <c r="T32" i="25"/>
  <c r="C33" i="25"/>
  <c r="J33" i="25"/>
  <c r="P33" i="25"/>
  <c r="N33" i="25"/>
  <c r="T33" i="25"/>
  <c r="C34" i="25"/>
  <c r="J34" i="25"/>
  <c r="P34" i="25"/>
  <c r="N34" i="25"/>
  <c r="T34" i="25"/>
  <c r="C35" i="25"/>
  <c r="J35" i="25"/>
  <c r="P35" i="25"/>
  <c r="N35" i="25"/>
  <c r="T35" i="25"/>
  <c r="C36" i="25"/>
  <c r="J36" i="25"/>
  <c r="P36" i="25"/>
  <c r="N36" i="25"/>
  <c r="T36" i="25"/>
  <c r="C37" i="25"/>
  <c r="J37" i="25"/>
  <c r="P37" i="25"/>
  <c r="N37" i="25"/>
  <c r="T37" i="25"/>
  <c r="C38" i="25"/>
  <c r="J38" i="25"/>
  <c r="P38" i="25"/>
  <c r="N38" i="25"/>
  <c r="T38" i="25"/>
  <c r="C39" i="25"/>
  <c r="J39" i="25"/>
  <c r="P39" i="25"/>
  <c r="N39" i="25"/>
  <c r="T39" i="25"/>
  <c r="C40" i="25"/>
  <c r="J40" i="25"/>
  <c r="P40" i="25"/>
  <c r="N40" i="25"/>
  <c r="T40" i="25"/>
  <c r="C41" i="25"/>
  <c r="J41" i="25"/>
  <c r="P41" i="25"/>
  <c r="N41" i="25"/>
  <c r="T41" i="25"/>
  <c r="C42" i="25"/>
  <c r="J42" i="25"/>
  <c r="P42" i="25"/>
  <c r="N42" i="25"/>
  <c r="T42" i="25"/>
  <c r="C43" i="25"/>
  <c r="J43" i="25"/>
  <c r="P43" i="25"/>
  <c r="N43" i="25"/>
  <c r="T43" i="25"/>
  <c r="C44" i="25"/>
  <c r="J44" i="25"/>
  <c r="P44" i="25"/>
  <c r="N44" i="25"/>
  <c r="T44" i="25"/>
  <c r="C45" i="25"/>
  <c r="J45" i="25"/>
  <c r="P45" i="25"/>
  <c r="N45" i="25"/>
  <c r="T45" i="25"/>
  <c r="C46" i="25"/>
  <c r="J46" i="25"/>
  <c r="P46" i="25"/>
  <c r="N46" i="25"/>
  <c r="T46" i="25"/>
  <c r="C47" i="25"/>
  <c r="J47" i="25"/>
  <c r="P47" i="25"/>
  <c r="N47" i="25"/>
  <c r="T47" i="25"/>
  <c r="C48" i="25"/>
  <c r="J48" i="25"/>
  <c r="P48" i="25"/>
  <c r="N48" i="25"/>
  <c r="T48" i="25"/>
  <c r="C49" i="25"/>
  <c r="J49" i="25"/>
  <c r="P49" i="25"/>
  <c r="N49" i="25"/>
  <c r="T49" i="25"/>
  <c r="C50" i="25"/>
  <c r="J50" i="25"/>
  <c r="P50" i="25"/>
  <c r="N50" i="25"/>
  <c r="T50" i="25"/>
  <c r="C51" i="25"/>
  <c r="J51" i="25"/>
  <c r="P51" i="25"/>
  <c r="N51" i="25"/>
  <c r="T51" i="25"/>
  <c r="C52" i="25"/>
  <c r="J52" i="25"/>
  <c r="P52" i="25"/>
  <c r="N52" i="25"/>
  <c r="T52" i="25"/>
  <c r="C53" i="25"/>
  <c r="J53" i="25"/>
  <c r="P53" i="25"/>
  <c r="N53" i="25"/>
  <c r="T53" i="25"/>
  <c r="C54" i="25"/>
  <c r="J54" i="25"/>
  <c r="P54" i="25"/>
  <c r="N54" i="25"/>
  <c r="T54" i="25"/>
  <c r="T56" i="25"/>
  <c r="N56" i="25"/>
  <c r="V63" i="25"/>
  <c r="H4" i="1"/>
  <c r="E6" i="1"/>
  <c r="F6" i="1"/>
  <c r="H6" i="1"/>
  <c r="E7" i="1"/>
  <c r="F7" i="1"/>
  <c r="H7" i="1"/>
  <c r="E8" i="1"/>
  <c r="F8" i="1"/>
  <c r="H8" i="1"/>
  <c r="E9" i="1"/>
  <c r="F9" i="1"/>
  <c r="H9" i="1"/>
  <c r="E10" i="1"/>
  <c r="F10" i="1"/>
  <c r="H10" i="1"/>
  <c r="E11" i="1"/>
  <c r="F11" i="1"/>
  <c r="H11" i="1"/>
  <c r="E12" i="1"/>
  <c r="F12" i="1"/>
  <c r="H12" i="1"/>
  <c r="E13" i="1"/>
  <c r="F13" i="1"/>
  <c r="H13" i="1"/>
  <c r="E14" i="1"/>
  <c r="F14" i="1"/>
  <c r="H14" i="1"/>
  <c r="E15" i="1"/>
  <c r="F15" i="1"/>
  <c r="H15" i="1"/>
  <c r="E16" i="1"/>
  <c r="F16" i="1"/>
  <c r="H16" i="1"/>
  <c r="E17" i="1"/>
  <c r="F17" i="1"/>
  <c r="H17" i="1"/>
  <c r="E18" i="1"/>
  <c r="F18" i="1"/>
  <c r="H18" i="1"/>
  <c r="E19" i="1"/>
  <c r="F19" i="1"/>
  <c r="H19" i="1"/>
  <c r="E20" i="1"/>
  <c r="F20" i="1"/>
  <c r="H20" i="1"/>
  <c r="E21" i="1"/>
  <c r="F21" i="1"/>
  <c r="H21" i="1"/>
  <c r="E22" i="1"/>
  <c r="F22" i="1"/>
  <c r="H22" i="1"/>
  <c r="E23" i="1"/>
  <c r="F23" i="1"/>
  <c r="H23" i="1"/>
  <c r="E24" i="1"/>
  <c r="F24" i="1"/>
  <c r="H24" i="1"/>
  <c r="E25" i="1"/>
  <c r="F25" i="1"/>
  <c r="H25" i="1"/>
  <c r="E26" i="1"/>
  <c r="F26" i="1"/>
  <c r="H26" i="1"/>
  <c r="E28" i="1"/>
  <c r="F28" i="1"/>
  <c r="H28" i="1"/>
  <c r="E29" i="1"/>
  <c r="F29" i="1"/>
  <c r="H29" i="1"/>
  <c r="E30" i="1"/>
  <c r="F30" i="1"/>
  <c r="H30" i="1"/>
  <c r="E31" i="1"/>
  <c r="F31" i="1"/>
  <c r="H31" i="1"/>
  <c r="E32" i="1"/>
  <c r="F32" i="1"/>
  <c r="H32" i="1"/>
  <c r="E33" i="1"/>
  <c r="F33" i="1"/>
  <c r="H33" i="1"/>
  <c r="E34" i="1"/>
  <c r="F34" i="1"/>
  <c r="H34" i="1"/>
  <c r="I67" i="1"/>
  <c r="F4" i="1"/>
  <c r="S4" i="25"/>
  <c r="S5" i="25"/>
  <c r="S6" i="25"/>
  <c r="R7" i="25"/>
  <c r="S7" i="25"/>
  <c r="S8" i="25"/>
  <c r="S9" i="25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6" i="25"/>
  <c r="Q4" i="25"/>
  <c r="U4" i="25"/>
  <c r="Q5" i="25"/>
  <c r="U5" i="25"/>
  <c r="Q6" i="25"/>
  <c r="U6" i="25"/>
  <c r="Q7" i="25"/>
  <c r="U7" i="25"/>
  <c r="Q8" i="25"/>
  <c r="U8" i="25"/>
  <c r="Q9" i="25"/>
  <c r="U9" i="25"/>
  <c r="Q10" i="25"/>
  <c r="U10" i="25"/>
  <c r="Q11" i="25"/>
  <c r="U11" i="25"/>
  <c r="Q12" i="25"/>
  <c r="U12" i="25"/>
  <c r="Q13" i="25"/>
  <c r="U13" i="25"/>
  <c r="Q14" i="25"/>
  <c r="U14" i="25"/>
  <c r="Q15" i="25"/>
  <c r="U15" i="25"/>
  <c r="Q16" i="25"/>
  <c r="U16" i="25"/>
  <c r="Q17" i="25"/>
  <c r="U17" i="25"/>
  <c r="Q18" i="25"/>
  <c r="U18" i="25"/>
  <c r="Q19" i="25"/>
  <c r="U19" i="25"/>
  <c r="Q20" i="25"/>
  <c r="U20" i="25"/>
  <c r="Q21" i="25"/>
  <c r="U21" i="25"/>
  <c r="Q22" i="25"/>
  <c r="U22" i="25"/>
  <c r="Q23" i="25"/>
  <c r="U23" i="25"/>
  <c r="Q24" i="25"/>
  <c r="U24" i="25"/>
  <c r="Q25" i="25"/>
  <c r="U25" i="25"/>
  <c r="Q26" i="25"/>
  <c r="U26" i="25"/>
  <c r="Q27" i="25"/>
  <c r="U27" i="25"/>
  <c r="Q28" i="25"/>
  <c r="U28" i="25"/>
  <c r="Q29" i="25"/>
  <c r="U29" i="25"/>
  <c r="Q30" i="25"/>
  <c r="U30" i="25"/>
  <c r="Q31" i="25"/>
  <c r="U31" i="25"/>
  <c r="Q32" i="25"/>
  <c r="U32" i="25"/>
  <c r="Q33" i="25"/>
  <c r="U33" i="25"/>
  <c r="Q34" i="25"/>
  <c r="U34" i="25"/>
  <c r="Q35" i="25"/>
  <c r="U35" i="25"/>
  <c r="Q36" i="25"/>
  <c r="U36" i="25"/>
  <c r="Q37" i="25"/>
  <c r="U37" i="25"/>
  <c r="Q38" i="25"/>
  <c r="U38" i="25"/>
  <c r="Q39" i="25"/>
  <c r="U39" i="25"/>
  <c r="Q40" i="25"/>
  <c r="U40" i="25"/>
  <c r="Q41" i="25"/>
  <c r="U41" i="25"/>
  <c r="Q42" i="25"/>
  <c r="U42" i="25"/>
  <c r="Q43" i="25"/>
  <c r="U43" i="25"/>
  <c r="Q44" i="25"/>
  <c r="U44" i="25"/>
  <c r="Q45" i="25"/>
  <c r="U45" i="25"/>
  <c r="Q46" i="25"/>
  <c r="U46" i="25"/>
  <c r="Q47" i="25"/>
  <c r="U47" i="25"/>
  <c r="Q48" i="25"/>
  <c r="U48" i="25"/>
  <c r="Q49" i="25"/>
  <c r="U49" i="25"/>
  <c r="Q50" i="25"/>
  <c r="U50" i="25"/>
  <c r="Q51" i="25"/>
  <c r="U51" i="25"/>
  <c r="Q52" i="25"/>
  <c r="U52" i="25"/>
  <c r="Q53" i="25"/>
  <c r="U53" i="25"/>
  <c r="Q54" i="25"/>
  <c r="U54" i="25"/>
  <c r="U56" i="25"/>
  <c r="U61" i="25"/>
  <c r="V61" i="25"/>
  <c r="U60" i="25"/>
  <c r="V60" i="25"/>
  <c r="J4" i="1"/>
  <c r="L4" i="1"/>
  <c r="M4" i="1"/>
  <c r="O4" i="1"/>
  <c r="P4" i="1"/>
  <c r="Q4" i="1"/>
  <c r="R4" i="1"/>
  <c r="S4" i="1"/>
  <c r="C4" i="35"/>
  <c r="C5" i="35"/>
  <c r="C6" i="35"/>
  <c r="C7" i="35"/>
  <c r="C8" i="35"/>
  <c r="C9" i="35"/>
  <c r="C10" i="35"/>
  <c r="C11" i="35"/>
  <c r="C12" i="35"/>
  <c r="C13" i="35"/>
  <c r="C15" i="35"/>
  <c r="C16" i="35"/>
  <c r="C20" i="35"/>
  <c r="C25" i="35"/>
  <c r="C26" i="35"/>
  <c r="C27" i="35"/>
  <c r="C3" i="35"/>
  <c r="T4" i="1"/>
  <c r="U4" i="1"/>
  <c r="V4" i="1"/>
  <c r="W4" i="1"/>
  <c r="X4" i="1"/>
  <c r="A6" i="1"/>
  <c r="J6" i="1"/>
  <c r="L6" i="1"/>
  <c r="M6" i="1"/>
  <c r="N6" i="1"/>
  <c r="O6" i="1"/>
  <c r="P6" i="1"/>
  <c r="Q6" i="1"/>
  <c r="R6" i="1"/>
  <c r="S6" i="1"/>
  <c r="C28" i="35"/>
  <c r="T6" i="1"/>
  <c r="U6" i="1"/>
  <c r="V6" i="1"/>
  <c r="W6" i="1"/>
  <c r="X6" i="1"/>
  <c r="A7" i="1"/>
  <c r="J7" i="1"/>
  <c r="L7" i="1"/>
  <c r="M7" i="1"/>
  <c r="N7" i="1"/>
  <c r="O7" i="1"/>
  <c r="P7" i="1"/>
  <c r="Q7" i="1"/>
  <c r="R7" i="1"/>
  <c r="S7" i="1"/>
  <c r="C30" i="35"/>
  <c r="T7" i="1"/>
  <c r="U7" i="1"/>
  <c r="V7" i="1"/>
  <c r="W7" i="1"/>
  <c r="X7" i="1"/>
  <c r="A8" i="1"/>
  <c r="J8" i="1"/>
  <c r="L8" i="1"/>
  <c r="M8" i="1"/>
  <c r="N8" i="1"/>
  <c r="O8" i="1"/>
  <c r="P8" i="1"/>
  <c r="Q8" i="1"/>
  <c r="R8" i="1"/>
  <c r="S8" i="1"/>
  <c r="C32" i="35"/>
  <c r="T8" i="1"/>
  <c r="U8" i="1"/>
  <c r="V8" i="1"/>
  <c r="W8" i="1"/>
  <c r="X8" i="1"/>
  <c r="A9" i="1"/>
  <c r="J9" i="1"/>
  <c r="L9" i="1"/>
  <c r="M9" i="1"/>
  <c r="N9" i="1"/>
  <c r="O9" i="1"/>
  <c r="P9" i="1"/>
  <c r="Q9" i="1"/>
  <c r="R9" i="1"/>
  <c r="S9" i="1"/>
  <c r="C36" i="35"/>
  <c r="C35" i="35"/>
  <c r="T9" i="1"/>
  <c r="U9" i="1"/>
  <c r="V9" i="1"/>
  <c r="W9" i="1"/>
  <c r="X9" i="1"/>
  <c r="A10" i="1"/>
  <c r="I10" i="1"/>
  <c r="J10" i="1"/>
  <c r="L10" i="1"/>
  <c r="M10" i="1"/>
  <c r="N10" i="1"/>
  <c r="O10" i="1"/>
  <c r="P10" i="1"/>
  <c r="Q10" i="1"/>
  <c r="R10" i="1"/>
  <c r="S10" i="1"/>
  <c r="C37" i="35"/>
  <c r="T10" i="1"/>
  <c r="U10" i="1"/>
  <c r="V10" i="1"/>
  <c r="W10" i="1"/>
  <c r="X10" i="1"/>
  <c r="A11" i="1"/>
  <c r="I11" i="1"/>
  <c r="J11" i="1"/>
  <c r="L11" i="1"/>
  <c r="M11" i="1"/>
  <c r="N11" i="1"/>
  <c r="O11" i="1"/>
  <c r="P11" i="1"/>
  <c r="Q11" i="1"/>
  <c r="R11" i="1"/>
  <c r="S11" i="1"/>
  <c r="C39" i="35"/>
  <c r="T11" i="1"/>
  <c r="U11" i="1"/>
  <c r="V11" i="1"/>
  <c r="W11" i="1"/>
  <c r="X11" i="1"/>
  <c r="A12" i="1"/>
  <c r="J12" i="1"/>
  <c r="L12" i="1"/>
  <c r="M12" i="1"/>
  <c r="N12" i="1"/>
  <c r="O12" i="1"/>
  <c r="P12" i="1"/>
  <c r="Q12" i="1"/>
  <c r="R12" i="1"/>
  <c r="S12" i="1"/>
  <c r="C44" i="35"/>
  <c r="C42" i="35"/>
  <c r="T12" i="1"/>
  <c r="U12" i="1"/>
  <c r="V12" i="1"/>
  <c r="W12" i="1"/>
  <c r="X12" i="1"/>
  <c r="A13" i="1"/>
  <c r="J13" i="1"/>
  <c r="L13" i="1"/>
  <c r="M13" i="1"/>
  <c r="N13" i="1"/>
  <c r="O13" i="1"/>
  <c r="P13" i="1"/>
  <c r="Q13" i="1"/>
  <c r="R13" i="1"/>
  <c r="S13" i="1"/>
  <c r="C46" i="35"/>
  <c r="C47" i="35"/>
  <c r="C49" i="35"/>
  <c r="C50" i="35"/>
  <c r="C51" i="35"/>
  <c r="C52" i="35"/>
  <c r="C45" i="35"/>
  <c r="T13" i="1"/>
  <c r="U13" i="1"/>
  <c r="V13" i="1"/>
  <c r="W13" i="1"/>
  <c r="X13" i="1"/>
  <c r="A14" i="1"/>
  <c r="I14" i="1"/>
  <c r="J14" i="1"/>
  <c r="L14" i="1"/>
  <c r="M14" i="1"/>
  <c r="N14" i="1"/>
  <c r="O14" i="1"/>
  <c r="P14" i="1"/>
  <c r="Q14" i="1"/>
  <c r="R14" i="1"/>
  <c r="S14" i="1"/>
  <c r="C53" i="35"/>
  <c r="T14" i="1"/>
  <c r="U14" i="1"/>
  <c r="V14" i="1"/>
  <c r="W14" i="1"/>
  <c r="X14" i="1"/>
  <c r="A15" i="1"/>
  <c r="I15" i="1"/>
  <c r="J15" i="1"/>
  <c r="L15" i="1"/>
  <c r="M15" i="1"/>
  <c r="N15" i="1"/>
  <c r="O15" i="1"/>
  <c r="P15" i="1"/>
  <c r="Q15" i="1"/>
  <c r="R15" i="1"/>
  <c r="S15" i="1"/>
  <c r="C57" i="35"/>
  <c r="C59" i="35"/>
  <c r="C60" i="35"/>
  <c r="C56" i="35"/>
  <c r="T15" i="1"/>
  <c r="U15" i="1"/>
  <c r="V15" i="1"/>
  <c r="W15" i="1"/>
  <c r="X15" i="1"/>
  <c r="A16" i="1"/>
  <c r="J16" i="1"/>
  <c r="L16" i="1"/>
  <c r="M16" i="1"/>
  <c r="N16" i="1"/>
  <c r="O16" i="1"/>
  <c r="P16" i="1"/>
  <c r="Q16" i="1"/>
  <c r="R16" i="1"/>
  <c r="S16" i="1"/>
  <c r="C61" i="35"/>
  <c r="T16" i="1"/>
  <c r="U16" i="1"/>
  <c r="V16" i="1"/>
  <c r="W16" i="1"/>
  <c r="X16" i="1"/>
  <c r="A17" i="1"/>
  <c r="J17" i="1"/>
  <c r="L17" i="1"/>
  <c r="M17" i="1"/>
  <c r="N17" i="1"/>
  <c r="O17" i="1"/>
  <c r="P17" i="1"/>
  <c r="Q17" i="1"/>
  <c r="R17" i="1"/>
  <c r="S17" i="1"/>
  <c r="C63" i="35"/>
  <c r="T17" i="1"/>
  <c r="U17" i="1"/>
  <c r="V17" i="1"/>
  <c r="W17" i="1"/>
  <c r="X17" i="1"/>
  <c r="A18" i="1"/>
  <c r="J18" i="1"/>
  <c r="L18" i="1"/>
  <c r="M18" i="1"/>
  <c r="N18" i="1"/>
  <c r="O18" i="1"/>
  <c r="P18" i="1"/>
  <c r="Q18" i="1"/>
  <c r="R18" i="1"/>
  <c r="S18" i="1"/>
  <c r="C65" i="35"/>
  <c r="T18" i="1"/>
  <c r="U18" i="1"/>
  <c r="V18" i="1"/>
  <c r="W18" i="1"/>
  <c r="X18" i="1"/>
  <c r="A19" i="1"/>
  <c r="I19" i="1"/>
  <c r="J19" i="1"/>
  <c r="L19" i="1"/>
  <c r="M19" i="1"/>
  <c r="N19" i="1"/>
  <c r="O19" i="1"/>
  <c r="P19" i="1"/>
  <c r="Q19" i="1"/>
  <c r="R19" i="1"/>
  <c r="S19" i="1"/>
  <c r="C67" i="35"/>
  <c r="T19" i="1"/>
  <c r="U19" i="1"/>
  <c r="V19" i="1"/>
  <c r="W19" i="1"/>
  <c r="X19" i="1"/>
  <c r="A20" i="1"/>
  <c r="I20" i="1"/>
  <c r="J20" i="1"/>
  <c r="L20" i="1"/>
  <c r="M20" i="1"/>
  <c r="N20" i="1"/>
  <c r="O20" i="1"/>
  <c r="P20" i="1"/>
  <c r="Q20" i="1"/>
  <c r="R20" i="1"/>
  <c r="S20" i="1"/>
  <c r="C69" i="35"/>
  <c r="T20" i="1"/>
  <c r="U20" i="1"/>
  <c r="V20" i="1"/>
  <c r="W20" i="1"/>
  <c r="X20" i="1"/>
  <c r="A21" i="1"/>
  <c r="I21" i="1"/>
  <c r="J21" i="1"/>
  <c r="L21" i="1"/>
  <c r="M21" i="1"/>
  <c r="N21" i="1"/>
  <c r="O21" i="1"/>
  <c r="P21" i="1"/>
  <c r="Q21" i="1"/>
  <c r="R21" i="1"/>
  <c r="S21" i="1"/>
  <c r="C72" i="35"/>
  <c r="C71" i="35"/>
  <c r="T21" i="1"/>
  <c r="U21" i="1"/>
  <c r="V21" i="1"/>
  <c r="W21" i="1"/>
  <c r="X21" i="1"/>
  <c r="A22" i="1"/>
  <c r="J22" i="1"/>
  <c r="L22" i="1"/>
  <c r="M22" i="1"/>
  <c r="N22" i="1"/>
  <c r="O22" i="1"/>
  <c r="P22" i="1"/>
  <c r="Q22" i="1"/>
  <c r="R22" i="1"/>
  <c r="S22" i="1"/>
  <c r="C74" i="35"/>
  <c r="C75" i="35"/>
  <c r="C73" i="35"/>
  <c r="T22" i="1"/>
  <c r="U22" i="1"/>
  <c r="V22" i="1"/>
  <c r="W22" i="1"/>
  <c r="X22" i="1"/>
  <c r="A23" i="1"/>
  <c r="I23" i="1"/>
  <c r="J23" i="1"/>
  <c r="L23" i="1"/>
  <c r="M23" i="1"/>
  <c r="N23" i="1"/>
  <c r="O23" i="1"/>
  <c r="P23" i="1"/>
  <c r="Q23" i="1"/>
  <c r="R23" i="1"/>
  <c r="S23" i="1"/>
  <c r="C76" i="35"/>
  <c r="T23" i="1"/>
  <c r="U23" i="1"/>
  <c r="V23" i="1"/>
  <c r="W23" i="1"/>
  <c r="X23" i="1"/>
  <c r="A24" i="1"/>
  <c r="I24" i="1"/>
  <c r="J24" i="1"/>
  <c r="L24" i="1"/>
  <c r="M24" i="1"/>
  <c r="N24" i="1"/>
  <c r="O24" i="1"/>
  <c r="P24" i="1"/>
  <c r="Q24" i="1"/>
  <c r="R24" i="1"/>
  <c r="S24" i="1"/>
  <c r="C78" i="35"/>
  <c r="T24" i="1"/>
  <c r="U24" i="1"/>
  <c r="V24" i="1"/>
  <c r="W24" i="1"/>
  <c r="X24" i="1"/>
  <c r="A25" i="1"/>
  <c r="J25" i="1"/>
  <c r="L25" i="1"/>
  <c r="M25" i="1"/>
  <c r="N25" i="1"/>
  <c r="O25" i="1"/>
  <c r="P25" i="1"/>
  <c r="Q25" i="1"/>
  <c r="R25" i="1"/>
  <c r="S25" i="1"/>
  <c r="C80" i="35"/>
  <c r="T25" i="1"/>
  <c r="U25" i="1"/>
  <c r="V25" i="1"/>
  <c r="W25" i="1"/>
  <c r="X25" i="1"/>
  <c r="A26" i="1"/>
  <c r="I26" i="1"/>
  <c r="J26" i="1"/>
  <c r="L26" i="1"/>
  <c r="M26" i="1"/>
  <c r="N26" i="1"/>
  <c r="O26" i="1"/>
  <c r="P26" i="1"/>
  <c r="Q26" i="1"/>
  <c r="R26" i="1"/>
  <c r="S26" i="1"/>
  <c r="C82" i="35"/>
  <c r="T26" i="1"/>
  <c r="U26" i="1"/>
  <c r="V26" i="1"/>
  <c r="W26" i="1"/>
  <c r="X26" i="1"/>
  <c r="J27" i="1"/>
  <c r="A28" i="1"/>
  <c r="J28" i="1"/>
  <c r="L28" i="1"/>
  <c r="M28" i="1"/>
  <c r="N28" i="1"/>
  <c r="O28" i="1"/>
  <c r="P28" i="1"/>
  <c r="Q28" i="1"/>
  <c r="R28" i="1"/>
  <c r="S28" i="1"/>
  <c r="C85" i="35"/>
  <c r="C87" i="35"/>
  <c r="C88" i="35"/>
  <c r="C89" i="35"/>
  <c r="C90" i="35"/>
  <c r="C92" i="35"/>
  <c r="C93" i="35"/>
  <c r="C94" i="35"/>
  <c r="C84" i="35"/>
  <c r="T28" i="1"/>
  <c r="U28" i="1"/>
  <c r="V28" i="1"/>
  <c r="W28" i="1"/>
  <c r="X28" i="1"/>
  <c r="A29" i="1"/>
  <c r="J29" i="1"/>
  <c r="L29" i="1"/>
  <c r="M29" i="1"/>
  <c r="N29" i="1"/>
  <c r="O29" i="1"/>
  <c r="P29" i="1"/>
  <c r="Q29" i="1"/>
  <c r="R29" i="1"/>
  <c r="S29" i="1"/>
  <c r="C100" i="35"/>
  <c r="C98" i="35"/>
  <c r="T29" i="1"/>
  <c r="U29" i="1"/>
  <c r="V29" i="1"/>
  <c r="W29" i="1"/>
  <c r="X29" i="1"/>
  <c r="A30" i="1"/>
  <c r="J30" i="1"/>
  <c r="L30" i="1"/>
  <c r="M30" i="1"/>
  <c r="N30" i="1"/>
  <c r="O30" i="1"/>
  <c r="P30" i="1"/>
  <c r="Q30" i="1"/>
  <c r="R30" i="1"/>
  <c r="S30" i="1"/>
  <c r="C102" i="35"/>
  <c r="C103" i="35"/>
  <c r="C104" i="35"/>
  <c r="C105" i="35"/>
  <c r="C106" i="35"/>
  <c r="C107" i="35"/>
  <c r="C108" i="35"/>
  <c r="C101" i="35"/>
  <c r="T30" i="1"/>
  <c r="U30" i="1"/>
  <c r="V30" i="1"/>
  <c r="W30" i="1"/>
  <c r="X30" i="1"/>
  <c r="A31" i="1"/>
  <c r="J31" i="1"/>
  <c r="L31" i="1"/>
  <c r="M31" i="1"/>
  <c r="N31" i="1"/>
  <c r="O31" i="1"/>
  <c r="P31" i="1"/>
  <c r="Q31" i="1"/>
  <c r="R31" i="1"/>
  <c r="S31" i="1"/>
  <c r="C111" i="35"/>
  <c r="C112" i="35"/>
  <c r="C113" i="35"/>
  <c r="C114" i="35"/>
  <c r="C109" i="35"/>
  <c r="T31" i="1"/>
  <c r="U31" i="1"/>
  <c r="V31" i="1"/>
  <c r="W31" i="1"/>
  <c r="X31" i="1"/>
  <c r="A32" i="1"/>
  <c r="J32" i="1"/>
  <c r="L32" i="1"/>
  <c r="M32" i="1"/>
  <c r="N32" i="1"/>
  <c r="O32" i="1"/>
  <c r="P32" i="1"/>
  <c r="Q32" i="1"/>
  <c r="R32" i="1"/>
  <c r="S32" i="1"/>
  <c r="C117" i="35"/>
  <c r="C118" i="35"/>
  <c r="C116" i="35"/>
  <c r="T32" i="1"/>
  <c r="U32" i="1"/>
  <c r="V32" i="1"/>
  <c r="W32" i="1"/>
  <c r="X32" i="1"/>
  <c r="A33" i="1"/>
  <c r="J33" i="1"/>
  <c r="L33" i="1"/>
  <c r="M33" i="1"/>
  <c r="N33" i="1"/>
  <c r="O33" i="1"/>
  <c r="P33" i="1"/>
  <c r="Q33" i="1"/>
  <c r="R33" i="1"/>
  <c r="S33" i="1"/>
  <c r="C119" i="35"/>
  <c r="T33" i="1"/>
  <c r="U33" i="1"/>
  <c r="V33" i="1"/>
  <c r="W33" i="1"/>
  <c r="X33" i="1"/>
  <c r="A34" i="1"/>
  <c r="J34" i="1"/>
  <c r="L34" i="1"/>
  <c r="M34" i="1"/>
  <c r="N34" i="1"/>
  <c r="O34" i="1"/>
  <c r="P34" i="1"/>
  <c r="Q34" i="1"/>
  <c r="R34" i="1"/>
  <c r="S34" i="1"/>
  <c r="C130" i="35"/>
  <c r="C129" i="35"/>
  <c r="T34" i="1"/>
  <c r="U34" i="1"/>
  <c r="V34" i="1"/>
  <c r="W34" i="1"/>
  <c r="X34" i="1"/>
  <c r="A36" i="1"/>
  <c r="E36" i="1"/>
  <c r="F36" i="1"/>
  <c r="J36" i="1"/>
  <c r="L36" i="1"/>
  <c r="M36" i="1"/>
  <c r="N36" i="1"/>
  <c r="O36" i="1"/>
  <c r="P36" i="1"/>
  <c r="Q36" i="1"/>
  <c r="R36" i="1"/>
  <c r="S36" i="1"/>
  <c r="C134" i="35"/>
  <c r="C131" i="35"/>
  <c r="T36" i="1"/>
  <c r="U36" i="1"/>
  <c r="V36" i="1"/>
  <c r="W36" i="1"/>
  <c r="X36" i="1"/>
  <c r="A37" i="1"/>
  <c r="E37" i="1"/>
  <c r="F37" i="1"/>
  <c r="G37" i="1"/>
  <c r="H37" i="1"/>
  <c r="J37" i="1"/>
  <c r="L37" i="1"/>
  <c r="M37" i="1"/>
  <c r="N37" i="1"/>
  <c r="O37" i="1"/>
  <c r="P37" i="1"/>
  <c r="Q37" i="1"/>
  <c r="R37" i="1"/>
  <c r="S37" i="1"/>
  <c r="C135" i="35"/>
  <c r="T37" i="1"/>
  <c r="U37" i="1"/>
  <c r="V37" i="1"/>
  <c r="W37" i="1"/>
  <c r="X37" i="1"/>
  <c r="A38" i="1"/>
  <c r="E38" i="1"/>
  <c r="F38" i="1"/>
  <c r="H38" i="1"/>
  <c r="G38" i="1"/>
  <c r="I38" i="1"/>
  <c r="J38" i="1"/>
  <c r="L38" i="1"/>
  <c r="M38" i="1"/>
  <c r="N38" i="1"/>
  <c r="O38" i="1"/>
  <c r="P38" i="1"/>
  <c r="Q38" i="1"/>
  <c r="R38" i="1"/>
  <c r="S38" i="1"/>
  <c r="C138" i="35"/>
  <c r="C139" i="35"/>
  <c r="C137" i="35"/>
  <c r="T38" i="1"/>
  <c r="U38" i="1"/>
  <c r="V38" i="1"/>
  <c r="W38" i="1"/>
  <c r="X38" i="1"/>
  <c r="A39" i="1"/>
  <c r="E39" i="1"/>
  <c r="F39" i="1"/>
  <c r="H39" i="1"/>
  <c r="J39" i="1"/>
  <c r="L39" i="1"/>
  <c r="M39" i="1"/>
  <c r="N39" i="1"/>
  <c r="O39" i="1"/>
  <c r="P39" i="1"/>
  <c r="Q39" i="1"/>
  <c r="R39" i="1"/>
  <c r="S39" i="1"/>
  <c r="C140" i="35"/>
  <c r="T39" i="1"/>
  <c r="U39" i="1"/>
  <c r="V39" i="1"/>
  <c r="W39" i="1"/>
  <c r="X39" i="1"/>
  <c r="A41" i="1"/>
  <c r="E41" i="1"/>
  <c r="F41" i="1"/>
  <c r="H41" i="1"/>
  <c r="L41" i="1"/>
  <c r="M41" i="1"/>
  <c r="N41" i="1"/>
  <c r="O41" i="1"/>
  <c r="W41" i="1"/>
  <c r="X41" i="1"/>
  <c r="A42" i="1"/>
  <c r="F42" i="1"/>
  <c r="G42" i="1"/>
  <c r="X42" i="1"/>
  <c r="A43" i="1"/>
  <c r="F43" i="1"/>
  <c r="G43" i="1"/>
  <c r="W43" i="1"/>
  <c r="X43" i="1"/>
  <c r="A44" i="1"/>
  <c r="F44" i="1"/>
  <c r="G44" i="1"/>
  <c r="W44" i="1"/>
  <c r="X44" i="1"/>
  <c r="A45" i="1"/>
  <c r="F45" i="1"/>
  <c r="G45" i="1"/>
  <c r="W45" i="1"/>
  <c r="X45" i="1"/>
  <c r="A46" i="1"/>
  <c r="F46" i="1"/>
  <c r="G46" i="1"/>
  <c r="W46" i="1"/>
  <c r="X46" i="1"/>
  <c r="A47" i="1"/>
  <c r="F47" i="1"/>
  <c r="G47" i="1"/>
  <c r="W47" i="1"/>
  <c r="X47" i="1"/>
  <c r="A48" i="1"/>
  <c r="F48" i="1"/>
  <c r="G48" i="1"/>
  <c r="W48" i="1"/>
  <c r="X48" i="1"/>
  <c r="A49" i="1"/>
  <c r="F49" i="1"/>
  <c r="G49" i="1"/>
  <c r="W49" i="1"/>
  <c r="X49" i="1"/>
  <c r="A50" i="1"/>
  <c r="F50" i="1"/>
  <c r="G50" i="1"/>
  <c r="W50" i="1"/>
  <c r="X50" i="1"/>
  <c r="A51" i="1"/>
  <c r="F51" i="1"/>
  <c r="G51" i="1"/>
  <c r="W51" i="1"/>
  <c r="X51" i="1"/>
  <c r="A52" i="1"/>
  <c r="F52" i="1"/>
  <c r="G52" i="1"/>
  <c r="W52" i="1"/>
  <c r="X52" i="1"/>
  <c r="A53" i="1"/>
  <c r="F53" i="1"/>
  <c r="G53" i="1"/>
  <c r="W53" i="1"/>
  <c r="X53" i="1"/>
  <c r="A54" i="1"/>
  <c r="F54" i="1"/>
  <c r="G54" i="1"/>
  <c r="W54" i="1"/>
  <c r="X54" i="1"/>
  <c r="A55" i="1"/>
  <c r="F55" i="1"/>
  <c r="G55" i="1"/>
  <c r="X55" i="1"/>
  <c r="A56" i="1"/>
  <c r="F56" i="1"/>
  <c r="G56" i="1"/>
  <c r="W56" i="1"/>
  <c r="X56" i="1"/>
  <c r="A57" i="1"/>
  <c r="F57" i="1"/>
  <c r="G57" i="1"/>
  <c r="W57" i="1"/>
  <c r="X57" i="1"/>
  <c r="A58" i="1"/>
  <c r="F58" i="1"/>
  <c r="G58" i="1"/>
  <c r="W58" i="1"/>
  <c r="X58" i="1"/>
  <c r="A59" i="1"/>
  <c r="F59" i="1"/>
  <c r="G59" i="1"/>
  <c r="W59" i="1"/>
  <c r="X59" i="1"/>
  <c r="A60" i="1"/>
  <c r="F60" i="1"/>
  <c r="G60" i="1"/>
  <c r="X60" i="1"/>
  <c r="A61" i="1"/>
  <c r="F61" i="1"/>
  <c r="G61" i="1"/>
  <c r="W61" i="1"/>
  <c r="X61" i="1"/>
  <c r="A62" i="1"/>
  <c r="F62" i="1"/>
  <c r="G62" i="1"/>
  <c r="W62" i="1"/>
  <c r="X62" i="1"/>
  <c r="A63" i="1"/>
  <c r="F63" i="1"/>
  <c r="G63" i="1"/>
  <c r="W63" i="1"/>
  <c r="X63" i="1"/>
  <c r="A64" i="1"/>
  <c r="F64" i="1"/>
  <c r="G64" i="1"/>
  <c r="W64" i="1"/>
  <c r="X64" i="1"/>
  <c r="A65" i="1"/>
  <c r="F65" i="1"/>
  <c r="G65" i="1"/>
  <c r="X65" i="1"/>
  <c r="C59" i="5"/>
  <c r="C60" i="5"/>
  <c r="C62" i="5"/>
  <c r="J4" i="23"/>
  <c r="H4" i="23"/>
  <c r="I4" i="23"/>
  <c r="K4" i="23"/>
  <c r="X4" i="57"/>
  <c r="J4" i="51"/>
  <c r="H4" i="51"/>
  <c r="I4" i="51"/>
  <c r="K4" i="51"/>
  <c r="Y4" i="57"/>
  <c r="J4" i="24"/>
  <c r="F4" i="24"/>
  <c r="H4" i="24"/>
  <c r="I4" i="24"/>
  <c r="K4" i="24"/>
  <c r="Z4" i="57"/>
  <c r="AD4" i="57"/>
  <c r="J4" i="38"/>
  <c r="L4" i="38"/>
  <c r="P4" i="38"/>
  <c r="H4" i="38"/>
  <c r="T4" i="38"/>
  <c r="J5" i="38"/>
  <c r="L5" i="38"/>
  <c r="P5" i="38"/>
  <c r="H5" i="38"/>
  <c r="T5" i="38"/>
  <c r="J6" i="38"/>
  <c r="L6" i="38"/>
  <c r="P6" i="38"/>
  <c r="H6" i="38"/>
  <c r="T6" i="38"/>
  <c r="J7" i="38"/>
  <c r="D7" i="38"/>
  <c r="L7" i="38"/>
  <c r="P7" i="38"/>
  <c r="H7" i="38"/>
  <c r="T7" i="38"/>
  <c r="J8" i="38"/>
  <c r="L8" i="38"/>
  <c r="P8" i="38"/>
  <c r="H8" i="38"/>
  <c r="T8" i="38"/>
  <c r="J9" i="38"/>
  <c r="D9" i="38"/>
  <c r="L9" i="38"/>
  <c r="P9" i="38"/>
  <c r="H9" i="38"/>
  <c r="T9" i="38"/>
  <c r="J10" i="38"/>
  <c r="L10" i="38"/>
  <c r="P10" i="38"/>
  <c r="H10" i="38"/>
  <c r="T10" i="38"/>
  <c r="J11" i="38"/>
  <c r="L11" i="38"/>
  <c r="P11" i="38"/>
  <c r="H11" i="38"/>
  <c r="T11" i="38"/>
  <c r="J12" i="38"/>
  <c r="L12" i="38"/>
  <c r="P12" i="38"/>
  <c r="H12" i="38"/>
  <c r="T12" i="38"/>
  <c r="J13" i="38"/>
  <c r="L13" i="38"/>
  <c r="P13" i="38"/>
  <c r="H13" i="38"/>
  <c r="T13" i="38"/>
  <c r="J14" i="38"/>
  <c r="D14" i="38"/>
  <c r="L14" i="38"/>
  <c r="P14" i="38"/>
  <c r="H14" i="38"/>
  <c r="T14" i="38"/>
  <c r="J15" i="38"/>
  <c r="L15" i="38"/>
  <c r="P15" i="38"/>
  <c r="H15" i="38"/>
  <c r="T15" i="38"/>
  <c r="J16" i="38"/>
  <c r="L16" i="38"/>
  <c r="P16" i="38"/>
  <c r="H16" i="38"/>
  <c r="T16" i="38"/>
  <c r="J17" i="38"/>
  <c r="L17" i="38"/>
  <c r="P17" i="38"/>
  <c r="H17" i="38"/>
  <c r="T17" i="38"/>
  <c r="J18" i="38"/>
  <c r="D18" i="38"/>
  <c r="L18" i="38"/>
  <c r="P18" i="38"/>
  <c r="H18" i="38"/>
  <c r="T18" i="38"/>
  <c r="J19" i="38"/>
  <c r="D19" i="38"/>
  <c r="L19" i="38"/>
  <c r="P19" i="38"/>
  <c r="H19" i="38"/>
  <c r="T19" i="38"/>
  <c r="J20" i="38"/>
  <c r="L20" i="38"/>
  <c r="P20" i="38"/>
  <c r="H20" i="38"/>
  <c r="T20" i="38"/>
  <c r="J21" i="38"/>
  <c r="L21" i="38"/>
  <c r="P21" i="38"/>
  <c r="H21" i="38"/>
  <c r="T21" i="38"/>
  <c r="J22" i="38"/>
  <c r="L22" i="38"/>
  <c r="P22" i="38"/>
  <c r="H22" i="38"/>
  <c r="T22" i="38"/>
  <c r="J23" i="38"/>
  <c r="L23" i="38"/>
  <c r="P23" i="38"/>
  <c r="H23" i="38"/>
  <c r="T23" i="38"/>
  <c r="J24" i="38"/>
  <c r="D24" i="38"/>
  <c r="L24" i="38"/>
  <c r="P24" i="38"/>
  <c r="H24" i="38"/>
  <c r="T24" i="38"/>
  <c r="J25" i="38"/>
  <c r="L25" i="38"/>
  <c r="P25" i="38"/>
  <c r="H25" i="38"/>
  <c r="T25" i="38"/>
  <c r="J26" i="38"/>
  <c r="L26" i="38"/>
  <c r="P26" i="38"/>
  <c r="H26" i="38"/>
  <c r="T26" i="38"/>
  <c r="J27" i="38"/>
  <c r="D27" i="38"/>
  <c r="L27" i="38"/>
  <c r="P27" i="38"/>
  <c r="H27" i="38"/>
  <c r="T27" i="38"/>
  <c r="J28" i="38"/>
  <c r="L28" i="38"/>
  <c r="P28" i="38"/>
  <c r="H28" i="38"/>
  <c r="T28" i="38"/>
  <c r="J29" i="38"/>
  <c r="L29" i="38"/>
  <c r="P29" i="38"/>
  <c r="H29" i="38"/>
  <c r="T29" i="38"/>
  <c r="J30" i="38"/>
  <c r="L30" i="38"/>
  <c r="P30" i="38"/>
  <c r="H30" i="38"/>
  <c r="T30" i="38"/>
  <c r="J31" i="38"/>
  <c r="D31" i="38"/>
  <c r="L31" i="38"/>
  <c r="P31" i="38"/>
  <c r="H31" i="38"/>
  <c r="T31" i="38"/>
  <c r="J32" i="38"/>
  <c r="L32" i="38"/>
  <c r="P32" i="38"/>
  <c r="H32" i="38"/>
  <c r="T32" i="38"/>
  <c r="J33" i="38"/>
  <c r="L33" i="38"/>
  <c r="P33" i="38"/>
  <c r="H33" i="38"/>
  <c r="T33" i="38"/>
  <c r="J34" i="38"/>
  <c r="D34" i="38"/>
  <c r="L34" i="38"/>
  <c r="P34" i="38"/>
  <c r="H34" i="38"/>
  <c r="T34" i="38"/>
  <c r="J35" i="38"/>
  <c r="D35" i="38"/>
  <c r="L35" i="38"/>
  <c r="P35" i="38"/>
  <c r="H35" i="38"/>
  <c r="T35" i="38"/>
  <c r="J36" i="38"/>
  <c r="L36" i="38"/>
  <c r="P36" i="38"/>
  <c r="H36" i="38"/>
  <c r="T36" i="38"/>
  <c r="J37" i="38"/>
  <c r="D37" i="38"/>
  <c r="L37" i="38"/>
  <c r="P37" i="38"/>
  <c r="H37" i="38"/>
  <c r="T37" i="38"/>
  <c r="J38" i="38"/>
  <c r="D38" i="38"/>
  <c r="L38" i="38"/>
  <c r="P38" i="38"/>
  <c r="H38" i="38"/>
  <c r="T38" i="38"/>
  <c r="J39" i="38"/>
  <c r="L39" i="38"/>
  <c r="P39" i="38"/>
  <c r="H39" i="38"/>
  <c r="T39" i="38"/>
  <c r="J40" i="38"/>
  <c r="L40" i="38"/>
  <c r="P40" i="38"/>
  <c r="H40" i="38"/>
  <c r="T40" i="38"/>
  <c r="J41" i="38"/>
  <c r="L41" i="38"/>
  <c r="P41" i="38"/>
  <c r="H41" i="38"/>
  <c r="T41" i="38"/>
  <c r="J42" i="38"/>
  <c r="L42" i="38"/>
  <c r="P42" i="38"/>
  <c r="H42" i="38"/>
  <c r="T42" i="38"/>
  <c r="J43" i="38"/>
  <c r="L43" i="38"/>
  <c r="P43" i="38"/>
  <c r="H43" i="38"/>
  <c r="T43" i="38"/>
  <c r="J44" i="38"/>
  <c r="L44" i="38"/>
  <c r="P44" i="38"/>
  <c r="H44" i="38"/>
  <c r="T44" i="38"/>
  <c r="J45" i="38"/>
  <c r="D45" i="38"/>
  <c r="L45" i="38"/>
  <c r="P45" i="38"/>
  <c r="H45" i="38"/>
  <c r="T45" i="38"/>
  <c r="J46" i="38"/>
  <c r="L46" i="38"/>
  <c r="P46" i="38"/>
  <c r="H46" i="38"/>
  <c r="T46" i="38"/>
  <c r="J47" i="38"/>
  <c r="L47" i="38"/>
  <c r="P47" i="38"/>
  <c r="H47" i="38"/>
  <c r="T47" i="38"/>
  <c r="J48" i="38"/>
  <c r="D48" i="38"/>
  <c r="L48" i="38"/>
  <c r="P48" i="38"/>
  <c r="H48" i="38"/>
  <c r="T48" i="38"/>
  <c r="J49" i="38"/>
  <c r="L49" i="38"/>
  <c r="P49" i="38"/>
  <c r="H49" i="38"/>
  <c r="T49" i="38"/>
  <c r="J50" i="38"/>
  <c r="L50" i="38"/>
  <c r="P50" i="38"/>
  <c r="H50" i="38"/>
  <c r="T50" i="38"/>
  <c r="J51" i="38"/>
  <c r="L51" i="38"/>
  <c r="P51" i="38"/>
  <c r="H51" i="38"/>
  <c r="T51" i="38"/>
  <c r="J52" i="38"/>
  <c r="L52" i="38"/>
  <c r="P52" i="38"/>
  <c r="H52" i="38"/>
  <c r="T52" i="38"/>
  <c r="J53" i="38"/>
  <c r="D53" i="38"/>
  <c r="L53" i="38"/>
  <c r="P53" i="38"/>
  <c r="H53" i="38"/>
  <c r="T53" i="38"/>
  <c r="J54" i="38"/>
  <c r="D54" i="38"/>
  <c r="L54" i="38"/>
  <c r="P54" i="38"/>
  <c r="H54" i="38"/>
  <c r="T54" i="38"/>
  <c r="T56" i="38"/>
  <c r="G56" i="38"/>
  <c r="H56" i="38"/>
  <c r="V66" i="38"/>
  <c r="O4" i="23"/>
  <c r="X6" i="57"/>
  <c r="J4" i="55"/>
  <c r="K4" i="55"/>
  <c r="O4" i="55"/>
  <c r="H4" i="55"/>
  <c r="S4" i="55"/>
  <c r="J5" i="55"/>
  <c r="K5" i="55"/>
  <c r="O5" i="55"/>
  <c r="H5" i="55"/>
  <c r="S5" i="55"/>
  <c r="J6" i="55"/>
  <c r="K6" i="55"/>
  <c r="O6" i="55"/>
  <c r="H6" i="55"/>
  <c r="S6" i="55"/>
  <c r="J7" i="55"/>
  <c r="D7" i="55"/>
  <c r="K7" i="55"/>
  <c r="O7" i="55"/>
  <c r="H7" i="55"/>
  <c r="S7" i="55"/>
  <c r="J8" i="55"/>
  <c r="K8" i="55"/>
  <c r="O8" i="55"/>
  <c r="H8" i="55"/>
  <c r="S8" i="55"/>
  <c r="J9" i="55"/>
  <c r="D9" i="55"/>
  <c r="K9" i="55"/>
  <c r="O9" i="55"/>
  <c r="H9" i="55"/>
  <c r="S9" i="55"/>
  <c r="J10" i="55"/>
  <c r="K10" i="55"/>
  <c r="O10" i="55"/>
  <c r="H10" i="55"/>
  <c r="S10" i="55"/>
  <c r="J11" i="55"/>
  <c r="K11" i="55"/>
  <c r="O11" i="55"/>
  <c r="H11" i="55"/>
  <c r="S11" i="55"/>
  <c r="J12" i="55"/>
  <c r="K12" i="55"/>
  <c r="O12" i="55"/>
  <c r="H12" i="55"/>
  <c r="S12" i="55"/>
  <c r="J13" i="55"/>
  <c r="K13" i="55"/>
  <c r="O13" i="55"/>
  <c r="H13" i="55"/>
  <c r="S13" i="55"/>
  <c r="J14" i="55"/>
  <c r="D14" i="55"/>
  <c r="K14" i="55"/>
  <c r="O14" i="55"/>
  <c r="H14" i="55"/>
  <c r="S14" i="55"/>
  <c r="J15" i="55"/>
  <c r="D15" i="55"/>
  <c r="K15" i="55"/>
  <c r="O15" i="55"/>
  <c r="H15" i="55"/>
  <c r="S15" i="55"/>
  <c r="J16" i="55"/>
  <c r="K16" i="55"/>
  <c r="O16" i="55"/>
  <c r="H16" i="55"/>
  <c r="S16" i="55"/>
  <c r="J17" i="55"/>
  <c r="K17" i="55"/>
  <c r="O17" i="55"/>
  <c r="H17" i="55"/>
  <c r="S17" i="55"/>
  <c r="J18" i="55"/>
  <c r="D18" i="55"/>
  <c r="K18" i="55"/>
  <c r="O18" i="55"/>
  <c r="H18" i="55"/>
  <c r="S18" i="55"/>
  <c r="J19" i="55"/>
  <c r="D19" i="55"/>
  <c r="K19" i="55"/>
  <c r="O19" i="55"/>
  <c r="H19" i="55"/>
  <c r="S19" i="55"/>
  <c r="J20" i="55"/>
  <c r="K20" i="55"/>
  <c r="O20" i="55"/>
  <c r="H20" i="55"/>
  <c r="S20" i="55"/>
  <c r="J21" i="55"/>
  <c r="D21" i="55"/>
  <c r="K21" i="55"/>
  <c r="O21" i="55"/>
  <c r="H21" i="55"/>
  <c r="S21" i="55"/>
  <c r="J22" i="55"/>
  <c r="D22" i="55"/>
  <c r="K22" i="55"/>
  <c r="O22" i="55"/>
  <c r="H22" i="55"/>
  <c r="S22" i="55"/>
  <c r="J23" i="55"/>
  <c r="D23" i="55"/>
  <c r="K23" i="55"/>
  <c r="O23" i="55"/>
  <c r="H23" i="55"/>
  <c r="S23" i="55"/>
  <c r="J24" i="55"/>
  <c r="D24" i="55"/>
  <c r="K24" i="55"/>
  <c r="O24" i="55"/>
  <c r="H24" i="55"/>
  <c r="S24" i="55"/>
  <c r="J25" i="55"/>
  <c r="D25" i="55"/>
  <c r="K25" i="55"/>
  <c r="O25" i="55"/>
  <c r="H25" i="55"/>
  <c r="S25" i="55"/>
  <c r="J26" i="55"/>
  <c r="D26" i="55"/>
  <c r="K26" i="55"/>
  <c r="O26" i="55"/>
  <c r="H26" i="55"/>
  <c r="S26" i="55"/>
  <c r="J27" i="55"/>
  <c r="D27" i="55"/>
  <c r="K27" i="55"/>
  <c r="O27" i="55"/>
  <c r="H27" i="55"/>
  <c r="S27" i="55"/>
  <c r="J28" i="55"/>
  <c r="D28" i="55"/>
  <c r="K28" i="55"/>
  <c r="O28" i="55"/>
  <c r="H28" i="55"/>
  <c r="S28" i="55"/>
  <c r="J29" i="55"/>
  <c r="D29" i="55"/>
  <c r="K29" i="55"/>
  <c r="O29" i="55"/>
  <c r="H29" i="55"/>
  <c r="S29" i="55"/>
  <c r="J30" i="55"/>
  <c r="K30" i="55"/>
  <c r="O30" i="55"/>
  <c r="H30" i="55"/>
  <c r="S30" i="55"/>
  <c r="J31" i="55"/>
  <c r="D31" i="55"/>
  <c r="K31" i="55"/>
  <c r="O31" i="55"/>
  <c r="H31" i="55"/>
  <c r="S31" i="55"/>
  <c r="J32" i="55"/>
  <c r="K32" i="55"/>
  <c r="O32" i="55"/>
  <c r="H32" i="55"/>
  <c r="S32" i="55"/>
  <c r="J33" i="55"/>
  <c r="K33" i="55"/>
  <c r="O33" i="55"/>
  <c r="H33" i="55"/>
  <c r="S33" i="55"/>
  <c r="J34" i="55"/>
  <c r="D34" i="55"/>
  <c r="K34" i="55"/>
  <c r="O34" i="55"/>
  <c r="H34" i="55"/>
  <c r="S34" i="55"/>
  <c r="J35" i="55"/>
  <c r="D35" i="55"/>
  <c r="K35" i="55"/>
  <c r="O35" i="55"/>
  <c r="H35" i="55"/>
  <c r="S35" i="55"/>
  <c r="J36" i="55"/>
  <c r="D36" i="55"/>
  <c r="K36" i="55"/>
  <c r="O36" i="55"/>
  <c r="H36" i="55"/>
  <c r="S36" i="55"/>
  <c r="J37" i="55"/>
  <c r="D37" i="55"/>
  <c r="K37" i="55"/>
  <c r="O37" i="55"/>
  <c r="H37" i="55"/>
  <c r="S37" i="55"/>
  <c r="J38" i="55"/>
  <c r="D38" i="55"/>
  <c r="K38" i="55"/>
  <c r="O38" i="55"/>
  <c r="H38" i="55"/>
  <c r="S38" i="55"/>
  <c r="J39" i="55"/>
  <c r="K39" i="55"/>
  <c r="O39" i="55"/>
  <c r="H39" i="55"/>
  <c r="S39" i="55"/>
  <c r="J40" i="55"/>
  <c r="D40" i="55"/>
  <c r="K40" i="55"/>
  <c r="O40" i="55"/>
  <c r="H40" i="55"/>
  <c r="S40" i="55"/>
  <c r="J41" i="55"/>
  <c r="K41" i="55"/>
  <c r="O41" i="55"/>
  <c r="H41" i="55"/>
  <c r="S41" i="55"/>
  <c r="J42" i="55"/>
  <c r="D42" i="55"/>
  <c r="K42" i="55"/>
  <c r="O42" i="55"/>
  <c r="H42" i="55"/>
  <c r="S42" i="55"/>
  <c r="J43" i="55"/>
  <c r="D43" i="55"/>
  <c r="K43" i="55"/>
  <c r="O43" i="55"/>
  <c r="H43" i="55"/>
  <c r="S43" i="55"/>
  <c r="J44" i="55"/>
  <c r="D44" i="55"/>
  <c r="K44" i="55"/>
  <c r="O44" i="55"/>
  <c r="H44" i="55"/>
  <c r="S44" i="55"/>
  <c r="J45" i="55"/>
  <c r="D45" i="55"/>
  <c r="K45" i="55"/>
  <c r="O45" i="55"/>
  <c r="H45" i="55"/>
  <c r="S45" i="55"/>
  <c r="J46" i="55"/>
  <c r="D46" i="55"/>
  <c r="K46" i="55"/>
  <c r="O46" i="55"/>
  <c r="H46" i="55"/>
  <c r="S46" i="55"/>
  <c r="J47" i="55"/>
  <c r="D47" i="55"/>
  <c r="K47" i="55"/>
  <c r="O47" i="55"/>
  <c r="H47" i="55"/>
  <c r="S47" i="55"/>
  <c r="J48" i="55"/>
  <c r="D48" i="55"/>
  <c r="K48" i="55"/>
  <c r="O48" i="55"/>
  <c r="H48" i="55"/>
  <c r="S48" i="55"/>
  <c r="J49" i="55"/>
  <c r="D49" i="55"/>
  <c r="K49" i="55"/>
  <c r="O49" i="55"/>
  <c r="H49" i="55"/>
  <c r="S49" i="55"/>
  <c r="J50" i="55"/>
  <c r="K50" i="55"/>
  <c r="O50" i="55"/>
  <c r="H50" i="55"/>
  <c r="S50" i="55"/>
  <c r="J51" i="55"/>
  <c r="K51" i="55"/>
  <c r="O51" i="55"/>
  <c r="H51" i="55"/>
  <c r="S51" i="55"/>
  <c r="J52" i="55"/>
  <c r="K52" i="55"/>
  <c r="O52" i="55"/>
  <c r="H52" i="55"/>
  <c r="S52" i="55"/>
  <c r="J53" i="55"/>
  <c r="D53" i="55"/>
  <c r="K53" i="55"/>
  <c r="O53" i="55"/>
  <c r="H53" i="55"/>
  <c r="S53" i="55"/>
  <c r="J54" i="55"/>
  <c r="D54" i="55"/>
  <c r="K54" i="55"/>
  <c r="O54" i="55"/>
  <c r="H54" i="55"/>
  <c r="S54" i="55"/>
  <c r="S56" i="55"/>
  <c r="G56" i="55"/>
  <c r="H56" i="55"/>
  <c r="U66" i="55"/>
  <c r="O4" i="51"/>
  <c r="P4" i="51"/>
  <c r="Y6" i="57"/>
  <c r="J4" i="56"/>
  <c r="K4" i="56"/>
  <c r="N4" i="56"/>
  <c r="J8" i="56"/>
  <c r="E8" i="56"/>
  <c r="D8" i="56"/>
  <c r="K8" i="56"/>
  <c r="N8" i="56"/>
  <c r="N13" i="56"/>
  <c r="N14" i="56"/>
  <c r="J17" i="56"/>
  <c r="E17" i="56"/>
  <c r="K17" i="56"/>
  <c r="N17" i="56"/>
  <c r="J18" i="56"/>
  <c r="E18" i="56"/>
  <c r="K18" i="56"/>
  <c r="N18" i="56"/>
  <c r="J21" i="56"/>
  <c r="K21" i="56"/>
  <c r="N21" i="56"/>
  <c r="J22" i="56"/>
  <c r="K22" i="56"/>
  <c r="N22" i="56"/>
  <c r="J26" i="56"/>
  <c r="K26" i="56"/>
  <c r="N26" i="56"/>
  <c r="N36" i="56"/>
  <c r="N37" i="56"/>
  <c r="J39" i="56"/>
  <c r="D39" i="56"/>
  <c r="K39" i="56"/>
  <c r="N39" i="56"/>
  <c r="J42" i="56"/>
  <c r="K42" i="56"/>
  <c r="N42" i="56"/>
  <c r="J47" i="56"/>
  <c r="E47" i="56"/>
  <c r="D47" i="56"/>
  <c r="K47" i="56"/>
  <c r="N47" i="56"/>
  <c r="N50" i="56"/>
  <c r="H4" i="56"/>
  <c r="H8" i="56"/>
  <c r="H17" i="56"/>
  <c r="H18" i="56"/>
  <c r="H21" i="56"/>
  <c r="H22" i="56"/>
  <c r="H26" i="56"/>
  <c r="H39" i="56"/>
  <c r="H42" i="56"/>
  <c r="H47" i="56"/>
  <c r="N60" i="56"/>
  <c r="O4" i="24"/>
  <c r="P4" i="24"/>
  <c r="Z6" i="57"/>
  <c r="AD6" i="57"/>
  <c r="AD5" i="57"/>
  <c r="N4" i="38"/>
  <c r="S4" i="38"/>
  <c r="N5" i="38"/>
  <c r="S5" i="38"/>
  <c r="N6" i="38"/>
  <c r="S6" i="38"/>
  <c r="N7" i="38"/>
  <c r="S7" i="38"/>
  <c r="N8" i="38"/>
  <c r="S8" i="38"/>
  <c r="N9" i="38"/>
  <c r="S9" i="38"/>
  <c r="N10" i="38"/>
  <c r="S10" i="38"/>
  <c r="N11" i="38"/>
  <c r="S11" i="38"/>
  <c r="N12" i="38"/>
  <c r="S12" i="38"/>
  <c r="N13" i="38"/>
  <c r="S13" i="38"/>
  <c r="N14" i="38"/>
  <c r="S14" i="38"/>
  <c r="N15" i="38"/>
  <c r="S15" i="38"/>
  <c r="N16" i="38"/>
  <c r="S16" i="38"/>
  <c r="N17" i="38"/>
  <c r="S17" i="38"/>
  <c r="N18" i="38"/>
  <c r="S18" i="38"/>
  <c r="N19" i="38"/>
  <c r="S19" i="38"/>
  <c r="N20" i="38"/>
  <c r="S20" i="38"/>
  <c r="N21" i="38"/>
  <c r="S21" i="38"/>
  <c r="N22" i="38"/>
  <c r="S22" i="38"/>
  <c r="N23" i="38"/>
  <c r="S23" i="38"/>
  <c r="N24" i="38"/>
  <c r="S24" i="38"/>
  <c r="N25" i="38"/>
  <c r="S25" i="38"/>
  <c r="N26" i="38"/>
  <c r="S26" i="38"/>
  <c r="N27" i="38"/>
  <c r="S27" i="38"/>
  <c r="N28" i="38"/>
  <c r="S28" i="38"/>
  <c r="N29" i="38"/>
  <c r="S29" i="38"/>
  <c r="N30" i="38"/>
  <c r="S30" i="38"/>
  <c r="N31" i="38"/>
  <c r="S31" i="38"/>
  <c r="N32" i="38"/>
  <c r="S32" i="38"/>
  <c r="N33" i="38"/>
  <c r="S33" i="38"/>
  <c r="N34" i="38"/>
  <c r="S34" i="38"/>
  <c r="N35" i="38"/>
  <c r="S35" i="38"/>
  <c r="N36" i="38"/>
  <c r="S36" i="38"/>
  <c r="N37" i="38"/>
  <c r="S37" i="38"/>
  <c r="N38" i="38"/>
  <c r="S38" i="38"/>
  <c r="N39" i="38"/>
  <c r="S39" i="38"/>
  <c r="N40" i="38"/>
  <c r="S40" i="38"/>
  <c r="N41" i="38"/>
  <c r="S41" i="38"/>
  <c r="N42" i="38"/>
  <c r="S42" i="38"/>
  <c r="N43" i="38"/>
  <c r="S43" i="38"/>
  <c r="N44" i="38"/>
  <c r="S44" i="38"/>
  <c r="N45" i="38"/>
  <c r="S45" i="38"/>
  <c r="N46" i="38"/>
  <c r="S46" i="38"/>
  <c r="N47" i="38"/>
  <c r="S47" i="38"/>
  <c r="N48" i="38"/>
  <c r="S48" i="38"/>
  <c r="N49" i="38"/>
  <c r="S49" i="38"/>
  <c r="N50" i="38"/>
  <c r="S50" i="38"/>
  <c r="N51" i="38"/>
  <c r="S51" i="38"/>
  <c r="N52" i="38"/>
  <c r="S52" i="38"/>
  <c r="N53" i="38"/>
  <c r="S53" i="38"/>
  <c r="N54" i="38"/>
  <c r="S54" i="38"/>
  <c r="S56" i="38"/>
  <c r="V62" i="38"/>
  <c r="X4" i="23"/>
  <c r="Y4" i="23"/>
  <c r="X8" i="57"/>
  <c r="M4" i="55"/>
  <c r="R4" i="55"/>
  <c r="M5" i="55"/>
  <c r="R5" i="55"/>
  <c r="M6" i="55"/>
  <c r="R6" i="55"/>
  <c r="M7" i="55"/>
  <c r="R7" i="55"/>
  <c r="M8" i="55"/>
  <c r="R8" i="55"/>
  <c r="M9" i="55"/>
  <c r="R9" i="55"/>
  <c r="M10" i="55"/>
  <c r="R10" i="55"/>
  <c r="M11" i="55"/>
  <c r="R11" i="55"/>
  <c r="M12" i="55"/>
  <c r="R12" i="55"/>
  <c r="M13" i="55"/>
  <c r="R13" i="55"/>
  <c r="M14" i="55"/>
  <c r="R14" i="55"/>
  <c r="M15" i="55"/>
  <c r="R15" i="55"/>
  <c r="M16" i="55"/>
  <c r="R16" i="55"/>
  <c r="M17" i="55"/>
  <c r="R17" i="55"/>
  <c r="M18" i="55"/>
  <c r="R18" i="55"/>
  <c r="M19" i="55"/>
  <c r="R19" i="55"/>
  <c r="M20" i="55"/>
  <c r="R20" i="55"/>
  <c r="M21" i="55"/>
  <c r="R21" i="55"/>
  <c r="M22" i="55"/>
  <c r="R22" i="55"/>
  <c r="M23" i="55"/>
  <c r="R23" i="55"/>
  <c r="M24" i="55"/>
  <c r="R24" i="55"/>
  <c r="M25" i="55"/>
  <c r="R25" i="55"/>
  <c r="M26" i="55"/>
  <c r="R26" i="55"/>
  <c r="M27" i="55"/>
  <c r="R27" i="55"/>
  <c r="M28" i="55"/>
  <c r="R28" i="55"/>
  <c r="M29" i="55"/>
  <c r="R29" i="55"/>
  <c r="M30" i="55"/>
  <c r="R30" i="55"/>
  <c r="M31" i="55"/>
  <c r="R31" i="55"/>
  <c r="M32" i="55"/>
  <c r="R32" i="55"/>
  <c r="M33" i="55"/>
  <c r="R33" i="55"/>
  <c r="M34" i="55"/>
  <c r="R34" i="55"/>
  <c r="M35" i="55"/>
  <c r="R35" i="55"/>
  <c r="M36" i="55"/>
  <c r="R36" i="55"/>
  <c r="M37" i="55"/>
  <c r="R37" i="55"/>
  <c r="M38" i="55"/>
  <c r="R38" i="55"/>
  <c r="M39" i="55"/>
  <c r="R39" i="55"/>
  <c r="M40" i="55"/>
  <c r="R40" i="55"/>
  <c r="M41" i="55"/>
  <c r="R41" i="55"/>
  <c r="M42" i="55"/>
  <c r="R42" i="55"/>
  <c r="M43" i="55"/>
  <c r="R43" i="55"/>
  <c r="M44" i="55"/>
  <c r="R44" i="55"/>
  <c r="M45" i="55"/>
  <c r="R45" i="55"/>
  <c r="M46" i="55"/>
  <c r="R46" i="55"/>
  <c r="M47" i="55"/>
  <c r="R47" i="55"/>
  <c r="M48" i="55"/>
  <c r="R48" i="55"/>
  <c r="M49" i="55"/>
  <c r="R49" i="55"/>
  <c r="M50" i="55"/>
  <c r="R50" i="55"/>
  <c r="M51" i="55"/>
  <c r="R51" i="55"/>
  <c r="M52" i="55"/>
  <c r="R52" i="55"/>
  <c r="M53" i="55"/>
  <c r="R53" i="55"/>
  <c r="M54" i="55"/>
  <c r="R54" i="55"/>
  <c r="R56" i="55"/>
  <c r="U62" i="55"/>
  <c r="X4" i="51"/>
  <c r="Y4" i="51"/>
  <c r="Y8" i="57"/>
  <c r="M4" i="56"/>
  <c r="Q4" i="56"/>
  <c r="M8" i="56"/>
  <c r="Q8" i="56"/>
  <c r="Q17" i="56"/>
  <c r="Q18" i="56"/>
  <c r="Q21" i="56"/>
  <c r="Q22" i="56"/>
  <c r="Q26" i="56"/>
  <c r="Q39" i="56"/>
  <c r="Q42" i="56"/>
  <c r="Q47" i="56"/>
  <c r="Q56" i="56"/>
  <c r="G56" i="56"/>
  <c r="G58" i="56"/>
  <c r="Q57" i="56"/>
  <c r="R4" i="56"/>
  <c r="R8" i="56"/>
  <c r="R17" i="56"/>
  <c r="R18" i="56"/>
  <c r="R21" i="56"/>
  <c r="R22" i="56"/>
  <c r="R26" i="56"/>
  <c r="R39" i="56"/>
  <c r="R42" i="56"/>
  <c r="R47" i="56"/>
  <c r="R56" i="56"/>
  <c r="R57" i="56"/>
  <c r="S61" i="56"/>
  <c r="H57" i="56"/>
  <c r="T61" i="56"/>
  <c r="L4" i="56"/>
  <c r="O4" i="56"/>
  <c r="S4" i="56"/>
  <c r="L8" i="56"/>
  <c r="O8" i="56"/>
  <c r="S8" i="56"/>
  <c r="S17" i="56"/>
  <c r="S18" i="56"/>
  <c r="S21" i="56"/>
  <c r="S22" i="56"/>
  <c r="S26" i="56"/>
  <c r="S39" i="56"/>
  <c r="S42" i="56"/>
  <c r="S47" i="56"/>
  <c r="S56" i="56"/>
  <c r="S57" i="56"/>
  <c r="S62" i="56"/>
  <c r="T62" i="56"/>
  <c r="T63" i="56"/>
  <c r="X4" i="24"/>
  <c r="Y4" i="24"/>
  <c r="Z8" i="57"/>
  <c r="AD8" i="57"/>
  <c r="M4" i="38"/>
  <c r="Q4" i="38"/>
  <c r="U4" i="38"/>
  <c r="M5" i="38"/>
  <c r="Q5" i="38"/>
  <c r="U5" i="38"/>
  <c r="M6" i="38"/>
  <c r="Q6" i="38"/>
  <c r="U6" i="38"/>
  <c r="M7" i="38"/>
  <c r="Q7" i="38"/>
  <c r="U7" i="38"/>
  <c r="M8" i="38"/>
  <c r="Q8" i="38"/>
  <c r="U8" i="38"/>
  <c r="M9" i="38"/>
  <c r="Q9" i="38"/>
  <c r="U9" i="38"/>
  <c r="M10" i="38"/>
  <c r="Q10" i="38"/>
  <c r="U10" i="38"/>
  <c r="M11" i="38"/>
  <c r="Q11" i="38"/>
  <c r="U11" i="38"/>
  <c r="M12" i="38"/>
  <c r="Q12" i="38"/>
  <c r="U12" i="38"/>
  <c r="M13" i="38"/>
  <c r="Q13" i="38"/>
  <c r="U13" i="38"/>
  <c r="M14" i="38"/>
  <c r="Q14" i="38"/>
  <c r="U14" i="38"/>
  <c r="M15" i="38"/>
  <c r="Q15" i="38"/>
  <c r="U15" i="38"/>
  <c r="M16" i="38"/>
  <c r="Q16" i="38"/>
  <c r="U16" i="38"/>
  <c r="M17" i="38"/>
  <c r="Q17" i="38"/>
  <c r="U17" i="38"/>
  <c r="M18" i="38"/>
  <c r="Q18" i="38"/>
  <c r="U18" i="38"/>
  <c r="M19" i="38"/>
  <c r="Q19" i="38"/>
  <c r="U19" i="38"/>
  <c r="M20" i="38"/>
  <c r="Q20" i="38"/>
  <c r="U20" i="38"/>
  <c r="M21" i="38"/>
  <c r="Q21" i="38"/>
  <c r="U21" i="38"/>
  <c r="M22" i="38"/>
  <c r="Q22" i="38"/>
  <c r="U22" i="38"/>
  <c r="M23" i="38"/>
  <c r="Q23" i="38"/>
  <c r="U23" i="38"/>
  <c r="M24" i="38"/>
  <c r="Q24" i="38"/>
  <c r="U24" i="38"/>
  <c r="M25" i="38"/>
  <c r="Q25" i="38"/>
  <c r="U25" i="38"/>
  <c r="M26" i="38"/>
  <c r="Q26" i="38"/>
  <c r="U26" i="38"/>
  <c r="M27" i="38"/>
  <c r="Q27" i="38"/>
  <c r="U27" i="38"/>
  <c r="M28" i="38"/>
  <c r="Q28" i="38"/>
  <c r="U28" i="38"/>
  <c r="M29" i="38"/>
  <c r="Q29" i="38"/>
  <c r="U29" i="38"/>
  <c r="M30" i="38"/>
  <c r="Q30" i="38"/>
  <c r="U30" i="38"/>
  <c r="M31" i="38"/>
  <c r="Q31" i="38"/>
  <c r="U31" i="38"/>
  <c r="M32" i="38"/>
  <c r="Q32" i="38"/>
  <c r="U32" i="38"/>
  <c r="M33" i="38"/>
  <c r="Q33" i="38"/>
  <c r="U33" i="38"/>
  <c r="M34" i="38"/>
  <c r="Q34" i="38"/>
  <c r="U34" i="38"/>
  <c r="M35" i="38"/>
  <c r="Q35" i="38"/>
  <c r="U35" i="38"/>
  <c r="M36" i="38"/>
  <c r="Q36" i="38"/>
  <c r="U36" i="38"/>
  <c r="M37" i="38"/>
  <c r="Q37" i="38"/>
  <c r="U37" i="38"/>
  <c r="M38" i="38"/>
  <c r="Q38" i="38"/>
  <c r="U38" i="38"/>
  <c r="M39" i="38"/>
  <c r="Q39" i="38"/>
  <c r="U39" i="38"/>
  <c r="M40" i="38"/>
  <c r="Q40" i="38"/>
  <c r="U40" i="38"/>
  <c r="M41" i="38"/>
  <c r="Q41" i="38"/>
  <c r="U41" i="38"/>
  <c r="M42" i="38"/>
  <c r="Q42" i="38"/>
  <c r="U42" i="38"/>
  <c r="M43" i="38"/>
  <c r="Q43" i="38"/>
  <c r="U43" i="38"/>
  <c r="M44" i="38"/>
  <c r="Q44" i="38"/>
  <c r="U44" i="38"/>
  <c r="M45" i="38"/>
  <c r="Q45" i="38"/>
  <c r="U45" i="38"/>
  <c r="M46" i="38"/>
  <c r="Q46" i="38"/>
  <c r="U46" i="38"/>
  <c r="M47" i="38"/>
  <c r="Q47" i="38"/>
  <c r="U47" i="38"/>
  <c r="M48" i="38"/>
  <c r="Q48" i="38"/>
  <c r="U48" i="38"/>
  <c r="M49" i="38"/>
  <c r="Q49" i="38"/>
  <c r="U49" i="38"/>
  <c r="M50" i="38"/>
  <c r="Q50" i="38"/>
  <c r="U50" i="38"/>
  <c r="M51" i="38"/>
  <c r="Q51" i="38"/>
  <c r="U51" i="38"/>
  <c r="M52" i="38"/>
  <c r="Q52" i="38"/>
  <c r="U52" i="38"/>
  <c r="M53" i="38"/>
  <c r="Q53" i="38"/>
  <c r="U53" i="38"/>
  <c r="M54" i="38"/>
  <c r="Q54" i="38"/>
  <c r="U54" i="38"/>
  <c r="U56" i="38"/>
  <c r="V63" i="38"/>
  <c r="W4" i="23"/>
  <c r="X9" i="57"/>
  <c r="L4" i="55"/>
  <c r="P4" i="55"/>
  <c r="T4" i="55"/>
  <c r="L5" i="55"/>
  <c r="P5" i="55"/>
  <c r="T5" i="55"/>
  <c r="L6" i="55"/>
  <c r="P6" i="55"/>
  <c r="T6" i="55"/>
  <c r="L7" i="55"/>
  <c r="P7" i="55"/>
  <c r="T7" i="55"/>
  <c r="L8" i="55"/>
  <c r="P8" i="55"/>
  <c r="T8" i="55"/>
  <c r="L9" i="55"/>
  <c r="P9" i="55"/>
  <c r="T9" i="55"/>
  <c r="L10" i="55"/>
  <c r="P10" i="55"/>
  <c r="T10" i="55"/>
  <c r="L11" i="55"/>
  <c r="P11" i="55"/>
  <c r="T11" i="55"/>
  <c r="L12" i="55"/>
  <c r="P12" i="55"/>
  <c r="T12" i="55"/>
  <c r="L13" i="55"/>
  <c r="P13" i="55"/>
  <c r="T13" i="55"/>
  <c r="L14" i="55"/>
  <c r="P14" i="55"/>
  <c r="T14" i="55"/>
  <c r="L15" i="55"/>
  <c r="P15" i="55"/>
  <c r="T15" i="55"/>
  <c r="L16" i="55"/>
  <c r="P16" i="55"/>
  <c r="T16" i="55"/>
  <c r="L17" i="55"/>
  <c r="P17" i="55"/>
  <c r="T17" i="55"/>
  <c r="L18" i="55"/>
  <c r="P18" i="55"/>
  <c r="T18" i="55"/>
  <c r="L19" i="55"/>
  <c r="P19" i="55"/>
  <c r="T19" i="55"/>
  <c r="L20" i="55"/>
  <c r="P20" i="55"/>
  <c r="T20" i="55"/>
  <c r="L21" i="55"/>
  <c r="P21" i="55"/>
  <c r="T21" i="55"/>
  <c r="L22" i="55"/>
  <c r="P22" i="55"/>
  <c r="T22" i="55"/>
  <c r="L23" i="55"/>
  <c r="P23" i="55"/>
  <c r="T23" i="55"/>
  <c r="L24" i="55"/>
  <c r="P24" i="55"/>
  <c r="T24" i="55"/>
  <c r="L25" i="55"/>
  <c r="P25" i="55"/>
  <c r="T25" i="55"/>
  <c r="L26" i="55"/>
  <c r="P26" i="55"/>
  <c r="T26" i="55"/>
  <c r="L27" i="55"/>
  <c r="P27" i="55"/>
  <c r="T27" i="55"/>
  <c r="L28" i="55"/>
  <c r="P28" i="55"/>
  <c r="T28" i="55"/>
  <c r="L29" i="55"/>
  <c r="P29" i="55"/>
  <c r="T29" i="55"/>
  <c r="L30" i="55"/>
  <c r="P30" i="55"/>
  <c r="T30" i="55"/>
  <c r="L31" i="55"/>
  <c r="P31" i="55"/>
  <c r="T31" i="55"/>
  <c r="L32" i="55"/>
  <c r="P32" i="55"/>
  <c r="T32" i="55"/>
  <c r="L33" i="55"/>
  <c r="P33" i="55"/>
  <c r="T33" i="55"/>
  <c r="L34" i="55"/>
  <c r="P34" i="55"/>
  <c r="T34" i="55"/>
  <c r="L35" i="55"/>
  <c r="P35" i="55"/>
  <c r="T35" i="55"/>
  <c r="L36" i="55"/>
  <c r="P36" i="55"/>
  <c r="T36" i="55"/>
  <c r="L37" i="55"/>
  <c r="P37" i="55"/>
  <c r="T37" i="55"/>
  <c r="L38" i="55"/>
  <c r="P38" i="55"/>
  <c r="T38" i="55"/>
  <c r="L39" i="55"/>
  <c r="P39" i="55"/>
  <c r="T39" i="55"/>
  <c r="L40" i="55"/>
  <c r="P40" i="55"/>
  <c r="T40" i="55"/>
  <c r="L41" i="55"/>
  <c r="P41" i="55"/>
  <c r="T41" i="55"/>
  <c r="L42" i="55"/>
  <c r="P42" i="55"/>
  <c r="T42" i="55"/>
  <c r="L43" i="55"/>
  <c r="P43" i="55"/>
  <c r="T43" i="55"/>
  <c r="L44" i="55"/>
  <c r="P44" i="55"/>
  <c r="T44" i="55"/>
  <c r="L45" i="55"/>
  <c r="P45" i="55"/>
  <c r="T45" i="55"/>
  <c r="L46" i="55"/>
  <c r="P46" i="55"/>
  <c r="T46" i="55"/>
  <c r="L47" i="55"/>
  <c r="P47" i="55"/>
  <c r="T47" i="55"/>
  <c r="L48" i="55"/>
  <c r="P48" i="55"/>
  <c r="T48" i="55"/>
  <c r="L49" i="55"/>
  <c r="P49" i="55"/>
  <c r="T49" i="55"/>
  <c r="L50" i="55"/>
  <c r="P50" i="55"/>
  <c r="T50" i="55"/>
  <c r="L51" i="55"/>
  <c r="P51" i="55"/>
  <c r="T51" i="55"/>
  <c r="L52" i="55"/>
  <c r="P52" i="55"/>
  <c r="T52" i="55"/>
  <c r="L53" i="55"/>
  <c r="P53" i="55"/>
  <c r="T53" i="55"/>
  <c r="L54" i="55"/>
  <c r="P54" i="55"/>
  <c r="T54" i="55"/>
  <c r="T56" i="55"/>
  <c r="U63" i="55"/>
  <c r="W4" i="51"/>
  <c r="Y9" i="57"/>
  <c r="Z9" i="57"/>
  <c r="AD9" i="57"/>
  <c r="V64" i="38"/>
  <c r="Z4" i="23"/>
  <c r="AA4" i="23"/>
  <c r="X10" i="57"/>
  <c r="U64" i="55"/>
  <c r="Z4" i="51"/>
  <c r="AA4" i="51"/>
  <c r="Y10" i="57"/>
  <c r="AA4" i="24"/>
  <c r="Z10" i="57"/>
  <c r="AD10" i="57"/>
  <c r="C4" i="40"/>
  <c r="C5" i="40"/>
  <c r="C3" i="40"/>
  <c r="AC4" i="23"/>
  <c r="X11" i="57"/>
  <c r="D9" i="40"/>
  <c r="D3" i="40"/>
  <c r="AB4" i="51"/>
  <c r="AC4" i="51"/>
  <c r="Y11" i="57"/>
  <c r="E3" i="40"/>
  <c r="AB4" i="24"/>
  <c r="AC4" i="24"/>
  <c r="Z11" i="57"/>
  <c r="AD11" i="57"/>
  <c r="AD4" i="23"/>
  <c r="X12" i="57"/>
  <c r="AD4" i="51"/>
  <c r="Y12" i="57"/>
  <c r="AD4" i="24"/>
  <c r="Z12" i="57"/>
  <c r="AD12" i="57"/>
  <c r="V67" i="38"/>
  <c r="AE4" i="23"/>
  <c r="AF4" i="23"/>
  <c r="X13" i="57"/>
  <c r="U67" i="55"/>
  <c r="AE4" i="51"/>
  <c r="AF4" i="51"/>
  <c r="Y13" i="57"/>
  <c r="J13" i="56"/>
  <c r="M13" i="56"/>
  <c r="J14" i="56"/>
  <c r="M14" i="56"/>
  <c r="M17" i="56"/>
  <c r="M18" i="56"/>
  <c r="M21" i="56"/>
  <c r="M22" i="56"/>
  <c r="M26" i="56"/>
  <c r="M36" i="56"/>
  <c r="M37" i="56"/>
  <c r="M39" i="56"/>
  <c r="M42" i="56"/>
  <c r="M47" i="56"/>
  <c r="M50" i="56"/>
  <c r="M60" i="56"/>
  <c r="AE4" i="24"/>
  <c r="AF4" i="24"/>
  <c r="Z13" i="57"/>
  <c r="AD13" i="57"/>
  <c r="AD14" i="57"/>
  <c r="J6" i="23"/>
  <c r="H6" i="23"/>
  <c r="I6" i="23"/>
  <c r="K6" i="23"/>
  <c r="J7" i="23"/>
  <c r="H7" i="23"/>
  <c r="I7" i="23"/>
  <c r="K7" i="23"/>
  <c r="J8" i="23"/>
  <c r="H8" i="23"/>
  <c r="I8" i="23"/>
  <c r="K8" i="23"/>
  <c r="J9" i="23"/>
  <c r="H9" i="23"/>
  <c r="I9" i="23"/>
  <c r="K9" i="23"/>
  <c r="J10" i="23"/>
  <c r="H10" i="23"/>
  <c r="I10" i="23"/>
  <c r="K10" i="23"/>
  <c r="J11" i="23"/>
  <c r="H11" i="23"/>
  <c r="I11" i="23"/>
  <c r="K11" i="23"/>
  <c r="J12" i="23"/>
  <c r="H12" i="23"/>
  <c r="I12" i="23"/>
  <c r="K12" i="23"/>
  <c r="J13" i="23"/>
  <c r="H13" i="23"/>
  <c r="I13" i="23"/>
  <c r="K13" i="23"/>
  <c r="J14" i="23"/>
  <c r="H14" i="23"/>
  <c r="I14" i="23"/>
  <c r="K14" i="23"/>
  <c r="J15" i="23"/>
  <c r="H15" i="23"/>
  <c r="I15" i="23"/>
  <c r="K15" i="23"/>
  <c r="J16" i="23"/>
  <c r="I16" i="23"/>
  <c r="K16" i="23"/>
  <c r="J17" i="23"/>
  <c r="H17" i="23"/>
  <c r="I17" i="23"/>
  <c r="K17" i="23"/>
  <c r="J18" i="23"/>
  <c r="H18" i="23"/>
  <c r="I18" i="23"/>
  <c r="K18" i="23"/>
  <c r="J19" i="23"/>
  <c r="H19" i="23"/>
  <c r="I19" i="23"/>
  <c r="K19" i="23"/>
  <c r="J20" i="23"/>
  <c r="H20" i="23"/>
  <c r="I20" i="23"/>
  <c r="K20" i="23"/>
  <c r="J21" i="23"/>
  <c r="H21" i="23"/>
  <c r="I21" i="23"/>
  <c r="K21" i="23"/>
  <c r="J22" i="23"/>
  <c r="H22" i="23"/>
  <c r="I22" i="23"/>
  <c r="K22" i="23"/>
  <c r="J23" i="23"/>
  <c r="H23" i="23"/>
  <c r="I23" i="23"/>
  <c r="K23" i="23"/>
  <c r="J24" i="23"/>
  <c r="H24" i="23"/>
  <c r="I24" i="23"/>
  <c r="K24" i="23"/>
  <c r="J25" i="23"/>
  <c r="H25" i="23"/>
  <c r="I25" i="23"/>
  <c r="K25" i="23"/>
  <c r="J26" i="23"/>
  <c r="H26" i="23"/>
  <c r="I26" i="23"/>
  <c r="K26" i="23"/>
  <c r="J28" i="23"/>
  <c r="H28" i="23"/>
  <c r="I28" i="23"/>
  <c r="K28" i="23"/>
  <c r="J29" i="23"/>
  <c r="H29" i="23"/>
  <c r="I29" i="23"/>
  <c r="K29" i="23"/>
  <c r="J30" i="23"/>
  <c r="H30" i="23"/>
  <c r="I30" i="23"/>
  <c r="K30" i="23"/>
  <c r="J31" i="23"/>
  <c r="H31" i="23"/>
  <c r="I31" i="23"/>
  <c r="K31" i="23"/>
  <c r="J32" i="23"/>
  <c r="H32" i="23"/>
  <c r="I32" i="23"/>
  <c r="K32" i="23"/>
  <c r="J33" i="23"/>
  <c r="H33" i="23"/>
  <c r="I33" i="23"/>
  <c r="K33" i="23"/>
  <c r="J34" i="23"/>
  <c r="H34" i="23"/>
  <c r="I34" i="23"/>
  <c r="K34" i="23"/>
  <c r="K27" i="23"/>
  <c r="X16" i="57"/>
  <c r="J6" i="51"/>
  <c r="H6" i="51"/>
  <c r="I6" i="51"/>
  <c r="K6" i="51"/>
  <c r="J7" i="51"/>
  <c r="H7" i="51"/>
  <c r="I7" i="51"/>
  <c r="K7" i="51"/>
  <c r="J8" i="51"/>
  <c r="H8" i="51"/>
  <c r="I8" i="51"/>
  <c r="K8" i="51"/>
  <c r="J9" i="51"/>
  <c r="H9" i="51"/>
  <c r="I9" i="51"/>
  <c r="K9" i="51"/>
  <c r="J10" i="51"/>
  <c r="H10" i="51"/>
  <c r="I10" i="51"/>
  <c r="K10" i="51"/>
  <c r="J11" i="51"/>
  <c r="H11" i="51"/>
  <c r="I11" i="51"/>
  <c r="K11" i="51"/>
  <c r="J12" i="51"/>
  <c r="H12" i="51"/>
  <c r="I12" i="51"/>
  <c r="K12" i="51"/>
  <c r="J13" i="51"/>
  <c r="H13" i="51"/>
  <c r="I13" i="51"/>
  <c r="K13" i="51"/>
  <c r="J14" i="51"/>
  <c r="H14" i="51"/>
  <c r="I14" i="51"/>
  <c r="K14" i="51"/>
  <c r="J15" i="51"/>
  <c r="H15" i="51"/>
  <c r="I15" i="51"/>
  <c r="K15" i="51"/>
  <c r="J16" i="51"/>
  <c r="I16" i="51"/>
  <c r="K16" i="51"/>
  <c r="J17" i="51"/>
  <c r="H17" i="51"/>
  <c r="I17" i="51"/>
  <c r="K17" i="51"/>
  <c r="J18" i="51"/>
  <c r="H18" i="51"/>
  <c r="I18" i="51"/>
  <c r="K18" i="51"/>
  <c r="J19" i="51"/>
  <c r="H19" i="51"/>
  <c r="I19" i="51"/>
  <c r="K19" i="51"/>
  <c r="J20" i="51"/>
  <c r="H20" i="51"/>
  <c r="I20" i="51"/>
  <c r="K20" i="51"/>
  <c r="J21" i="51"/>
  <c r="H21" i="51"/>
  <c r="I21" i="51"/>
  <c r="K21" i="51"/>
  <c r="J22" i="51"/>
  <c r="H22" i="51"/>
  <c r="I22" i="51"/>
  <c r="K22" i="51"/>
  <c r="J23" i="51"/>
  <c r="H23" i="51"/>
  <c r="I23" i="51"/>
  <c r="K23" i="51"/>
  <c r="J24" i="51"/>
  <c r="H24" i="51"/>
  <c r="I24" i="51"/>
  <c r="K24" i="51"/>
  <c r="J25" i="51"/>
  <c r="H25" i="51"/>
  <c r="I25" i="51"/>
  <c r="K25" i="51"/>
  <c r="J26" i="51"/>
  <c r="H26" i="51"/>
  <c r="I26" i="51"/>
  <c r="K26" i="51"/>
  <c r="J28" i="51"/>
  <c r="H28" i="51"/>
  <c r="I28" i="51"/>
  <c r="K28" i="51"/>
  <c r="J29" i="51"/>
  <c r="H29" i="51"/>
  <c r="I29" i="51"/>
  <c r="K29" i="51"/>
  <c r="J30" i="51"/>
  <c r="H30" i="51"/>
  <c r="I30" i="51"/>
  <c r="K30" i="51"/>
  <c r="J31" i="51"/>
  <c r="H31" i="51"/>
  <c r="I31" i="51"/>
  <c r="K31" i="51"/>
  <c r="J32" i="51"/>
  <c r="H32" i="51"/>
  <c r="I32" i="51"/>
  <c r="K32" i="51"/>
  <c r="J33" i="51"/>
  <c r="H33" i="51"/>
  <c r="I33" i="51"/>
  <c r="K33" i="51"/>
  <c r="J34" i="51"/>
  <c r="H34" i="51"/>
  <c r="I34" i="51"/>
  <c r="K34" i="51"/>
  <c r="Y16" i="57"/>
  <c r="J6" i="24"/>
  <c r="F6" i="24"/>
  <c r="H6" i="24"/>
  <c r="I6" i="24"/>
  <c r="K6" i="24"/>
  <c r="J7" i="24"/>
  <c r="F7" i="24"/>
  <c r="H7" i="24"/>
  <c r="I7" i="24"/>
  <c r="K7" i="24"/>
  <c r="J8" i="24"/>
  <c r="F8" i="24"/>
  <c r="H8" i="24"/>
  <c r="I8" i="24"/>
  <c r="K8" i="24"/>
  <c r="J9" i="24"/>
  <c r="F9" i="24"/>
  <c r="H9" i="24"/>
  <c r="I9" i="24"/>
  <c r="K9" i="24"/>
  <c r="J10" i="24"/>
  <c r="F10" i="24"/>
  <c r="H10" i="24"/>
  <c r="I10" i="24"/>
  <c r="K10" i="24"/>
  <c r="J11" i="24"/>
  <c r="F11" i="24"/>
  <c r="H11" i="24"/>
  <c r="I11" i="24"/>
  <c r="K11" i="24"/>
  <c r="J12" i="24"/>
  <c r="F12" i="24"/>
  <c r="H12" i="24"/>
  <c r="I12" i="24"/>
  <c r="K12" i="24"/>
  <c r="J13" i="24"/>
  <c r="F13" i="24"/>
  <c r="H13" i="24"/>
  <c r="I13" i="24"/>
  <c r="K13" i="24"/>
  <c r="J14" i="24"/>
  <c r="F14" i="24"/>
  <c r="H14" i="24"/>
  <c r="I14" i="24"/>
  <c r="K14" i="24"/>
  <c r="J15" i="24"/>
  <c r="F15" i="24"/>
  <c r="H15" i="24"/>
  <c r="I15" i="24"/>
  <c r="K15" i="24"/>
  <c r="J16" i="24"/>
  <c r="F16" i="24"/>
  <c r="I16" i="24"/>
  <c r="K16" i="24"/>
  <c r="J17" i="24"/>
  <c r="F17" i="24"/>
  <c r="H17" i="24"/>
  <c r="I17" i="24"/>
  <c r="K17" i="24"/>
  <c r="J18" i="24"/>
  <c r="F18" i="24"/>
  <c r="H18" i="24"/>
  <c r="I18" i="24"/>
  <c r="K18" i="24"/>
  <c r="J19" i="24"/>
  <c r="F19" i="24"/>
  <c r="H19" i="24"/>
  <c r="I19" i="24"/>
  <c r="K19" i="24"/>
  <c r="J20" i="24"/>
  <c r="F20" i="24"/>
  <c r="H20" i="24"/>
  <c r="I20" i="24"/>
  <c r="K20" i="24"/>
  <c r="J21" i="24"/>
  <c r="F21" i="24"/>
  <c r="H21" i="24"/>
  <c r="I21" i="24"/>
  <c r="K21" i="24"/>
  <c r="J22" i="24"/>
  <c r="F22" i="24"/>
  <c r="H22" i="24"/>
  <c r="I22" i="24"/>
  <c r="K22" i="24"/>
  <c r="J23" i="24"/>
  <c r="F23" i="24"/>
  <c r="H23" i="24"/>
  <c r="I23" i="24"/>
  <c r="K23" i="24"/>
  <c r="J24" i="24"/>
  <c r="F24" i="24"/>
  <c r="H24" i="24"/>
  <c r="I24" i="24"/>
  <c r="K24" i="24"/>
  <c r="J25" i="24"/>
  <c r="F25" i="24"/>
  <c r="H25" i="24"/>
  <c r="I25" i="24"/>
  <c r="K25" i="24"/>
  <c r="J26" i="24"/>
  <c r="F26" i="24"/>
  <c r="H26" i="24"/>
  <c r="I26" i="24"/>
  <c r="K26" i="24"/>
  <c r="J28" i="24"/>
  <c r="F28" i="24"/>
  <c r="H28" i="24"/>
  <c r="I28" i="24"/>
  <c r="K28" i="24"/>
  <c r="J29" i="24"/>
  <c r="F29" i="24"/>
  <c r="H29" i="24"/>
  <c r="I29" i="24"/>
  <c r="K29" i="24"/>
  <c r="J30" i="24"/>
  <c r="F30" i="24"/>
  <c r="H30" i="24"/>
  <c r="I30" i="24"/>
  <c r="K30" i="24"/>
  <c r="J31" i="24"/>
  <c r="F31" i="24"/>
  <c r="H31" i="24"/>
  <c r="I31" i="24"/>
  <c r="K31" i="24"/>
  <c r="J32" i="24"/>
  <c r="F32" i="24"/>
  <c r="H32" i="24"/>
  <c r="I32" i="24"/>
  <c r="K32" i="24"/>
  <c r="J33" i="24"/>
  <c r="F33" i="24"/>
  <c r="H33" i="24"/>
  <c r="I33" i="24"/>
  <c r="K33" i="24"/>
  <c r="J34" i="24"/>
  <c r="F34" i="24"/>
  <c r="H34" i="24"/>
  <c r="I34" i="24"/>
  <c r="K34" i="24"/>
  <c r="Z16" i="57"/>
  <c r="AD16" i="57"/>
  <c r="C63" i="5"/>
  <c r="C64" i="5"/>
  <c r="M6" i="23"/>
  <c r="L6" i="23"/>
  <c r="O6" i="23"/>
  <c r="M7" i="23"/>
  <c r="L7" i="23"/>
  <c r="O7" i="23"/>
  <c r="M8" i="23"/>
  <c r="L8" i="23"/>
  <c r="O8" i="23"/>
  <c r="M9" i="23"/>
  <c r="L9" i="23"/>
  <c r="O9" i="23"/>
  <c r="M10" i="23"/>
  <c r="L10" i="23"/>
  <c r="O10" i="23"/>
  <c r="M11" i="23"/>
  <c r="L11" i="23"/>
  <c r="O11" i="23"/>
  <c r="C100" i="5"/>
  <c r="O12" i="23"/>
  <c r="M13" i="23"/>
  <c r="L13" i="23"/>
  <c r="O13" i="23"/>
  <c r="M14" i="23"/>
  <c r="L14" i="23"/>
  <c r="O14" i="23"/>
  <c r="M15" i="23"/>
  <c r="L15" i="23"/>
  <c r="O15" i="23"/>
  <c r="M16" i="23"/>
  <c r="L16" i="23"/>
  <c r="O16" i="23"/>
  <c r="M17" i="23"/>
  <c r="L17" i="23"/>
  <c r="O17" i="23"/>
  <c r="M18" i="23"/>
  <c r="L18" i="23"/>
  <c r="O18" i="23"/>
  <c r="M19" i="23"/>
  <c r="L19" i="23"/>
  <c r="O19" i="23"/>
  <c r="M20" i="23"/>
  <c r="L20" i="23"/>
  <c r="O20" i="23"/>
  <c r="M21" i="23"/>
  <c r="L21" i="23"/>
  <c r="O21" i="23"/>
  <c r="M22" i="23"/>
  <c r="L22" i="23"/>
  <c r="O22" i="23"/>
  <c r="M23" i="23"/>
  <c r="L23" i="23"/>
  <c r="O23" i="23"/>
  <c r="M24" i="23"/>
  <c r="L24" i="23"/>
  <c r="O24" i="23"/>
  <c r="M25" i="23"/>
  <c r="L25" i="23"/>
  <c r="O25" i="23"/>
  <c r="M26" i="23"/>
  <c r="L26" i="23"/>
  <c r="O26" i="23"/>
  <c r="M28" i="23"/>
  <c r="L28" i="23"/>
  <c r="AE28" i="23"/>
  <c r="R28" i="23"/>
  <c r="O28" i="23"/>
  <c r="L29" i="23"/>
  <c r="M29" i="23"/>
  <c r="O29" i="23"/>
  <c r="L30" i="23"/>
  <c r="M30" i="23"/>
  <c r="O30" i="23"/>
  <c r="L31" i="23"/>
  <c r="M31" i="23"/>
  <c r="O31" i="23"/>
  <c r="M32" i="23"/>
  <c r="L32" i="23"/>
  <c r="AE32" i="23"/>
  <c r="O32" i="23"/>
  <c r="M33" i="23"/>
  <c r="L33" i="23"/>
  <c r="AE33" i="23"/>
  <c r="R33" i="23"/>
  <c r="O33" i="23"/>
  <c r="L34" i="23"/>
  <c r="M34" i="23"/>
  <c r="O34" i="23"/>
  <c r="X18" i="57"/>
  <c r="M6" i="51"/>
  <c r="L6" i="51"/>
  <c r="O6" i="51"/>
  <c r="P6" i="51"/>
  <c r="M7" i="51"/>
  <c r="L7" i="51"/>
  <c r="O7" i="51"/>
  <c r="P7" i="51"/>
  <c r="M8" i="51"/>
  <c r="L8" i="51"/>
  <c r="O8" i="51"/>
  <c r="P8" i="51"/>
  <c r="M9" i="51"/>
  <c r="L9" i="51"/>
  <c r="O9" i="51"/>
  <c r="P9" i="51"/>
  <c r="M10" i="51"/>
  <c r="L10" i="51"/>
  <c r="O10" i="51"/>
  <c r="P10" i="51"/>
  <c r="M11" i="51"/>
  <c r="L11" i="51"/>
  <c r="O11" i="51"/>
  <c r="P11" i="51"/>
  <c r="O12" i="51"/>
  <c r="P12" i="51"/>
  <c r="M13" i="51"/>
  <c r="L13" i="51"/>
  <c r="O13" i="51"/>
  <c r="P13" i="51"/>
  <c r="M14" i="51"/>
  <c r="L14" i="51"/>
  <c r="O14" i="51"/>
  <c r="P14" i="51"/>
  <c r="M15" i="51"/>
  <c r="L15" i="51"/>
  <c r="O15" i="51"/>
  <c r="P15" i="51"/>
  <c r="M16" i="51"/>
  <c r="L16" i="51"/>
  <c r="O16" i="51"/>
  <c r="P16" i="51"/>
  <c r="M17" i="51"/>
  <c r="L17" i="51"/>
  <c r="O17" i="51"/>
  <c r="P17" i="51"/>
  <c r="M18" i="51"/>
  <c r="L18" i="51"/>
  <c r="O18" i="51"/>
  <c r="P18" i="51"/>
  <c r="M19" i="51"/>
  <c r="L19" i="51"/>
  <c r="O19" i="51"/>
  <c r="P19" i="51"/>
  <c r="M20" i="51"/>
  <c r="L20" i="51"/>
  <c r="O20" i="51"/>
  <c r="P20" i="51"/>
  <c r="M21" i="51"/>
  <c r="L21" i="51"/>
  <c r="O21" i="51"/>
  <c r="P21" i="51"/>
  <c r="M22" i="51"/>
  <c r="L22" i="51"/>
  <c r="O22" i="51"/>
  <c r="P22" i="51"/>
  <c r="M23" i="51"/>
  <c r="L23" i="51"/>
  <c r="O23" i="51"/>
  <c r="P23" i="51"/>
  <c r="M24" i="51"/>
  <c r="L24" i="51"/>
  <c r="O24" i="51"/>
  <c r="P24" i="51"/>
  <c r="M25" i="51"/>
  <c r="L25" i="51"/>
  <c r="O25" i="51"/>
  <c r="P25" i="51"/>
  <c r="M26" i="51"/>
  <c r="L26" i="51"/>
  <c r="O26" i="51"/>
  <c r="P26" i="51"/>
  <c r="M28" i="51"/>
  <c r="L28" i="51"/>
  <c r="AE28" i="51"/>
  <c r="R28" i="51"/>
  <c r="O28" i="51"/>
  <c r="P28" i="51"/>
  <c r="L29" i="51"/>
  <c r="M29" i="51"/>
  <c r="O29" i="51"/>
  <c r="P29" i="51"/>
  <c r="L30" i="51"/>
  <c r="M30" i="51"/>
  <c r="O30" i="51"/>
  <c r="P30" i="51"/>
  <c r="L31" i="51"/>
  <c r="M31" i="51"/>
  <c r="O31" i="51"/>
  <c r="P31" i="51"/>
  <c r="M32" i="51"/>
  <c r="L32" i="51"/>
  <c r="AE32" i="51"/>
  <c r="O32" i="51"/>
  <c r="P32" i="51"/>
  <c r="M33" i="51"/>
  <c r="L33" i="51"/>
  <c r="AE33" i="51"/>
  <c r="R33" i="51"/>
  <c r="O33" i="51"/>
  <c r="P33" i="51"/>
  <c r="L34" i="51"/>
  <c r="M34" i="51"/>
  <c r="O34" i="51"/>
  <c r="P34" i="51"/>
  <c r="Y18" i="57"/>
  <c r="M6" i="24"/>
  <c r="L6" i="24"/>
  <c r="O6" i="24"/>
  <c r="P6" i="24"/>
  <c r="M7" i="24"/>
  <c r="L7" i="24"/>
  <c r="O7" i="24"/>
  <c r="P7" i="24"/>
  <c r="M8" i="24"/>
  <c r="L8" i="24"/>
  <c r="O8" i="24"/>
  <c r="P8" i="24"/>
  <c r="M9" i="24"/>
  <c r="L9" i="24"/>
  <c r="O9" i="24"/>
  <c r="P9" i="24"/>
  <c r="M10" i="24"/>
  <c r="L10" i="24"/>
  <c r="O10" i="24"/>
  <c r="P10" i="24"/>
  <c r="M11" i="24"/>
  <c r="L11" i="24"/>
  <c r="O11" i="24"/>
  <c r="P11" i="24"/>
  <c r="O12" i="24"/>
  <c r="P12" i="24"/>
  <c r="M13" i="24"/>
  <c r="L13" i="24"/>
  <c r="O13" i="24"/>
  <c r="P13" i="24"/>
  <c r="M14" i="24"/>
  <c r="L14" i="24"/>
  <c r="O14" i="24"/>
  <c r="P14" i="24"/>
  <c r="M15" i="24"/>
  <c r="L15" i="24"/>
  <c r="O15" i="24"/>
  <c r="P15" i="24"/>
  <c r="M16" i="24"/>
  <c r="L16" i="24"/>
  <c r="O16" i="24"/>
  <c r="P16" i="24"/>
  <c r="M17" i="24"/>
  <c r="L17" i="24"/>
  <c r="O17" i="24"/>
  <c r="P17" i="24"/>
  <c r="M18" i="24"/>
  <c r="L18" i="24"/>
  <c r="O18" i="24"/>
  <c r="P18" i="24"/>
  <c r="M19" i="24"/>
  <c r="L19" i="24"/>
  <c r="O19" i="24"/>
  <c r="P19" i="24"/>
  <c r="M20" i="24"/>
  <c r="L20" i="24"/>
  <c r="O20" i="24"/>
  <c r="P20" i="24"/>
  <c r="M21" i="24"/>
  <c r="L21" i="24"/>
  <c r="O21" i="24"/>
  <c r="P21" i="24"/>
  <c r="M22" i="24"/>
  <c r="L22" i="24"/>
  <c r="O22" i="24"/>
  <c r="P22" i="24"/>
  <c r="M23" i="24"/>
  <c r="L23" i="24"/>
  <c r="O23" i="24"/>
  <c r="P23" i="24"/>
  <c r="M24" i="24"/>
  <c r="L24" i="24"/>
  <c r="O24" i="24"/>
  <c r="P24" i="24"/>
  <c r="M25" i="24"/>
  <c r="L25" i="24"/>
  <c r="O25" i="24"/>
  <c r="P25" i="24"/>
  <c r="M26" i="24"/>
  <c r="L26" i="24"/>
  <c r="O26" i="24"/>
  <c r="P26" i="24"/>
  <c r="M28" i="24"/>
  <c r="L28" i="24"/>
  <c r="AE28" i="24"/>
  <c r="R28" i="24"/>
  <c r="O28" i="24"/>
  <c r="P28" i="24"/>
  <c r="L29" i="24"/>
  <c r="M29" i="24"/>
  <c r="O29" i="24"/>
  <c r="P29" i="24"/>
  <c r="L30" i="24"/>
  <c r="M30" i="24"/>
  <c r="O30" i="24"/>
  <c r="P30" i="24"/>
  <c r="L31" i="24"/>
  <c r="M31" i="24"/>
  <c r="O31" i="24"/>
  <c r="P31" i="24"/>
  <c r="M32" i="24"/>
  <c r="L32" i="24"/>
  <c r="AE32" i="24"/>
  <c r="O32" i="24"/>
  <c r="P32" i="24"/>
  <c r="M33" i="24"/>
  <c r="L33" i="24"/>
  <c r="AE33" i="24"/>
  <c r="R33" i="24"/>
  <c r="O33" i="24"/>
  <c r="P33" i="24"/>
  <c r="L34" i="24"/>
  <c r="M34" i="24"/>
  <c r="O34" i="24"/>
  <c r="P34" i="24"/>
  <c r="Z18" i="57"/>
  <c r="AD18" i="57"/>
  <c r="R6" i="23"/>
  <c r="R7" i="23"/>
  <c r="R8" i="23"/>
  <c r="R9" i="23"/>
  <c r="R10" i="23"/>
  <c r="R11" i="23"/>
  <c r="M12" i="23"/>
  <c r="L12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9" i="23"/>
  <c r="R30" i="23"/>
  <c r="R31" i="23"/>
  <c r="R32" i="23"/>
  <c r="R34" i="23"/>
  <c r="X19" i="57"/>
  <c r="R6" i="51"/>
  <c r="R7" i="51"/>
  <c r="R8" i="51"/>
  <c r="R9" i="51"/>
  <c r="R10" i="51"/>
  <c r="R11" i="51"/>
  <c r="M12" i="51"/>
  <c r="L12" i="51"/>
  <c r="R12" i="51"/>
  <c r="R13" i="51"/>
  <c r="R14" i="51"/>
  <c r="R15" i="51"/>
  <c r="R16" i="51"/>
  <c r="R17" i="51"/>
  <c r="R18" i="51"/>
  <c r="R19" i="51"/>
  <c r="R20" i="51"/>
  <c r="R21" i="51"/>
  <c r="R22" i="51"/>
  <c r="R23" i="51"/>
  <c r="R24" i="51"/>
  <c r="R25" i="51"/>
  <c r="R26" i="51"/>
  <c r="R29" i="51"/>
  <c r="R30" i="51"/>
  <c r="R31" i="51"/>
  <c r="R32" i="51"/>
  <c r="R34" i="51"/>
  <c r="Y19" i="57"/>
  <c r="R6" i="24"/>
  <c r="R7" i="24"/>
  <c r="R8" i="24"/>
  <c r="R9" i="24"/>
  <c r="R10" i="24"/>
  <c r="R11" i="24"/>
  <c r="M12" i="24"/>
  <c r="L12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9" i="24"/>
  <c r="R30" i="24"/>
  <c r="R31" i="24"/>
  <c r="R32" i="24"/>
  <c r="R34" i="24"/>
  <c r="Z19" i="57"/>
  <c r="AD19" i="57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8" i="23"/>
  <c r="U29" i="23"/>
  <c r="U30" i="23"/>
  <c r="U31" i="23"/>
  <c r="U32" i="23"/>
  <c r="U33" i="23"/>
  <c r="U34" i="23"/>
  <c r="X20" i="57"/>
  <c r="U6" i="51"/>
  <c r="U7" i="51"/>
  <c r="U8" i="51"/>
  <c r="U9" i="51"/>
  <c r="U10" i="51"/>
  <c r="U11" i="51"/>
  <c r="U12" i="51"/>
  <c r="U13" i="51"/>
  <c r="U14" i="51"/>
  <c r="U15" i="51"/>
  <c r="U16" i="51"/>
  <c r="U17" i="51"/>
  <c r="U18" i="51"/>
  <c r="U19" i="51"/>
  <c r="U20" i="51"/>
  <c r="U21" i="51"/>
  <c r="U22" i="51"/>
  <c r="U23" i="51"/>
  <c r="U24" i="51"/>
  <c r="U25" i="51"/>
  <c r="U26" i="51"/>
  <c r="U28" i="51"/>
  <c r="U29" i="51"/>
  <c r="U30" i="51"/>
  <c r="U31" i="51"/>
  <c r="U32" i="51"/>
  <c r="U33" i="51"/>
  <c r="U34" i="51"/>
  <c r="Y20" i="57"/>
  <c r="U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8" i="24"/>
  <c r="U29" i="24"/>
  <c r="U30" i="24"/>
  <c r="U31" i="24"/>
  <c r="U32" i="24"/>
  <c r="U33" i="24"/>
  <c r="U34" i="24"/>
  <c r="Z20" i="57"/>
  <c r="AD20" i="57"/>
  <c r="T6" i="23"/>
  <c r="V6" i="23"/>
  <c r="X6" i="23"/>
  <c r="Y6" i="23"/>
  <c r="T7" i="23"/>
  <c r="V7" i="23"/>
  <c r="X7" i="23"/>
  <c r="Y7" i="23"/>
  <c r="T8" i="23"/>
  <c r="V8" i="23"/>
  <c r="X8" i="23"/>
  <c r="Y8" i="23"/>
  <c r="T9" i="23"/>
  <c r="V9" i="23"/>
  <c r="X9" i="23"/>
  <c r="Y9" i="23"/>
  <c r="T10" i="23"/>
  <c r="V10" i="23"/>
  <c r="X10" i="23"/>
  <c r="Y10" i="23"/>
  <c r="T11" i="23"/>
  <c r="V11" i="23"/>
  <c r="X11" i="23"/>
  <c r="Y11" i="23"/>
  <c r="T12" i="23"/>
  <c r="V12" i="23"/>
  <c r="X12" i="23"/>
  <c r="Y12" i="23"/>
  <c r="T13" i="23"/>
  <c r="V13" i="23"/>
  <c r="X13" i="23"/>
  <c r="Y13" i="23"/>
  <c r="T14" i="23"/>
  <c r="V14" i="23"/>
  <c r="X14" i="23"/>
  <c r="Y14" i="23"/>
  <c r="T15" i="23"/>
  <c r="V15" i="23"/>
  <c r="X15" i="23"/>
  <c r="Y15" i="23"/>
  <c r="T16" i="23"/>
  <c r="V16" i="23"/>
  <c r="X16" i="23"/>
  <c r="Y16" i="23"/>
  <c r="T17" i="23"/>
  <c r="V17" i="23"/>
  <c r="X17" i="23"/>
  <c r="Y17" i="23"/>
  <c r="T18" i="23"/>
  <c r="V18" i="23"/>
  <c r="X18" i="23"/>
  <c r="Y18" i="23"/>
  <c r="T19" i="23"/>
  <c r="V19" i="23"/>
  <c r="X19" i="23"/>
  <c r="Y19" i="23"/>
  <c r="T20" i="23"/>
  <c r="V20" i="23"/>
  <c r="X20" i="23"/>
  <c r="Y20" i="23"/>
  <c r="T21" i="23"/>
  <c r="V21" i="23"/>
  <c r="X21" i="23"/>
  <c r="Y21" i="23"/>
  <c r="T22" i="23"/>
  <c r="V22" i="23"/>
  <c r="X22" i="23"/>
  <c r="Y22" i="23"/>
  <c r="T23" i="23"/>
  <c r="V23" i="23"/>
  <c r="X23" i="23"/>
  <c r="Y23" i="23"/>
  <c r="T24" i="23"/>
  <c r="V24" i="23"/>
  <c r="X24" i="23"/>
  <c r="Y24" i="23"/>
  <c r="T25" i="23"/>
  <c r="V25" i="23"/>
  <c r="X25" i="23"/>
  <c r="Y25" i="23"/>
  <c r="T26" i="23"/>
  <c r="V26" i="23"/>
  <c r="X26" i="23"/>
  <c r="Y26" i="23"/>
  <c r="T28" i="23"/>
  <c r="V28" i="23"/>
  <c r="X28" i="23"/>
  <c r="Y28" i="23"/>
  <c r="T29" i="23"/>
  <c r="V29" i="23"/>
  <c r="X29" i="23"/>
  <c r="Y29" i="23"/>
  <c r="T30" i="23"/>
  <c r="V30" i="23"/>
  <c r="X30" i="23"/>
  <c r="Y30" i="23"/>
  <c r="T31" i="23"/>
  <c r="V31" i="23"/>
  <c r="X31" i="23"/>
  <c r="Y31" i="23"/>
  <c r="T32" i="23"/>
  <c r="V32" i="23"/>
  <c r="X32" i="23"/>
  <c r="Y32" i="23"/>
  <c r="T33" i="23"/>
  <c r="V33" i="23"/>
  <c r="X33" i="23"/>
  <c r="Y33" i="23"/>
  <c r="T34" i="23"/>
  <c r="V34" i="23"/>
  <c r="X34" i="23"/>
  <c r="Y34" i="23"/>
  <c r="X22" i="57"/>
  <c r="T6" i="51"/>
  <c r="V6" i="51"/>
  <c r="X6" i="51"/>
  <c r="Y6" i="51"/>
  <c r="T7" i="51"/>
  <c r="V7" i="51"/>
  <c r="X7" i="51"/>
  <c r="Y7" i="51"/>
  <c r="T8" i="51"/>
  <c r="V8" i="51"/>
  <c r="X8" i="51"/>
  <c r="Y8" i="51"/>
  <c r="T9" i="51"/>
  <c r="V9" i="51"/>
  <c r="X9" i="51"/>
  <c r="Y9" i="51"/>
  <c r="T10" i="51"/>
  <c r="V10" i="51"/>
  <c r="X10" i="51"/>
  <c r="Y10" i="51"/>
  <c r="T11" i="51"/>
  <c r="V11" i="51"/>
  <c r="X11" i="51"/>
  <c r="Y11" i="51"/>
  <c r="T12" i="51"/>
  <c r="V12" i="51"/>
  <c r="X12" i="51"/>
  <c r="Y12" i="51"/>
  <c r="T13" i="51"/>
  <c r="V13" i="51"/>
  <c r="X13" i="51"/>
  <c r="Y13" i="51"/>
  <c r="T14" i="51"/>
  <c r="V14" i="51"/>
  <c r="X14" i="51"/>
  <c r="Y14" i="51"/>
  <c r="T15" i="51"/>
  <c r="V15" i="51"/>
  <c r="X15" i="51"/>
  <c r="Y15" i="51"/>
  <c r="T16" i="51"/>
  <c r="V16" i="51"/>
  <c r="X16" i="51"/>
  <c r="Y16" i="51"/>
  <c r="T17" i="51"/>
  <c r="V17" i="51"/>
  <c r="X17" i="51"/>
  <c r="Y17" i="51"/>
  <c r="T18" i="51"/>
  <c r="V18" i="51"/>
  <c r="X18" i="51"/>
  <c r="Y18" i="51"/>
  <c r="T19" i="51"/>
  <c r="V19" i="51"/>
  <c r="X19" i="51"/>
  <c r="Y19" i="51"/>
  <c r="T20" i="51"/>
  <c r="V20" i="51"/>
  <c r="X20" i="51"/>
  <c r="Y20" i="51"/>
  <c r="T21" i="51"/>
  <c r="V21" i="51"/>
  <c r="X21" i="51"/>
  <c r="Y21" i="51"/>
  <c r="T22" i="51"/>
  <c r="V22" i="51"/>
  <c r="X22" i="51"/>
  <c r="Y22" i="51"/>
  <c r="T23" i="51"/>
  <c r="V23" i="51"/>
  <c r="X23" i="51"/>
  <c r="Y23" i="51"/>
  <c r="T24" i="51"/>
  <c r="V24" i="51"/>
  <c r="X24" i="51"/>
  <c r="Y24" i="51"/>
  <c r="T25" i="51"/>
  <c r="V25" i="51"/>
  <c r="X25" i="51"/>
  <c r="Y25" i="51"/>
  <c r="T26" i="51"/>
  <c r="V26" i="51"/>
  <c r="X26" i="51"/>
  <c r="Y26" i="51"/>
  <c r="T28" i="51"/>
  <c r="V28" i="51"/>
  <c r="X28" i="51"/>
  <c r="Y28" i="51"/>
  <c r="T29" i="51"/>
  <c r="V29" i="51"/>
  <c r="X29" i="51"/>
  <c r="Y29" i="51"/>
  <c r="T30" i="51"/>
  <c r="V30" i="51"/>
  <c r="X30" i="51"/>
  <c r="Y30" i="51"/>
  <c r="T31" i="51"/>
  <c r="V31" i="51"/>
  <c r="X31" i="51"/>
  <c r="Y31" i="51"/>
  <c r="T32" i="51"/>
  <c r="V32" i="51"/>
  <c r="X32" i="51"/>
  <c r="Y32" i="51"/>
  <c r="T33" i="51"/>
  <c r="V33" i="51"/>
  <c r="X33" i="51"/>
  <c r="Y33" i="51"/>
  <c r="T34" i="51"/>
  <c r="V34" i="51"/>
  <c r="X34" i="51"/>
  <c r="Y34" i="51"/>
  <c r="Y22" i="57"/>
  <c r="T6" i="24"/>
  <c r="V6" i="24"/>
  <c r="X6" i="24"/>
  <c r="Y6" i="24"/>
  <c r="T7" i="24"/>
  <c r="V7" i="24"/>
  <c r="X7" i="24"/>
  <c r="Y7" i="24"/>
  <c r="T8" i="24"/>
  <c r="V8" i="24"/>
  <c r="X8" i="24"/>
  <c r="Y8" i="24"/>
  <c r="T9" i="24"/>
  <c r="V9" i="24"/>
  <c r="X9" i="24"/>
  <c r="Y9" i="24"/>
  <c r="T10" i="24"/>
  <c r="V10" i="24"/>
  <c r="X10" i="24"/>
  <c r="Y10" i="24"/>
  <c r="T11" i="24"/>
  <c r="V11" i="24"/>
  <c r="X11" i="24"/>
  <c r="Y11" i="24"/>
  <c r="T12" i="24"/>
  <c r="V12" i="24"/>
  <c r="X12" i="24"/>
  <c r="Y12" i="24"/>
  <c r="T13" i="24"/>
  <c r="V13" i="24"/>
  <c r="X13" i="24"/>
  <c r="Y13" i="24"/>
  <c r="T14" i="24"/>
  <c r="V14" i="24"/>
  <c r="X14" i="24"/>
  <c r="Y14" i="24"/>
  <c r="T15" i="24"/>
  <c r="V15" i="24"/>
  <c r="X15" i="24"/>
  <c r="Y15" i="24"/>
  <c r="T16" i="24"/>
  <c r="V16" i="24"/>
  <c r="X16" i="24"/>
  <c r="Y16" i="24"/>
  <c r="T17" i="24"/>
  <c r="V17" i="24"/>
  <c r="X17" i="24"/>
  <c r="Y17" i="24"/>
  <c r="T18" i="24"/>
  <c r="V18" i="24"/>
  <c r="X18" i="24"/>
  <c r="Y18" i="24"/>
  <c r="T19" i="24"/>
  <c r="V19" i="24"/>
  <c r="X19" i="24"/>
  <c r="Y19" i="24"/>
  <c r="T20" i="24"/>
  <c r="V20" i="24"/>
  <c r="X20" i="24"/>
  <c r="Y20" i="24"/>
  <c r="T21" i="24"/>
  <c r="V21" i="24"/>
  <c r="X21" i="24"/>
  <c r="Y21" i="24"/>
  <c r="T22" i="24"/>
  <c r="V22" i="24"/>
  <c r="X22" i="24"/>
  <c r="Y22" i="24"/>
  <c r="T23" i="24"/>
  <c r="V23" i="24"/>
  <c r="X23" i="24"/>
  <c r="Y23" i="24"/>
  <c r="T24" i="24"/>
  <c r="V24" i="24"/>
  <c r="X24" i="24"/>
  <c r="Y24" i="24"/>
  <c r="T25" i="24"/>
  <c r="V25" i="24"/>
  <c r="X25" i="24"/>
  <c r="Y25" i="24"/>
  <c r="T26" i="24"/>
  <c r="V26" i="24"/>
  <c r="X26" i="24"/>
  <c r="Y26" i="24"/>
  <c r="T28" i="24"/>
  <c r="V28" i="24"/>
  <c r="X28" i="24"/>
  <c r="Y28" i="24"/>
  <c r="T29" i="24"/>
  <c r="V29" i="24"/>
  <c r="X29" i="24"/>
  <c r="Y29" i="24"/>
  <c r="T30" i="24"/>
  <c r="V30" i="24"/>
  <c r="X30" i="24"/>
  <c r="Y30" i="24"/>
  <c r="T31" i="24"/>
  <c r="V31" i="24"/>
  <c r="X31" i="24"/>
  <c r="Y31" i="24"/>
  <c r="T32" i="24"/>
  <c r="V32" i="24"/>
  <c r="X32" i="24"/>
  <c r="Y32" i="24"/>
  <c r="T33" i="24"/>
  <c r="V33" i="24"/>
  <c r="X33" i="24"/>
  <c r="Y33" i="24"/>
  <c r="T34" i="24"/>
  <c r="V34" i="24"/>
  <c r="X34" i="24"/>
  <c r="Y34" i="24"/>
  <c r="Z22" i="57"/>
  <c r="AD22" i="57"/>
  <c r="Z6" i="23"/>
  <c r="AA6" i="23"/>
  <c r="Z7" i="23"/>
  <c r="AA7" i="23"/>
  <c r="Z8" i="23"/>
  <c r="AA8" i="23"/>
  <c r="Z9" i="23"/>
  <c r="AA9" i="23"/>
  <c r="Z10" i="23"/>
  <c r="AA10" i="23"/>
  <c r="Z11" i="23"/>
  <c r="AA11" i="23"/>
  <c r="Z12" i="23"/>
  <c r="AA12" i="23"/>
  <c r="Z13" i="23"/>
  <c r="AA13" i="23"/>
  <c r="Z14" i="23"/>
  <c r="AA14" i="23"/>
  <c r="Z15" i="23"/>
  <c r="AA15" i="23"/>
  <c r="Z16" i="23"/>
  <c r="AA16" i="23"/>
  <c r="Z17" i="23"/>
  <c r="AA17" i="23"/>
  <c r="Z18" i="23"/>
  <c r="AA18" i="23"/>
  <c r="Z19" i="23"/>
  <c r="AA19" i="23"/>
  <c r="Z20" i="23"/>
  <c r="AA20" i="23"/>
  <c r="Z21" i="23"/>
  <c r="AA21" i="23"/>
  <c r="Z22" i="23"/>
  <c r="AA22" i="23"/>
  <c r="Z23" i="23"/>
  <c r="AA23" i="23"/>
  <c r="Z24" i="23"/>
  <c r="AA24" i="23"/>
  <c r="Z25" i="23"/>
  <c r="AA25" i="23"/>
  <c r="Z26" i="23"/>
  <c r="AA26" i="23"/>
  <c r="Z28" i="23"/>
  <c r="AA28" i="23"/>
  <c r="Z29" i="23"/>
  <c r="AA29" i="23"/>
  <c r="Z30" i="23"/>
  <c r="AA30" i="23"/>
  <c r="Z31" i="23"/>
  <c r="AA31" i="23"/>
  <c r="Z32" i="23"/>
  <c r="AA32" i="23"/>
  <c r="Z33" i="23"/>
  <c r="AA33" i="23"/>
  <c r="Z34" i="23"/>
  <c r="AA34" i="23"/>
  <c r="AA27" i="23"/>
  <c r="X24" i="57"/>
  <c r="Z6" i="51"/>
  <c r="AA6" i="51"/>
  <c r="Z7" i="51"/>
  <c r="AA7" i="51"/>
  <c r="Z8" i="51"/>
  <c r="AA8" i="51"/>
  <c r="Z9" i="51"/>
  <c r="AA9" i="51"/>
  <c r="Z10" i="51"/>
  <c r="AA10" i="51"/>
  <c r="Z11" i="51"/>
  <c r="AA11" i="51"/>
  <c r="Z12" i="51"/>
  <c r="AA12" i="51"/>
  <c r="Z13" i="51"/>
  <c r="AA13" i="51"/>
  <c r="Z14" i="51"/>
  <c r="AA14" i="51"/>
  <c r="Z15" i="51"/>
  <c r="AA15" i="51"/>
  <c r="Z16" i="51"/>
  <c r="AA16" i="51"/>
  <c r="Z17" i="51"/>
  <c r="AA17" i="51"/>
  <c r="Z18" i="51"/>
  <c r="AA18" i="51"/>
  <c r="Z19" i="51"/>
  <c r="AA19" i="51"/>
  <c r="Z20" i="51"/>
  <c r="AA20" i="51"/>
  <c r="Z21" i="51"/>
  <c r="AA21" i="51"/>
  <c r="Z22" i="51"/>
  <c r="AA22" i="51"/>
  <c r="Z23" i="51"/>
  <c r="AA23" i="51"/>
  <c r="Z24" i="51"/>
  <c r="AA24" i="51"/>
  <c r="Z25" i="51"/>
  <c r="AA25" i="51"/>
  <c r="Z26" i="51"/>
  <c r="AA26" i="51"/>
  <c r="Z28" i="51"/>
  <c r="AA28" i="51"/>
  <c r="Z29" i="51"/>
  <c r="AA29" i="51"/>
  <c r="Z30" i="51"/>
  <c r="AA30" i="51"/>
  <c r="Z31" i="51"/>
  <c r="AA31" i="51"/>
  <c r="Z32" i="51"/>
  <c r="AA32" i="51"/>
  <c r="Z33" i="51"/>
  <c r="AA33" i="51"/>
  <c r="Z34" i="51"/>
  <c r="AA34" i="51"/>
  <c r="AA27" i="51"/>
  <c r="Y24" i="57"/>
  <c r="Z6" i="24"/>
  <c r="AA6" i="24"/>
  <c r="Z7" i="24"/>
  <c r="AA7" i="24"/>
  <c r="Z8" i="24"/>
  <c r="AA8" i="24"/>
  <c r="Z9" i="24"/>
  <c r="AA9" i="24"/>
  <c r="Z10" i="24"/>
  <c r="AA10" i="24"/>
  <c r="Z11" i="24"/>
  <c r="AA11" i="24"/>
  <c r="Z12" i="24"/>
  <c r="AA12" i="24"/>
  <c r="Z13" i="24"/>
  <c r="AA13" i="24"/>
  <c r="Z14" i="24"/>
  <c r="AA14" i="24"/>
  <c r="Z15" i="24"/>
  <c r="AA15" i="24"/>
  <c r="Z16" i="24"/>
  <c r="AA16" i="24"/>
  <c r="Z17" i="24"/>
  <c r="AA17" i="24"/>
  <c r="Z18" i="24"/>
  <c r="AA18" i="24"/>
  <c r="Z19" i="24"/>
  <c r="AA19" i="24"/>
  <c r="Z20" i="24"/>
  <c r="AA20" i="24"/>
  <c r="Z21" i="24"/>
  <c r="AA21" i="24"/>
  <c r="Z22" i="24"/>
  <c r="AA22" i="24"/>
  <c r="Z23" i="24"/>
  <c r="AA23" i="24"/>
  <c r="Z24" i="24"/>
  <c r="AA24" i="24"/>
  <c r="Z25" i="24"/>
  <c r="AA25" i="24"/>
  <c r="Z26" i="24"/>
  <c r="AA26" i="24"/>
  <c r="Z28" i="24"/>
  <c r="AA28" i="24"/>
  <c r="Z29" i="24"/>
  <c r="AA29" i="24"/>
  <c r="Z30" i="24"/>
  <c r="AA30" i="24"/>
  <c r="Z31" i="24"/>
  <c r="AA31" i="24"/>
  <c r="Z32" i="24"/>
  <c r="AA32" i="24"/>
  <c r="Z33" i="24"/>
  <c r="AA33" i="24"/>
  <c r="Z34" i="24"/>
  <c r="AA34" i="24"/>
  <c r="AA27" i="24"/>
  <c r="Z24" i="57"/>
  <c r="AD24" i="57"/>
  <c r="C15" i="40"/>
  <c r="C16" i="40"/>
  <c r="C14" i="40"/>
  <c r="AB6" i="23"/>
  <c r="AC6" i="23"/>
  <c r="AB7" i="23"/>
  <c r="AC7" i="23"/>
  <c r="AB8" i="23"/>
  <c r="AC8" i="23"/>
  <c r="AB9" i="23"/>
  <c r="AC9" i="23"/>
  <c r="AB10" i="23"/>
  <c r="AC10" i="23"/>
  <c r="C28" i="40"/>
  <c r="C27" i="40"/>
  <c r="AB11" i="23"/>
  <c r="AC11" i="23"/>
  <c r="C30" i="40"/>
  <c r="C31" i="40"/>
  <c r="C29" i="40"/>
  <c r="AB12" i="23"/>
  <c r="AC12" i="23"/>
  <c r="C32" i="40"/>
  <c r="AB13" i="23"/>
  <c r="AC13" i="23"/>
  <c r="AB14" i="23"/>
  <c r="AC14" i="23"/>
  <c r="C44" i="40"/>
  <c r="C45" i="40"/>
  <c r="C41" i="40"/>
  <c r="AB15" i="23"/>
  <c r="AC15" i="23"/>
  <c r="AB16" i="23"/>
  <c r="AC16" i="23"/>
  <c r="AB17" i="23"/>
  <c r="AC17" i="23"/>
  <c r="C53" i="40"/>
  <c r="AB18" i="23"/>
  <c r="AC18" i="23"/>
  <c r="C55" i="40"/>
  <c r="AB19" i="23"/>
  <c r="AC19" i="23"/>
  <c r="AB20" i="23"/>
  <c r="AC20" i="23"/>
  <c r="AB21" i="23"/>
  <c r="AC21" i="23"/>
  <c r="AB22" i="23"/>
  <c r="AC22" i="23"/>
  <c r="AB23" i="23"/>
  <c r="AC23" i="23"/>
  <c r="AB24" i="23"/>
  <c r="AC24" i="23"/>
  <c r="AB25" i="23"/>
  <c r="AC25" i="23"/>
  <c r="AB26" i="23"/>
  <c r="AC26" i="23"/>
  <c r="C72" i="40"/>
  <c r="C73" i="40"/>
  <c r="C74" i="40"/>
  <c r="C75" i="40"/>
  <c r="C77" i="40"/>
  <c r="C71" i="40"/>
  <c r="AB28" i="23"/>
  <c r="AC28" i="23"/>
  <c r="AB29" i="23"/>
  <c r="AC29" i="23"/>
  <c r="AB30" i="23"/>
  <c r="AC30" i="23"/>
  <c r="AB31" i="23"/>
  <c r="AC31" i="23"/>
  <c r="AB32" i="23"/>
  <c r="AC32" i="23"/>
  <c r="C87" i="40"/>
  <c r="C88" i="40"/>
  <c r="C89" i="40"/>
  <c r="C91" i="40"/>
  <c r="C92" i="40"/>
  <c r="C93" i="40"/>
  <c r="C94" i="40"/>
  <c r="C95" i="40"/>
  <c r="C96" i="40"/>
  <c r="C97" i="40"/>
  <c r="C98" i="40"/>
  <c r="C99" i="40"/>
  <c r="C100" i="40"/>
  <c r="C102" i="40"/>
  <c r="C103" i="40"/>
  <c r="C104" i="40"/>
  <c r="C105" i="40"/>
  <c r="C106" i="40"/>
  <c r="C107" i="40"/>
  <c r="C108" i="40"/>
  <c r="C109" i="40"/>
  <c r="C110" i="40"/>
  <c r="C111" i="40"/>
  <c r="C112" i="40"/>
  <c r="C86" i="40"/>
  <c r="AB33" i="23"/>
  <c r="AC33" i="23"/>
  <c r="AB34" i="23"/>
  <c r="AC34" i="23"/>
  <c r="X25" i="57"/>
  <c r="D14" i="40"/>
  <c r="AB6" i="51"/>
  <c r="AC6" i="51"/>
  <c r="AB7" i="51"/>
  <c r="AC7" i="51"/>
  <c r="AB8" i="51"/>
  <c r="AC8" i="51"/>
  <c r="AB9" i="51"/>
  <c r="AC9" i="51"/>
  <c r="AB10" i="51"/>
  <c r="AC10" i="51"/>
  <c r="D27" i="40"/>
  <c r="AB11" i="51"/>
  <c r="AC11" i="51"/>
  <c r="D30" i="40"/>
  <c r="D31" i="40"/>
  <c r="D29" i="40"/>
  <c r="AB12" i="51"/>
  <c r="AC12" i="51"/>
  <c r="D32" i="40"/>
  <c r="AB13" i="51"/>
  <c r="AC13" i="51"/>
  <c r="AB14" i="51"/>
  <c r="AC14" i="51"/>
  <c r="D41" i="40"/>
  <c r="AB15" i="51"/>
  <c r="AC15" i="51"/>
  <c r="AB16" i="51"/>
  <c r="AC16" i="51"/>
  <c r="AB17" i="51"/>
  <c r="AC17" i="51"/>
  <c r="D53" i="40"/>
  <c r="AB18" i="51"/>
  <c r="AC18" i="51"/>
  <c r="D55" i="40"/>
  <c r="AB19" i="51"/>
  <c r="AC19" i="51"/>
  <c r="AB20" i="51"/>
  <c r="AC20" i="51"/>
  <c r="AB21" i="51"/>
  <c r="AC21" i="51"/>
  <c r="AB22" i="51"/>
  <c r="AC22" i="51"/>
  <c r="AB23" i="51"/>
  <c r="AC23" i="51"/>
  <c r="AB24" i="51"/>
  <c r="AC24" i="51"/>
  <c r="AB25" i="51"/>
  <c r="AC25" i="51"/>
  <c r="AB26" i="51"/>
  <c r="AC26" i="51"/>
  <c r="D71" i="40"/>
  <c r="AB28" i="51"/>
  <c r="AC28" i="51"/>
  <c r="AB29" i="51"/>
  <c r="AC29" i="51"/>
  <c r="AB30" i="51"/>
  <c r="AC30" i="51"/>
  <c r="AB31" i="51"/>
  <c r="AC31" i="51"/>
  <c r="AB32" i="51"/>
  <c r="AC32" i="51"/>
  <c r="D95" i="40"/>
  <c r="D96" i="40"/>
  <c r="D86" i="40"/>
  <c r="AB33" i="51"/>
  <c r="AC33" i="51"/>
  <c r="AB34" i="51"/>
  <c r="AC34" i="51"/>
  <c r="Y25" i="57"/>
  <c r="E14" i="40"/>
  <c r="AB6" i="24"/>
  <c r="AC6" i="24"/>
  <c r="AB7" i="24"/>
  <c r="AC7" i="24"/>
  <c r="AB8" i="24"/>
  <c r="AC8" i="24"/>
  <c r="AB9" i="24"/>
  <c r="AC9" i="24"/>
  <c r="AB10" i="24"/>
  <c r="AC10" i="24"/>
  <c r="E27" i="40"/>
  <c r="AB11" i="24"/>
  <c r="AC11" i="24"/>
  <c r="E30" i="40"/>
  <c r="E31" i="40"/>
  <c r="E29" i="40"/>
  <c r="AB12" i="24"/>
  <c r="AC12" i="24"/>
  <c r="E33" i="40"/>
  <c r="E34" i="40"/>
  <c r="E32" i="40"/>
  <c r="AB13" i="24"/>
  <c r="AC13" i="24"/>
  <c r="AB14" i="24"/>
  <c r="AC14" i="24"/>
  <c r="E42" i="40"/>
  <c r="E43" i="40"/>
  <c r="E47" i="40"/>
  <c r="E48" i="40"/>
  <c r="E41" i="40"/>
  <c r="AB15" i="24"/>
  <c r="AC15" i="24"/>
  <c r="AB16" i="24"/>
  <c r="AC16" i="24"/>
  <c r="AB17" i="24"/>
  <c r="AC17" i="24"/>
  <c r="E54" i="40"/>
  <c r="E53" i="40"/>
  <c r="AB18" i="24"/>
  <c r="AC18" i="24"/>
  <c r="E56" i="40"/>
  <c r="E55" i="40"/>
  <c r="AB19" i="24"/>
  <c r="AC19" i="24"/>
  <c r="AB20" i="24"/>
  <c r="AC20" i="24"/>
  <c r="AB21" i="24"/>
  <c r="AC21" i="24"/>
  <c r="AB22" i="24"/>
  <c r="AC22" i="24"/>
  <c r="AB23" i="24"/>
  <c r="AC23" i="24"/>
  <c r="AB24" i="24"/>
  <c r="AC24" i="24"/>
  <c r="AB25" i="24"/>
  <c r="AC25" i="24"/>
  <c r="AB26" i="24"/>
  <c r="AC26" i="24"/>
  <c r="E71" i="40"/>
  <c r="AB28" i="24"/>
  <c r="AC28" i="24"/>
  <c r="AB29" i="24"/>
  <c r="AC29" i="24"/>
  <c r="AB30" i="24"/>
  <c r="AC30" i="24"/>
  <c r="AB31" i="24"/>
  <c r="AC31" i="24"/>
  <c r="AB32" i="24"/>
  <c r="AC32" i="24"/>
  <c r="E86" i="40"/>
  <c r="AB33" i="24"/>
  <c r="AC33" i="24"/>
  <c r="AB34" i="24"/>
  <c r="AC34" i="24"/>
  <c r="Z25" i="57"/>
  <c r="AD25" i="57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8" i="23"/>
  <c r="AD29" i="23"/>
  <c r="AD30" i="23"/>
  <c r="AD31" i="23"/>
  <c r="AD32" i="23"/>
  <c r="AD33" i="23"/>
  <c r="AD34" i="23"/>
  <c r="X26" i="57"/>
  <c r="AD6" i="51"/>
  <c r="AD7" i="51"/>
  <c r="AD8" i="51"/>
  <c r="AD9" i="51"/>
  <c r="AD10" i="51"/>
  <c r="AD11" i="51"/>
  <c r="AD12" i="51"/>
  <c r="AD13" i="51"/>
  <c r="AD14" i="51"/>
  <c r="AD15" i="51"/>
  <c r="AD16" i="51"/>
  <c r="AD17" i="51"/>
  <c r="AD18" i="51"/>
  <c r="AD19" i="51"/>
  <c r="AD20" i="51"/>
  <c r="AD21" i="51"/>
  <c r="AD22" i="51"/>
  <c r="AD23" i="51"/>
  <c r="AD24" i="51"/>
  <c r="AD25" i="51"/>
  <c r="AD26" i="51"/>
  <c r="AD28" i="51"/>
  <c r="AD29" i="51"/>
  <c r="AD30" i="51"/>
  <c r="AD31" i="51"/>
  <c r="AD32" i="51"/>
  <c r="AD33" i="51"/>
  <c r="AD34" i="51"/>
  <c r="Y26" i="57"/>
  <c r="AD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8" i="24"/>
  <c r="AD29" i="24"/>
  <c r="AD30" i="24"/>
  <c r="AD31" i="24"/>
  <c r="AD32" i="24"/>
  <c r="AD33" i="24"/>
  <c r="AD34" i="24"/>
  <c r="Z26" i="57"/>
  <c r="AD26" i="57"/>
  <c r="AE6" i="23"/>
  <c r="AF6" i="23"/>
  <c r="AE7" i="23"/>
  <c r="AF7" i="23"/>
  <c r="AE8" i="23"/>
  <c r="AF8" i="23"/>
  <c r="AE9" i="23"/>
  <c r="AF9" i="23"/>
  <c r="AE10" i="23"/>
  <c r="AF10" i="23"/>
  <c r="AE11" i="23"/>
  <c r="AF11" i="23"/>
  <c r="AE12" i="23"/>
  <c r="AF12" i="23"/>
  <c r="AE13" i="23"/>
  <c r="AF13" i="23"/>
  <c r="AE14" i="23"/>
  <c r="AF14" i="23"/>
  <c r="AE15" i="23"/>
  <c r="AF15" i="23"/>
  <c r="AE16" i="23"/>
  <c r="AF16" i="23"/>
  <c r="AE17" i="23"/>
  <c r="AF17" i="23"/>
  <c r="AE18" i="23"/>
  <c r="AF18" i="23"/>
  <c r="AE19" i="23"/>
  <c r="AF19" i="23"/>
  <c r="AE20" i="23"/>
  <c r="AF20" i="23"/>
  <c r="AE21" i="23"/>
  <c r="AF21" i="23"/>
  <c r="AE22" i="23"/>
  <c r="AF22" i="23"/>
  <c r="AE23" i="23"/>
  <c r="AF23" i="23"/>
  <c r="AE24" i="23"/>
  <c r="AF24" i="23"/>
  <c r="AE25" i="23"/>
  <c r="AF25" i="23"/>
  <c r="AE26" i="23"/>
  <c r="AF26" i="23"/>
  <c r="AF28" i="23"/>
  <c r="AE29" i="23"/>
  <c r="AF29" i="23"/>
  <c r="AE30" i="23"/>
  <c r="AF30" i="23"/>
  <c r="AE31" i="23"/>
  <c r="AF31" i="23"/>
  <c r="AF32" i="23"/>
  <c r="AF33" i="23"/>
  <c r="AE34" i="23"/>
  <c r="AF34" i="23"/>
  <c r="X27" i="57"/>
  <c r="AE6" i="51"/>
  <c r="AF6" i="51"/>
  <c r="AE7" i="51"/>
  <c r="AF7" i="51"/>
  <c r="AE8" i="51"/>
  <c r="AF8" i="51"/>
  <c r="AE9" i="51"/>
  <c r="AF9" i="51"/>
  <c r="AE10" i="51"/>
  <c r="AF10" i="51"/>
  <c r="AE11" i="51"/>
  <c r="AF11" i="51"/>
  <c r="AE12" i="51"/>
  <c r="AF12" i="51"/>
  <c r="AE13" i="51"/>
  <c r="AF13" i="51"/>
  <c r="AE14" i="51"/>
  <c r="AF14" i="51"/>
  <c r="AE15" i="51"/>
  <c r="AF15" i="51"/>
  <c r="AE16" i="51"/>
  <c r="AF16" i="51"/>
  <c r="AE17" i="51"/>
  <c r="AF17" i="51"/>
  <c r="AE18" i="51"/>
  <c r="AF18" i="51"/>
  <c r="AE19" i="51"/>
  <c r="AF19" i="51"/>
  <c r="AE20" i="51"/>
  <c r="AF20" i="51"/>
  <c r="AE21" i="51"/>
  <c r="AF21" i="51"/>
  <c r="AE22" i="51"/>
  <c r="AF22" i="51"/>
  <c r="AE23" i="51"/>
  <c r="AF23" i="51"/>
  <c r="AE24" i="51"/>
  <c r="AF24" i="51"/>
  <c r="AE25" i="51"/>
  <c r="AF25" i="51"/>
  <c r="AE26" i="51"/>
  <c r="AF26" i="51"/>
  <c r="AF28" i="51"/>
  <c r="AE29" i="51"/>
  <c r="AF29" i="51"/>
  <c r="AE30" i="51"/>
  <c r="AF30" i="51"/>
  <c r="AE31" i="51"/>
  <c r="AF31" i="51"/>
  <c r="AF32" i="51"/>
  <c r="AF33" i="51"/>
  <c r="AE34" i="51"/>
  <c r="AF34" i="51"/>
  <c r="Y27" i="57"/>
  <c r="AE6" i="24"/>
  <c r="AF6" i="24"/>
  <c r="AE7" i="24"/>
  <c r="AF7" i="24"/>
  <c r="AE8" i="24"/>
  <c r="AF8" i="24"/>
  <c r="AE9" i="24"/>
  <c r="AF9" i="24"/>
  <c r="AE10" i="24"/>
  <c r="AF10" i="24"/>
  <c r="AE11" i="24"/>
  <c r="AF11" i="24"/>
  <c r="AE12" i="24"/>
  <c r="AF12" i="24"/>
  <c r="AE13" i="24"/>
  <c r="AF13" i="24"/>
  <c r="AE14" i="24"/>
  <c r="AF14" i="24"/>
  <c r="AE15" i="24"/>
  <c r="AF15" i="24"/>
  <c r="AE16" i="24"/>
  <c r="AF16" i="24"/>
  <c r="AE17" i="24"/>
  <c r="AF17" i="24"/>
  <c r="AE18" i="24"/>
  <c r="AF18" i="24"/>
  <c r="AE19" i="24"/>
  <c r="AF19" i="24"/>
  <c r="AE20" i="24"/>
  <c r="AF20" i="24"/>
  <c r="AE21" i="24"/>
  <c r="AF21" i="24"/>
  <c r="AE22" i="24"/>
  <c r="AF22" i="24"/>
  <c r="AE23" i="24"/>
  <c r="AF23" i="24"/>
  <c r="AE24" i="24"/>
  <c r="AF24" i="24"/>
  <c r="AE25" i="24"/>
  <c r="AF25" i="24"/>
  <c r="AE26" i="24"/>
  <c r="AF26" i="24"/>
  <c r="AF28" i="24"/>
  <c r="AE29" i="24"/>
  <c r="AF29" i="24"/>
  <c r="AE30" i="24"/>
  <c r="AF30" i="24"/>
  <c r="AE31" i="24"/>
  <c r="AF31" i="24"/>
  <c r="AF32" i="24"/>
  <c r="AF33" i="24"/>
  <c r="AE34" i="24"/>
  <c r="AF34" i="24"/>
  <c r="Z27" i="57"/>
  <c r="AD27" i="57"/>
  <c r="AD28" i="57"/>
  <c r="J36" i="23"/>
  <c r="H36" i="23"/>
  <c r="I36" i="23"/>
  <c r="K36" i="23"/>
  <c r="J37" i="23"/>
  <c r="H37" i="23"/>
  <c r="I37" i="23"/>
  <c r="K37" i="23"/>
  <c r="J38" i="23"/>
  <c r="H38" i="23"/>
  <c r="I38" i="23"/>
  <c r="K38" i="23"/>
  <c r="J39" i="23"/>
  <c r="H39" i="23"/>
  <c r="I39" i="23"/>
  <c r="K39" i="23"/>
  <c r="X30" i="57"/>
  <c r="J36" i="51"/>
  <c r="H36" i="51"/>
  <c r="I36" i="51"/>
  <c r="K36" i="51"/>
  <c r="J37" i="51"/>
  <c r="H37" i="51"/>
  <c r="I37" i="51"/>
  <c r="K37" i="51"/>
  <c r="J38" i="51"/>
  <c r="H38" i="51"/>
  <c r="I38" i="51"/>
  <c r="K38" i="51"/>
  <c r="J39" i="51"/>
  <c r="H39" i="51"/>
  <c r="I39" i="51"/>
  <c r="K39" i="51"/>
  <c r="Y30" i="57"/>
  <c r="J36" i="24"/>
  <c r="F36" i="24"/>
  <c r="H36" i="24"/>
  <c r="I36" i="24"/>
  <c r="K36" i="24"/>
  <c r="J37" i="24"/>
  <c r="F37" i="24"/>
  <c r="H37" i="24"/>
  <c r="I37" i="24"/>
  <c r="K37" i="24"/>
  <c r="J38" i="24"/>
  <c r="F38" i="24"/>
  <c r="H38" i="24"/>
  <c r="I38" i="24"/>
  <c r="K38" i="24"/>
  <c r="J39" i="24"/>
  <c r="F39" i="24"/>
  <c r="H39" i="24"/>
  <c r="I39" i="24"/>
  <c r="K39" i="24"/>
  <c r="Z30" i="57"/>
  <c r="AD30" i="57"/>
  <c r="M36" i="23"/>
  <c r="AE36" i="23"/>
  <c r="L36" i="23"/>
  <c r="R36" i="23"/>
  <c r="O36" i="23"/>
  <c r="P36" i="23"/>
  <c r="M37" i="23"/>
  <c r="AE37" i="23"/>
  <c r="L37" i="23"/>
  <c r="R37" i="23"/>
  <c r="O37" i="23"/>
  <c r="P37" i="23"/>
  <c r="M38" i="23"/>
  <c r="AE38" i="23"/>
  <c r="L38" i="23"/>
  <c r="R38" i="23"/>
  <c r="O38" i="23"/>
  <c r="P38" i="23"/>
  <c r="M39" i="23"/>
  <c r="AE39" i="23"/>
  <c r="L39" i="23"/>
  <c r="R39" i="23"/>
  <c r="O39" i="23"/>
  <c r="P39" i="23"/>
  <c r="X31" i="57"/>
  <c r="AE36" i="24"/>
  <c r="M36" i="24"/>
  <c r="L36" i="24"/>
  <c r="R36" i="24"/>
  <c r="O36" i="24"/>
  <c r="P36" i="24"/>
  <c r="AE37" i="24"/>
  <c r="M37" i="24"/>
  <c r="L37" i="24"/>
  <c r="R37" i="24"/>
  <c r="O37" i="24"/>
  <c r="P37" i="24"/>
  <c r="AE38" i="24"/>
  <c r="M38" i="24"/>
  <c r="L38" i="24"/>
  <c r="R38" i="24"/>
  <c r="O38" i="24"/>
  <c r="P38" i="24"/>
  <c r="AE39" i="24"/>
  <c r="M39" i="24"/>
  <c r="L39" i="24"/>
  <c r="R39" i="24"/>
  <c r="O39" i="24"/>
  <c r="P39" i="24"/>
  <c r="Z31" i="57"/>
  <c r="X32" i="57"/>
  <c r="M36" i="51"/>
  <c r="AE36" i="51"/>
  <c r="L36" i="51"/>
  <c r="R36" i="51"/>
  <c r="O36" i="51"/>
  <c r="P36" i="51"/>
  <c r="M37" i="51"/>
  <c r="AE37" i="51"/>
  <c r="L37" i="51"/>
  <c r="R37" i="51"/>
  <c r="O37" i="51"/>
  <c r="P37" i="51"/>
  <c r="M38" i="51"/>
  <c r="AE38" i="51"/>
  <c r="L38" i="51"/>
  <c r="R38" i="51"/>
  <c r="O38" i="51"/>
  <c r="P38" i="51"/>
  <c r="M39" i="51"/>
  <c r="AE39" i="51"/>
  <c r="L39" i="51"/>
  <c r="R39" i="51"/>
  <c r="O39" i="51"/>
  <c r="P39" i="51"/>
  <c r="Y32" i="57"/>
  <c r="Z32" i="57"/>
  <c r="AD32" i="57"/>
  <c r="T36" i="23"/>
  <c r="U36" i="23"/>
  <c r="V36" i="23"/>
  <c r="X36" i="23"/>
  <c r="Y36" i="23"/>
  <c r="T37" i="23"/>
  <c r="U37" i="23"/>
  <c r="V37" i="23"/>
  <c r="X37" i="23"/>
  <c r="Y37" i="23"/>
  <c r="T38" i="23"/>
  <c r="U38" i="23"/>
  <c r="V38" i="23"/>
  <c r="X38" i="23"/>
  <c r="Y38" i="23"/>
  <c r="T39" i="23"/>
  <c r="U39" i="23"/>
  <c r="V39" i="23"/>
  <c r="X39" i="23"/>
  <c r="Y39" i="23"/>
  <c r="X36" i="57"/>
  <c r="T36" i="51"/>
  <c r="U36" i="51"/>
  <c r="V36" i="51"/>
  <c r="X36" i="51"/>
  <c r="Y36" i="51"/>
  <c r="T37" i="51"/>
  <c r="U37" i="51"/>
  <c r="V37" i="51"/>
  <c r="X37" i="51"/>
  <c r="Y37" i="51"/>
  <c r="T38" i="51"/>
  <c r="U38" i="51"/>
  <c r="V38" i="51"/>
  <c r="X38" i="51"/>
  <c r="Y38" i="51"/>
  <c r="T39" i="51"/>
  <c r="U39" i="51"/>
  <c r="V39" i="51"/>
  <c r="X39" i="51"/>
  <c r="Y39" i="51"/>
  <c r="Y36" i="57"/>
  <c r="T36" i="24"/>
  <c r="U36" i="24"/>
  <c r="V36" i="24"/>
  <c r="X36" i="24"/>
  <c r="Y36" i="24"/>
  <c r="T37" i="24"/>
  <c r="U37" i="24"/>
  <c r="V37" i="24"/>
  <c r="X37" i="24"/>
  <c r="Y37" i="24"/>
  <c r="T38" i="24"/>
  <c r="U38" i="24"/>
  <c r="V38" i="24"/>
  <c r="X38" i="24"/>
  <c r="Y38" i="24"/>
  <c r="T39" i="24"/>
  <c r="U39" i="24"/>
  <c r="V39" i="24"/>
  <c r="X39" i="24"/>
  <c r="Y39" i="24"/>
  <c r="Z36" i="57"/>
  <c r="AD36" i="57"/>
  <c r="Z36" i="23"/>
  <c r="AA36" i="23"/>
  <c r="Z37" i="23"/>
  <c r="AA37" i="23"/>
  <c r="Z38" i="23"/>
  <c r="AA38" i="23"/>
  <c r="Z39" i="23"/>
  <c r="AA39" i="23"/>
  <c r="X38" i="57"/>
  <c r="Z36" i="51"/>
  <c r="AA36" i="51"/>
  <c r="Z37" i="51"/>
  <c r="AA37" i="51"/>
  <c r="Z38" i="51"/>
  <c r="AA38" i="51"/>
  <c r="Z39" i="51"/>
  <c r="AA39" i="51"/>
  <c r="Y38" i="57"/>
  <c r="Z36" i="24"/>
  <c r="AA36" i="24"/>
  <c r="Z37" i="24"/>
  <c r="AA37" i="24"/>
  <c r="Z38" i="24"/>
  <c r="AA38" i="24"/>
  <c r="Z39" i="24"/>
  <c r="AA39" i="24"/>
  <c r="Z38" i="57"/>
  <c r="AD38" i="57"/>
  <c r="AB36" i="23"/>
  <c r="AC36" i="23"/>
  <c r="AB37" i="23"/>
  <c r="AC37" i="23"/>
  <c r="AB38" i="23"/>
  <c r="AC38" i="23"/>
  <c r="AB39" i="23"/>
  <c r="AC39" i="23"/>
  <c r="X39" i="57"/>
  <c r="AB36" i="51"/>
  <c r="AC36" i="51"/>
  <c r="AB37" i="51"/>
  <c r="AC37" i="51"/>
  <c r="AB38" i="51"/>
  <c r="AC38" i="51"/>
  <c r="AB39" i="51"/>
  <c r="AC39" i="51"/>
  <c r="Y39" i="57"/>
  <c r="AB36" i="24"/>
  <c r="AC36" i="24"/>
  <c r="AB37" i="24"/>
  <c r="AC37" i="24"/>
  <c r="AB38" i="24"/>
  <c r="AC38" i="24"/>
  <c r="AB39" i="24"/>
  <c r="AC39" i="24"/>
  <c r="Z39" i="57"/>
  <c r="AD39" i="57"/>
  <c r="AD36" i="23"/>
  <c r="AD37" i="23"/>
  <c r="AD38" i="23"/>
  <c r="AD39" i="23"/>
  <c r="X40" i="57"/>
  <c r="AD36" i="51"/>
  <c r="AD37" i="51"/>
  <c r="AD38" i="51"/>
  <c r="AD39" i="51"/>
  <c r="Y40" i="57"/>
  <c r="AD36" i="24"/>
  <c r="AD37" i="24"/>
  <c r="AD38" i="24"/>
  <c r="AD39" i="24"/>
  <c r="Z40" i="57"/>
  <c r="AD40" i="57"/>
  <c r="AF36" i="23"/>
  <c r="AF37" i="23"/>
  <c r="AF38" i="23"/>
  <c r="AF39" i="23"/>
  <c r="X41" i="57"/>
  <c r="AF36" i="51"/>
  <c r="AF37" i="51"/>
  <c r="AF38" i="51"/>
  <c r="AF39" i="51"/>
  <c r="Y41" i="57"/>
  <c r="AF36" i="24"/>
  <c r="AF37" i="24"/>
  <c r="AF38" i="24"/>
  <c r="AF39" i="24"/>
  <c r="Z41" i="57"/>
  <c r="AD41" i="57"/>
  <c r="AD42" i="57"/>
  <c r="J41" i="23"/>
  <c r="H41" i="23"/>
  <c r="I41" i="23"/>
  <c r="K41" i="23"/>
  <c r="J42" i="23"/>
  <c r="H42" i="23"/>
  <c r="I42" i="23"/>
  <c r="K42" i="23"/>
  <c r="J43" i="23"/>
  <c r="I43" i="23"/>
  <c r="K43" i="23"/>
  <c r="J44" i="23"/>
  <c r="H44" i="23"/>
  <c r="I44" i="23"/>
  <c r="K44" i="23"/>
  <c r="J45" i="23"/>
  <c r="H45" i="23"/>
  <c r="I45" i="23"/>
  <c r="K45" i="23"/>
  <c r="J46" i="23"/>
  <c r="H46" i="23"/>
  <c r="I46" i="23"/>
  <c r="K46" i="23"/>
  <c r="J47" i="23"/>
  <c r="H47" i="23"/>
  <c r="I47" i="23"/>
  <c r="K47" i="23"/>
  <c r="J48" i="23"/>
  <c r="H48" i="23"/>
  <c r="I48" i="23"/>
  <c r="K48" i="23"/>
  <c r="J49" i="23"/>
  <c r="H49" i="23"/>
  <c r="I49" i="23"/>
  <c r="K49" i="23"/>
  <c r="J50" i="23"/>
  <c r="H50" i="23"/>
  <c r="I50" i="23"/>
  <c r="K50" i="23"/>
  <c r="J51" i="23"/>
  <c r="H51" i="23"/>
  <c r="I51" i="23"/>
  <c r="K51" i="23"/>
  <c r="J52" i="23"/>
  <c r="H52" i="23"/>
  <c r="I52" i="23"/>
  <c r="K52" i="23"/>
  <c r="J53" i="23"/>
  <c r="H53" i="23"/>
  <c r="I53" i="23"/>
  <c r="K53" i="23"/>
  <c r="J54" i="23"/>
  <c r="H54" i="23"/>
  <c r="I54" i="23"/>
  <c r="K54" i="23"/>
  <c r="J55" i="23"/>
  <c r="H55" i="23"/>
  <c r="I55" i="23"/>
  <c r="K55" i="23"/>
  <c r="J56" i="23"/>
  <c r="H56" i="23"/>
  <c r="I56" i="23"/>
  <c r="K56" i="23"/>
  <c r="J57" i="23"/>
  <c r="I57" i="23"/>
  <c r="K57" i="23"/>
  <c r="J58" i="23"/>
  <c r="H58" i="23"/>
  <c r="I58" i="23"/>
  <c r="K58" i="23"/>
  <c r="J59" i="23"/>
  <c r="I59" i="23"/>
  <c r="K59" i="23"/>
  <c r="J60" i="23"/>
  <c r="H60" i="23"/>
  <c r="I60" i="23"/>
  <c r="K60" i="23"/>
  <c r="J61" i="23"/>
  <c r="H61" i="23"/>
  <c r="I61" i="23"/>
  <c r="K61" i="23"/>
  <c r="J62" i="23"/>
  <c r="I62" i="23"/>
  <c r="K62" i="23"/>
  <c r="J63" i="23"/>
  <c r="H63" i="23"/>
  <c r="I63" i="23"/>
  <c r="K63" i="23"/>
  <c r="J64" i="23"/>
  <c r="H64" i="23"/>
  <c r="I64" i="23"/>
  <c r="K64" i="23"/>
  <c r="J65" i="23"/>
  <c r="H65" i="23"/>
  <c r="I65" i="23"/>
  <c r="K65" i="23"/>
  <c r="X44" i="57"/>
  <c r="J41" i="51"/>
  <c r="H41" i="51"/>
  <c r="I41" i="51"/>
  <c r="K41" i="51"/>
  <c r="J42" i="51"/>
  <c r="H42" i="51"/>
  <c r="I42" i="51"/>
  <c r="K42" i="51"/>
  <c r="J43" i="51"/>
  <c r="I43" i="51"/>
  <c r="K43" i="51"/>
  <c r="J44" i="51"/>
  <c r="H44" i="51"/>
  <c r="I44" i="51"/>
  <c r="K44" i="51"/>
  <c r="J45" i="51"/>
  <c r="H45" i="51"/>
  <c r="I45" i="51"/>
  <c r="K45" i="51"/>
  <c r="J46" i="51"/>
  <c r="H46" i="51"/>
  <c r="I46" i="51"/>
  <c r="K46" i="51"/>
  <c r="J47" i="51"/>
  <c r="H47" i="51"/>
  <c r="I47" i="51"/>
  <c r="K47" i="51"/>
  <c r="J48" i="51"/>
  <c r="H48" i="51"/>
  <c r="I48" i="51"/>
  <c r="K48" i="51"/>
  <c r="J49" i="51"/>
  <c r="H49" i="51"/>
  <c r="I49" i="51"/>
  <c r="K49" i="51"/>
  <c r="J50" i="51"/>
  <c r="H50" i="51"/>
  <c r="I50" i="51"/>
  <c r="K50" i="51"/>
  <c r="J51" i="51"/>
  <c r="H51" i="51"/>
  <c r="I51" i="51"/>
  <c r="K51" i="51"/>
  <c r="J52" i="51"/>
  <c r="H52" i="51"/>
  <c r="I52" i="51"/>
  <c r="K52" i="51"/>
  <c r="J53" i="51"/>
  <c r="H53" i="51"/>
  <c r="I53" i="51"/>
  <c r="K53" i="51"/>
  <c r="J54" i="51"/>
  <c r="H54" i="51"/>
  <c r="I54" i="51"/>
  <c r="K54" i="51"/>
  <c r="J55" i="51"/>
  <c r="H55" i="51"/>
  <c r="I55" i="51"/>
  <c r="K55" i="51"/>
  <c r="J56" i="51"/>
  <c r="H56" i="51"/>
  <c r="I56" i="51"/>
  <c r="K56" i="51"/>
  <c r="J57" i="51"/>
  <c r="I57" i="51"/>
  <c r="K57" i="51"/>
  <c r="J58" i="51"/>
  <c r="H58" i="51"/>
  <c r="I58" i="51"/>
  <c r="K58" i="51"/>
  <c r="J59" i="51"/>
  <c r="I59" i="51"/>
  <c r="K59" i="51"/>
  <c r="J60" i="51"/>
  <c r="H60" i="51"/>
  <c r="I60" i="51"/>
  <c r="K60" i="51"/>
  <c r="J61" i="51"/>
  <c r="H61" i="51"/>
  <c r="I61" i="51"/>
  <c r="K61" i="51"/>
  <c r="J62" i="51"/>
  <c r="I62" i="51"/>
  <c r="K62" i="51"/>
  <c r="J63" i="51"/>
  <c r="H63" i="51"/>
  <c r="I63" i="51"/>
  <c r="K63" i="51"/>
  <c r="J64" i="51"/>
  <c r="H64" i="51"/>
  <c r="I64" i="51"/>
  <c r="K64" i="51"/>
  <c r="J65" i="51"/>
  <c r="H65" i="51"/>
  <c r="I65" i="51"/>
  <c r="K65" i="51"/>
  <c r="Y44" i="57"/>
  <c r="J41" i="24"/>
  <c r="F41" i="24"/>
  <c r="H41" i="24"/>
  <c r="I41" i="24"/>
  <c r="K41" i="24"/>
  <c r="J42" i="24"/>
  <c r="F42" i="24"/>
  <c r="H42" i="24"/>
  <c r="I42" i="24"/>
  <c r="K42" i="24"/>
  <c r="J43" i="24"/>
  <c r="F43" i="24"/>
  <c r="I43" i="24"/>
  <c r="K43" i="24"/>
  <c r="J44" i="24"/>
  <c r="F44" i="24"/>
  <c r="H44" i="24"/>
  <c r="I44" i="24"/>
  <c r="K44" i="24"/>
  <c r="J45" i="24"/>
  <c r="F45" i="24"/>
  <c r="H45" i="24"/>
  <c r="I45" i="24"/>
  <c r="K45" i="24"/>
  <c r="J46" i="24"/>
  <c r="F46" i="24"/>
  <c r="H46" i="24"/>
  <c r="I46" i="24"/>
  <c r="K46" i="24"/>
  <c r="J47" i="24"/>
  <c r="F47" i="24"/>
  <c r="H47" i="24"/>
  <c r="I47" i="24"/>
  <c r="K47" i="24"/>
  <c r="J48" i="24"/>
  <c r="F48" i="24"/>
  <c r="H48" i="24"/>
  <c r="I48" i="24"/>
  <c r="K48" i="24"/>
  <c r="J49" i="24"/>
  <c r="F49" i="24"/>
  <c r="H49" i="24"/>
  <c r="I49" i="24"/>
  <c r="K49" i="24"/>
  <c r="J50" i="24"/>
  <c r="F50" i="24"/>
  <c r="H50" i="24"/>
  <c r="I50" i="24"/>
  <c r="K50" i="24"/>
  <c r="J51" i="24"/>
  <c r="F51" i="24"/>
  <c r="H51" i="24"/>
  <c r="I51" i="24"/>
  <c r="K51" i="24"/>
  <c r="J52" i="24"/>
  <c r="F52" i="24"/>
  <c r="H52" i="24"/>
  <c r="I52" i="24"/>
  <c r="K52" i="24"/>
  <c r="J53" i="24"/>
  <c r="F53" i="24"/>
  <c r="H53" i="24"/>
  <c r="I53" i="24"/>
  <c r="K53" i="24"/>
  <c r="J54" i="24"/>
  <c r="F54" i="24"/>
  <c r="H54" i="24"/>
  <c r="I54" i="24"/>
  <c r="K54" i="24"/>
  <c r="J55" i="24"/>
  <c r="F55" i="24"/>
  <c r="H55" i="24"/>
  <c r="I55" i="24"/>
  <c r="K55" i="24"/>
  <c r="J56" i="24"/>
  <c r="F56" i="24"/>
  <c r="H56" i="24"/>
  <c r="I56" i="24"/>
  <c r="K56" i="24"/>
  <c r="J57" i="24"/>
  <c r="F57" i="24"/>
  <c r="I57" i="24"/>
  <c r="K57" i="24"/>
  <c r="J58" i="24"/>
  <c r="F58" i="24"/>
  <c r="H58" i="24"/>
  <c r="I58" i="24"/>
  <c r="K58" i="24"/>
  <c r="J59" i="24"/>
  <c r="F59" i="24"/>
  <c r="I59" i="24"/>
  <c r="K59" i="24"/>
  <c r="J60" i="24"/>
  <c r="F60" i="24"/>
  <c r="H60" i="24"/>
  <c r="I60" i="24"/>
  <c r="K60" i="24"/>
  <c r="J61" i="24"/>
  <c r="F61" i="24"/>
  <c r="H61" i="24"/>
  <c r="I61" i="24"/>
  <c r="K61" i="24"/>
  <c r="J62" i="24"/>
  <c r="F62" i="24"/>
  <c r="I62" i="24"/>
  <c r="K62" i="24"/>
  <c r="J63" i="24"/>
  <c r="F63" i="24"/>
  <c r="H63" i="24"/>
  <c r="I63" i="24"/>
  <c r="K63" i="24"/>
  <c r="J64" i="24"/>
  <c r="F64" i="24"/>
  <c r="H64" i="24"/>
  <c r="I64" i="24"/>
  <c r="K64" i="24"/>
  <c r="J65" i="24"/>
  <c r="F65" i="24"/>
  <c r="H65" i="24"/>
  <c r="I65" i="24"/>
  <c r="K65" i="24"/>
  <c r="Z44" i="57"/>
  <c r="AD44" i="57"/>
  <c r="S41" i="23"/>
  <c r="M41" i="23"/>
  <c r="L41" i="23"/>
  <c r="O41" i="23"/>
  <c r="AE41" i="23"/>
  <c r="AF41" i="23"/>
  <c r="M42" i="23"/>
  <c r="AE42" i="23"/>
  <c r="AF42" i="23"/>
  <c r="M43" i="23"/>
  <c r="AE43" i="23"/>
  <c r="AF43" i="23"/>
  <c r="M44" i="23"/>
  <c r="AE44" i="23"/>
  <c r="AF44" i="23"/>
  <c r="M45" i="23"/>
  <c r="AE45" i="23"/>
  <c r="AF45" i="23"/>
  <c r="M46" i="23"/>
  <c r="AE46" i="23"/>
  <c r="AF46" i="23"/>
  <c r="M47" i="23"/>
  <c r="AE47" i="23"/>
  <c r="AF47" i="23"/>
  <c r="M48" i="23"/>
  <c r="AE48" i="23"/>
  <c r="AF48" i="23"/>
  <c r="M49" i="23"/>
  <c r="AE49" i="23"/>
  <c r="AF49" i="23"/>
  <c r="M50" i="23"/>
  <c r="AE50" i="23"/>
  <c r="AF50" i="23"/>
  <c r="M51" i="23"/>
  <c r="AE51" i="23"/>
  <c r="AF51" i="23"/>
  <c r="M52" i="23"/>
  <c r="AE52" i="23"/>
  <c r="AF52" i="23"/>
  <c r="M53" i="23"/>
  <c r="AE53" i="23"/>
  <c r="AF53" i="23"/>
  <c r="M54" i="23"/>
  <c r="AE54" i="23"/>
  <c r="AF54" i="23"/>
  <c r="M55" i="23"/>
  <c r="AE55" i="23"/>
  <c r="AF55" i="23"/>
  <c r="M56" i="23"/>
  <c r="AE56" i="23"/>
  <c r="AF56" i="23"/>
  <c r="M57" i="23"/>
  <c r="AE57" i="23"/>
  <c r="AF57" i="23"/>
  <c r="M58" i="23"/>
  <c r="AE58" i="23"/>
  <c r="AF58" i="23"/>
  <c r="M59" i="23"/>
  <c r="AE59" i="23"/>
  <c r="AF59" i="23"/>
  <c r="M60" i="23"/>
  <c r="AE60" i="23"/>
  <c r="AF60" i="23"/>
  <c r="M61" i="23"/>
  <c r="AE61" i="23"/>
  <c r="AF61" i="23"/>
  <c r="AE62" i="23"/>
  <c r="AF62" i="23"/>
  <c r="M63" i="23"/>
  <c r="AE63" i="23"/>
  <c r="AF63" i="23"/>
  <c r="M64" i="23"/>
  <c r="AE64" i="23"/>
  <c r="AF64" i="23"/>
  <c r="AE65" i="23"/>
  <c r="AF65" i="23"/>
  <c r="X47" i="57"/>
  <c r="S41" i="51"/>
  <c r="M41" i="51"/>
  <c r="L41" i="51"/>
  <c r="O41" i="51"/>
  <c r="AE41" i="51"/>
  <c r="AF41" i="51"/>
  <c r="M42" i="51"/>
  <c r="AE42" i="51"/>
  <c r="AF42" i="51"/>
  <c r="M43" i="51"/>
  <c r="AE43" i="51"/>
  <c r="AF43" i="51"/>
  <c r="M44" i="51"/>
  <c r="AE44" i="51"/>
  <c r="AF44" i="51"/>
  <c r="M45" i="51"/>
  <c r="AE45" i="51"/>
  <c r="AF45" i="51"/>
  <c r="M46" i="51"/>
  <c r="AE46" i="51"/>
  <c r="AF46" i="51"/>
  <c r="M47" i="51"/>
  <c r="AE47" i="51"/>
  <c r="AF47" i="51"/>
  <c r="M48" i="51"/>
  <c r="AE48" i="51"/>
  <c r="AF48" i="51"/>
  <c r="M49" i="51"/>
  <c r="AE49" i="51"/>
  <c r="AF49" i="51"/>
  <c r="M50" i="51"/>
  <c r="AE50" i="51"/>
  <c r="AF50" i="51"/>
  <c r="M51" i="51"/>
  <c r="AE51" i="51"/>
  <c r="AF51" i="51"/>
  <c r="M52" i="51"/>
  <c r="AE52" i="51"/>
  <c r="AF52" i="51"/>
  <c r="M53" i="51"/>
  <c r="AE53" i="51"/>
  <c r="AF53" i="51"/>
  <c r="M54" i="51"/>
  <c r="AE54" i="51"/>
  <c r="AF54" i="51"/>
  <c r="M55" i="51"/>
  <c r="AE55" i="51"/>
  <c r="AF55" i="51"/>
  <c r="M56" i="51"/>
  <c r="AE56" i="51"/>
  <c r="AF56" i="51"/>
  <c r="M57" i="51"/>
  <c r="AE57" i="51"/>
  <c r="AF57" i="51"/>
  <c r="M58" i="51"/>
  <c r="AE58" i="51"/>
  <c r="AF58" i="51"/>
  <c r="M59" i="51"/>
  <c r="AE59" i="51"/>
  <c r="AF59" i="51"/>
  <c r="M60" i="51"/>
  <c r="AE60" i="51"/>
  <c r="AF60" i="51"/>
  <c r="M61" i="51"/>
  <c r="AE61" i="51"/>
  <c r="AF61" i="51"/>
  <c r="AE62" i="51"/>
  <c r="AF62" i="51"/>
  <c r="M63" i="51"/>
  <c r="AE63" i="51"/>
  <c r="AF63" i="51"/>
  <c r="M64" i="51"/>
  <c r="AE64" i="51"/>
  <c r="AF64" i="51"/>
  <c r="AE65" i="51"/>
  <c r="AF65" i="51"/>
  <c r="Y47" i="57"/>
  <c r="S41" i="24"/>
  <c r="M41" i="24"/>
  <c r="L41" i="24"/>
  <c r="O41" i="24"/>
  <c r="AE41" i="24"/>
  <c r="AF41" i="24"/>
  <c r="AE42" i="24"/>
  <c r="AF42" i="24"/>
  <c r="AE43" i="24"/>
  <c r="AF43" i="24"/>
  <c r="AE44" i="24"/>
  <c r="AF44" i="24"/>
  <c r="AE45" i="24"/>
  <c r="AF45" i="24"/>
  <c r="AE46" i="24"/>
  <c r="AF46" i="24"/>
  <c r="AE47" i="24"/>
  <c r="AF47" i="24"/>
  <c r="AE48" i="24"/>
  <c r="AF48" i="24"/>
  <c r="AE49" i="24"/>
  <c r="AF49" i="24"/>
  <c r="AE50" i="24"/>
  <c r="AF50" i="24"/>
  <c r="AE51" i="24"/>
  <c r="AF51" i="24"/>
  <c r="AE52" i="24"/>
  <c r="AF52" i="24"/>
  <c r="AE53" i="24"/>
  <c r="AF53" i="24"/>
  <c r="AE54" i="24"/>
  <c r="AF54" i="24"/>
  <c r="AE55" i="24"/>
  <c r="AF55" i="24"/>
  <c r="AE56" i="24"/>
  <c r="AF56" i="24"/>
  <c r="AE57" i="24"/>
  <c r="AF57" i="24"/>
  <c r="AE58" i="24"/>
  <c r="AF58" i="24"/>
  <c r="AE59" i="24"/>
  <c r="AF59" i="24"/>
  <c r="AE60" i="24"/>
  <c r="AF60" i="24"/>
  <c r="AE61" i="24"/>
  <c r="AF61" i="24"/>
  <c r="AE62" i="24"/>
  <c r="AF62" i="24"/>
  <c r="AE63" i="24"/>
  <c r="AF63" i="24"/>
  <c r="AE64" i="24"/>
  <c r="AF64" i="24"/>
  <c r="AE65" i="24"/>
  <c r="AF65" i="24"/>
  <c r="Z47" i="57"/>
  <c r="AD47" i="57"/>
  <c r="E29" i="60"/>
  <c r="AD46" i="57"/>
  <c r="AD45" i="57"/>
  <c r="R1" i="24"/>
  <c r="AD1" i="51"/>
  <c r="C48" i="5"/>
  <c r="D6" i="21"/>
  <c r="G6" i="42"/>
  <c r="F6" i="42"/>
  <c r="J6" i="42"/>
  <c r="K6" i="42"/>
  <c r="G7" i="42"/>
  <c r="F7" i="42"/>
  <c r="K7" i="42"/>
  <c r="G8" i="42"/>
  <c r="F8" i="42"/>
  <c r="J8" i="42"/>
  <c r="K8" i="42"/>
  <c r="G9" i="42"/>
  <c r="F9" i="42"/>
  <c r="J9" i="42"/>
  <c r="K9" i="42"/>
  <c r="G10" i="42"/>
  <c r="F10" i="42"/>
  <c r="J10" i="42"/>
  <c r="K10" i="42"/>
  <c r="G11" i="42"/>
  <c r="F11" i="42"/>
  <c r="J11" i="42"/>
  <c r="K11" i="42"/>
  <c r="G12" i="42"/>
  <c r="F12" i="42"/>
  <c r="J12" i="42"/>
  <c r="K12" i="42"/>
  <c r="G13" i="42"/>
  <c r="F13" i="42"/>
  <c r="J13" i="42"/>
  <c r="K13" i="42"/>
  <c r="G14" i="42"/>
  <c r="F14" i="42"/>
  <c r="J14" i="42"/>
  <c r="K14" i="42"/>
  <c r="G15" i="42"/>
  <c r="F15" i="42"/>
  <c r="J15" i="42"/>
  <c r="K15" i="42"/>
  <c r="G16" i="42"/>
  <c r="F16" i="42"/>
  <c r="J16" i="42"/>
  <c r="K16" i="42"/>
  <c r="G17" i="42"/>
  <c r="F17" i="42"/>
  <c r="J17" i="42"/>
  <c r="K17" i="42"/>
  <c r="G18" i="42"/>
  <c r="F18" i="42"/>
  <c r="J18" i="42"/>
  <c r="K18" i="42"/>
  <c r="G19" i="42"/>
  <c r="F19" i="42"/>
  <c r="J19" i="42"/>
  <c r="K19" i="42"/>
  <c r="G20" i="42"/>
  <c r="F20" i="42"/>
  <c r="J20" i="42"/>
  <c r="K20" i="42"/>
  <c r="G21" i="42"/>
  <c r="F21" i="42"/>
  <c r="J21" i="42"/>
  <c r="K21" i="42"/>
  <c r="G22" i="42"/>
  <c r="F22" i="42"/>
  <c r="J22" i="42"/>
  <c r="K22" i="42"/>
  <c r="G23" i="42"/>
  <c r="F23" i="42"/>
  <c r="J23" i="42"/>
  <c r="K23" i="42"/>
  <c r="G24" i="42"/>
  <c r="F24" i="42"/>
  <c r="J24" i="42"/>
  <c r="K24" i="42"/>
  <c r="G25" i="42"/>
  <c r="F25" i="42"/>
  <c r="J25" i="42"/>
  <c r="K25" i="42"/>
  <c r="G26" i="42"/>
  <c r="F26" i="42"/>
  <c r="J26" i="42"/>
  <c r="K26" i="42"/>
  <c r="J28" i="42"/>
  <c r="G28" i="42"/>
  <c r="F28" i="42"/>
  <c r="K28" i="42"/>
  <c r="I29" i="58"/>
  <c r="J29" i="42"/>
  <c r="G29" i="42"/>
  <c r="F29" i="42"/>
  <c r="K29" i="42"/>
  <c r="J30" i="42"/>
  <c r="G30" i="42"/>
  <c r="F30" i="42"/>
  <c r="K30" i="42"/>
  <c r="J31" i="42"/>
  <c r="G31" i="42"/>
  <c r="F31" i="42"/>
  <c r="K31" i="42"/>
  <c r="I32" i="58"/>
  <c r="J32" i="42"/>
  <c r="G32" i="42"/>
  <c r="F32" i="42"/>
  <c r="K32" i="42"/>
  <c r="J33" i="42"/>
  <c r="G33" i="42"/>
  <c r="F33" i="42"/>
  <c r="K33" i="42"/>
  <c r="J34" i="42"/>
  <c r="G34" i="42"/>
  <c r="F34" i="42"/>
  <c r="K34" i="42"/>
  <c r="K1" i="42"/>
  <c r="C24" i="5"/>
  <c r="D9" i="18"/>
  <c r="F9" i="18"/>
  <c r="E9" i="18"/>
  <c r="I9" i="18"/>
  <c r="J9" i="18"/>
  <c r="M9" i="18"/>
  <c r="R9" i="18"/>
  <c r="S9" i="18"/>
  <c r="D18" i="62"/>
  <c r="T9" i="18"/>
  <c r="U9" i="18"/>
  <c r="V9" i="18"/>
  <c r="D11" i="18"/>
  <c r="F11" i="18"/>
  <c r="E11" i="18"/>
  <c r="I11" i="18"/>
  <c r="J11" i="18"/>
  <c r="M11" i="18"/>
  <c r="R11" i="18"/>
  <c r="S11" i="18"/>
  <c r="D22" i="62"/>
  <c r="T11" i="18"/>
  <c r="U11" i="18"/>
  <c r="V11" i="18"/>
  <c r="D13" i="18"/>
  <c r="F13" i="18"/>
  <c r="E13" i="18"/>
  <c r="I13" i="18"/>
  <c r="J13" i="18"/>
  <c r="M13" i="18"/>
  <c r="R13" i="18"/>
  <c r="S13" i="18"/>
  <c r="D26" i="62"/>
  <c r="T13" i="18"/>
  <c r="U13" i="18"/>
  <c r="V13" i="18"/>
  <c r="D15" i="18"/>
  <c r="F15" i="18"/>
  <c r="E15" i="18"/>
  <c r="I15" i="18"/>
  <c r="J15" i="18"/>
  <c r="M15" i="18"/>
  <c r="R15" i="18"/>
  <c r="S15" i="18"/>
  <c r="D31" i="62"/>
  <c r="D32" i="62"/>
  <c r="D30" i="62"/>
  <c r="T15" i="18"/>
  <c r="U15" i="18"/>
  <c r="V15" i="18"/>
  <c r="D16" i="18"/>
  <c r="F16" i="18"/>
  <c r="E16" i="18"/>
  <c r="I16" i="18"/>
  <c r="J16" i="18"/>
  <c r="M16" i="18"/>
  <c r="R16" i="18"/>
  <c r="S16" i="18"/>
  <c r="D33" i="62"/>
  <c r="T16" i="18"/>
  <c r="U16" i="18"/>
  <c r="V16" i="18"/>
  <c r="D18" i="18"/>
  <c r="F18" i="18"/>
  <c r="E18" i="18"/>
  <c r="I18" i="18"/>
  <c r="J18" i="18"/>
  <c r="M18" i="18"/>
  <c r="R18" i="18"/>
  <c r="S18" i="18"/>
  <c r="T18" i="18"/>
  <c r="U18" i="18"/>
  <c r="V18" i="18"/>
  <c r="D29" i="18"/>
  <c r="F29" i="18"/>
  <c r="E29" i="18"/>
  <c r="I29" i="18"/>
  <c r="J29" i="18"/>
  <c r="M29" i="18"/>
  <c r="R29" i="18"/>
  <c r="S29" i="18"/>
  <c r="D61" i="62"/>
  <c r="D58" i="62"/>
  <c r="T29" i="18"/>
  <c r="U29" i="18"/>
  <c r="V29" i="18"/>
  <c r="D32" i="18"/>
  <c r="F32" i="18"/>
  <c r="E32" i="18"/>
  <c r="I32" i="18"/>
  <c r="J32" i="18"/>
  <c r="M32" i="18"/>
  <c r="R32" i="18"/>
  <c r="S32" i="18"/>
  <c r="D66" i="62"/>
  <c r="T32" i="18"/>
  <c r="U32" i="18"/>
  <c r="V32" i="18"/>
  <c r="V1" i="18"/>
  <c r="F6" i="18"/>
  <c r="E6" i="18"/>
  <c r="I6" i="18"/>
  <c r="J6" i="18"/>
  <c r="F7" i="18"/>
  <c r="E7" i="18"/>
  <c r="I7" i="18"/>
  <c r="J7" i="18"/>
  <c r="F8" i="18"/>
  <c r="E8" i="18"/>
  <c r="I8" i="18"/>
  <c r="J8" i="18"/>
  <c r="F10" i="18"/>
  <c r="E10" i="18"/>
  <c r="I10" i="18"/>
  <c r="J10" i="18"/>
  <c r="F12" i="18"/>
  <c r="E12" i="18"/>
  <c r="I12" i="18"/>
  <c r="J12" i="18"/>
  <c r="F14" i="18"/>
  <c r="E14" i="18"/>
  <c r="I14" i="18"/>
  <c r="J14" i="18"/>
  <c r="F17" i="18"/>
  <c r="E17" i="18"/>
  <c r="I17" i="18"/>
  <c r="J17" i="18"/>
  <c r="F19" i="18"/>
  <c r="E19" i="18"/>
  <c r="I19" i="18"/>
  <c r="J19" i="18"/>
  <c r="F20" i="18"/>
  <c r="E20" i="18"/>
  <c r="J20" i="18"/>
  <c r="F21" i="18"/>
  <c r="E21" i="18"/>
  <c r="I21" i="18"/>
  <c r="J21" i="18"/>
  <c r="F22" i="18"/>
  <c r="E22" i="18"/>
  <c r="I22" i="18"/>
  <c r="J22" i="18"/>
  <c r="F23" i="18"/>
  <c r="E23" i="18"/>
  <c r="I23" i="18"/>
  <c r="J23" i="18"/>
  <c r="F24" i="18"/>
  <c r="E24" i="18"/>
  <c r="I24" i="18"/>
  <c r="J24" i="18"/>
  <c r="F25" i="18"/>
  <c r="E25" i="18"/>
  <c r="I25" i="18"/>
  <c r="J25" i="18"/>
  <c r="F26" i="18"/>
  <c r="E26" i="18"/>
  <c r="J26" i="18"/>
  <c r="F28" i="18"/>
  <c r="E28" i="18"/>
  <c r="J28" i="18"/>
  <c r="F30" i="18"/>
  <c r="E30" i="18"/>
  <c r="J30" i="18"/>
  <c r="F31" i="18"/>
  <c r="E31" i="18"/>
  <c r="J31" i="18"/>
  <c r="F33" i="18"/>
  <c r="E33" i="18"/>
  <c r="J33" i="18"/>
  <c r="F34" i="18"/>
  <c r="E34" i="18"/>
  <c r="J34" i="18"/>
  <c r="J27" i="18"/>
  <c r="J1" i="18"/>
  <c r="C19" i="5"/>
  <c r="D6" i="12"/>
  <c r="E6" i="12"/>
  <c r="J6" i="12"/>
  <c r="M6" i="12"/>
  <c r="R6" i="12"/>
  <c r="S6" i="12"/>
  <c r="C9" i="61"/>
  <c r="T6" i="12"/>
  <c r="U6" i="12"/>
  <c r="V6" i="12"/>
  <c r="D7" i="12"/>
  <c r="E7" i="12"/>
  <c r="J7" i="12"/>
  <c r="M7" i="12"/>
  <c r="R7" i="12"/>
  <c r="S7" i="12"/>
  <c r="C11" i="61"/>
  <c r="T7" i="12"/>
  <c r="U7" i="12"/>
  <c r="V7" i="12"/>
  <c r="D8" i="12"/>
  <c r="E8" i="12"/>
  <c r="J8" i="12"/>
  <c r="M8" i="12"/>
  <c r="R8" i="12"/>
  <c r="S8" i="12"/>
  <c r="C13" i="61"/>
  <c r="T8" i="12"/>
  <c r="U8" i="12"/>
  <c r="V8" i="12"/>
  <c r="D9" i="12"/>
  <c r="E9" i="12"/>
  <c r="J9" i="12"/>
  <c r="M9" i="12"/>
  <c r="R9" i="12"/>
  <c r="S9" i="12"/>
  <c r="C17" i="61"/>
  <c r="C16" i="61"/>
  <c r="T9" i="12"/>
  <c r="U9" i="12"/>
  <c r="V9" i="12"/>
  <c r="D10" i="12"/>
  <c r="E10" i="12"/>
  <c r="J10" i="12"/>
  <c r="M10" i="12"/>
  <c r="R10" i="12"/>
  <c r="S10" i="12"/>
  <c r="C18" i="61"/>
  <c r="T10" i="12"/>
  <c r="U10" i="12"/>
  <c r="V10" i="12"/>
  <c r="D11" i="12"/>
  <c r="E11" i="12"/>
  <c r="J11" i="12"/>
  <c r="M11" i="12"/>
  <c r="R11" i="12"/>
  <c r="S11" i="12"/>
  <c r="C20" i="61"/>
  <c r="T11" i="12"/>
  <c r="U11" i="12"/>
  <c r="V11" i="12"/>
  <c r="D12" i="12"/>
  <c r="E12" i="12"/>
  <c r="J12" i="12"/>
  <c r="M12" i="12"/>
  <c r="R12" i="12"/>
  <c r="S12" i="12"/>
  <c r="C23" i="61"/>
  <c r="C22" i="61"/>
  <c r="T12" i="12"/>
  <c r="U12" i="12"/>
  <c r="V12" i="12"/>
  <c r="D13" i="12"/>
  <c r="E13" i="12"/>
  <c r="J13" i="12"/>
  <c r="M13" i="12"/>
  <c r="R13" i="12"/>
  <c r="S13" i="12"/>
  <c r="C25" i="61"/>
  <c r="C26" i="61"/>
  <c r="C27" i="61"/>
  <c r="C24" i="61"/>
  <c r="T13" i="12"/>
  <c r="U13" i="12"/>
  <c r="V13" i="12"/>
  <c r="D14" i="12"/>
  <c r="E14" i="12"/>
  <c r="J14" i="12"/>
  <c r="M14" i="12"/>
  <c r="R14" i="12"/>
  <c r="S14" i="12"/>
  <c r="T14" i="12"/>
  <c r="U14" i="12"/>
  <c r="V14" i="12"/>
  <c r="D15" i="12"/>
  <c r="E15" i="12"/>
  <c r="J15" i="12"/>
  <c r="M15" i="12"/>
  <c r="R15" i="12"/>
  <c r="S15" i="12"/>
  <c r="C32" i="61"/>
  <c r="C31" i="61"/>
  <c r="T15" i="12"/>
  <c r="U15" i="12"/>
  <c r="V15" i="12"/>
  <c r="D16" i="12"/>
  <c r="E16" i="12"/>
  <c r="J16" i="12"/>
  <c r="M16" i="12"/>
  <c r="R16" i="12"/>
  <c r="S16" i="12"/>
  <c r="C33" i="61"/>
  <c r="T16" i="12"/>
  <c r="U16" i="12"/>
  <c r="V16" i="12"/>
  <c r="D17" i="12"/>
  <c r="E17" i="12"/>
  <c r="J17" i="12"/>
  <c r="M17" i="12"/>
  <c r="R17" i="12"/>
  <c r="S17" i="12"/>
  <c r="C35" i="61"/>
  <c r="T17" i="12"/>
  <c r="U17" i="12"/>
  <c r="V17" i="12"/>
  <c r="D18" i="12"/>
  <c r="E18" i="12"/>
  <c r="J18" i="12"/>
  <c r="M18" i="12"/>
  <c r="R18" i="12"/>
  <c r="S18" i="12"/>
  <c r="T18" i="12"/>
  <c r="U18" i="12"/>
  <c r="V18" i="12"/>
  <c r="D20" i="12"/>
  <c r="E20" i="12"/>
  <c r="J20" i="12"/>
  <c r="M20" i="12"/>
  <c r="R20" i="12"/>
  <c r="S20" i="12"/>
  <c r="T20" i="12"/>
  <c r="U20" i="12"/>
  <c r="V20" i="12"/>
  <c r="D21" i="12"/>
  <c r="E21" i="12"/>
  <c r="J21" i="12"/>
  <c r="M21" i="12"/>
  <c r="R21" i="12"/>
  <c r="S21" i="12"/>
  <c r="C43" i="61"/>
  <c r="T21" i="12"/>
  <c r="U21" i="12"/>
  <c r="V21" i="12"/>
  <c r="D22" i="12"/>
  <c r="E22" i="12"/>
  <c r="J22" i="12"/>
  <c r="M22" i="12"/>
  <c r="R22" i="12"/>
  <c r="S22" i="12"/>
  <c r="C45" i="61"/>
  <c r="T22" i="12"/>
  <c r="U22" i="12"/>
  <c r="V22" i="12"/>
  <c r="D23" i="12"/>
  <c r="E23" i="12"/>
  <c r="J23" i="12"/>
  <c r="M23" i="12"/>
  <c r="R23" i="12"/>
  <c r="S23" i="12"/>
  <c r="T23" i="12"/>
  <c r="U23" i="12"/>
  <c r="V23" i="12"/>
  <c r="D24" i="12"/>
  <c r="E24" i="12"/>
  <c r="J24" i="12"/>
  <c r="M24" i="12"/>
  <c r="R24" i="12"/>
  <c r="S24" i="12"/>
  <c r="C49" i="61"/>
  <c r="T24" i="12"/>
  <c r="U24" i="12"/>
  <c r="V24" i="12"/>
  <c r="D25" i="12"/>
  <c r="E25" i="12"/>
  <c r="J25" i="12"/>
  <c r="M25" i="12"/>
  <c r="R25" i="12"/>
  <c r="S25" i="12"/>
  <c r="C53" i="61"/>
  <c r="C51" i="61"/>
  <c r="T25" i="12"/>
  <c r="U25" i="12"/>
  <c r="V25" i="12"/>
  <c r="D26" i="12"/>
  <c r="E26" i="12"/>
  <c r="J26" i="12"/>
  <c r="M26" i="12"/>
  <c r="R26" i="12"/>
  <c r="S26" i="12"/>
  <c r="C54" i="61"/>
  <c r="T26" i="12"/>
  <c r="U26" i="12"/>
  <c r="V26" i="12"/>
  <c r="E28" i="12"/>
  <c r="AK7" i="12"/>
  <c r="AJ7" i="12"/>
  <c r="AN7" i="12"/>
  <c r="AM8" i="12"/>
  <c r="AK8" i="12"/>
  <c r="AJ8" i="12"/>
  <c r="AN8" i="12"/>
  <c r="AM9" i="12"/>
  <c r="AK9" i="12"/>
  <c r="AJ9" i="12"/>
  <c r="AN9" i="12"/>
  <c r="AK10" i="12"/>
  <c r="AJ10" i="12"/>
  <c r="AN10" i="12"/>
  <c r="AM11" i="12"/>
  <c r="AK11" i="12"/>
  <c r="AJ11" i="12"/>
  <c r="AN11" i="12"/>
  <c r="AM12" i="12"/>
  <c r="AK12" i="12"/>
  <c r="AJ12" i="12"/>
  <c r="AN12" i="12"/>
  <c r="AM13" i="12"/>
  <c r="AK13" i="12"/>
  <c r="AJ13" i="12"/>
  <c r="AN13" i="12"/>
  <c r="AM14" i="12"/>
  <c r="AK14" i="12"/>
  <c r="AJ14" i="12"/>
  <c r="AN14" i="12"/>
  <c r="AM15" i="12"/>
  <c r="AK15" i="12"/>
  <c r="AJ15" i="12"/>
  <c r="AN15" i="12"/>
  <c r="AL16" i="12"/>
  <c r="AM16" i="12"/>
  <c r="AK16" i="12"/>
  <c r="AJ16" i="12"/>
  <c r="AN16" i="12"/>
  <c r="AN17" i="12"/>
  <c r="AO7" i="12"/>
  <c r="AO8" i="12"/>
  <c r="AO9" i="12"/>
  <c r="AO10" i="12"/>
  <c r="AO11" i="12"/>
  <c r="AO12" i="12"/>
  <c r="AO13" i="12"/>
  <c r="AO14" i="12"/>
  <c r="AO15" i="12"/>
  <c r="AO16" i="12"/>
  <c r="AO17" i="12"/>
  <c r="AN19" i="12"/>
  <c r="AN22" i="12"/>
  <c r="AL19" i="12"/>
  <c r="AN23" i="12"/>
  <c r="AN24" i="12"/>
  <c r="I28" i="12"/>
  <c r="J28" i="12"/>
  <c r="M28" i="12"/>
  <c r="R28" i="12"/>
  <c r="Z28" i="12"/>
  <c r="D28" i="12"/>
  <c r="AB28" i="12"/>
  <c r="S28" i="12"/>
  <c r="C56" i="61"/>
  <c r="T28" i="12"/>
  <c r="U28" i="12"/>
  <c r="V28" i="12"/>
  <c r="E29" i="12"/>
  <c r="J29" i="12"/>
  <c r="M29" i="12"/>
  <c r="R29" i="12"/>
  <c r="Z29" i="12"/>
  <c r="D29" i="12"/>
  <c r="AB29" i="12"/>
  <c r="S29" i="12"/>
  <c r="C60" i="61"/>
  <c r="C62" i="61"/>
  <c r="C59" i="61"/>
  <c r="T29" i="12"/>
  <c r="U29" i="12"/>
  <c r="V29" i="12"/>
  <c r="D31" i="12"/>
  <c r="E31" i="12"/>
  <c r="J31" i="12"/>
  <c r="M31" i="12"/>
  <c r="R31" i="12"/>
  <c r="S31" i="12"/>
  <c r="T31" i="12"/>
  <c r="U31" i="12"/>
  <c r="V31" i="12"/>
  <c r="D32" i="12"/>
  <c r="E32" i="12"/>
  <c r="J32" i="12"/>
  <c r="M32" i="12"/>
  <c r="R32" i="12"/>
  <c r="S32" i="12"/>
  <c r="C68" i="61"/>
  <c r="T32" i="12"/>
  <c r="U32" i="12"/>
  <c r="V32" i="12"/>
  <c r="D33" i="12"/>
  <c r="E33" i="12"/>
  <c r="J33" i="12"/>
  <c r="M33" i="12"/>
  <c r="R33" i="12"/>
  <c r="S33" i="12"/>
  <c r="C72" i="61"/>
  <c r="C70" i="61"/>
  <c r="T33" i="12"/>
  <c r="U33" i="12"/>
  <c r="V33" i="12"/>
  <c r="C73" i="61"/>
  <c r="T34" i="12"/>
  <c r="E34" i="12"/>
  <c r="U34" i="12"/>
  <c r="V34" i="12"/>
  <c r="V1" i="12"/>
  <c r="M40" i="12"/>
  <c r="R40" i="12"/>
  <c r="K6" i="16"/>
  <c r="C29" i="5"/>
  <c r="G6" i="16"/>
  <c r="F6" i="16"/>
  <c r="L6" i="16"/>
  <c r="K7" i="16"/>
  <c r="G7" i="16"/>
  <c r="F7" i="16"/>
  <c r="L7" i="16"/>
  <c r="K8" i="16"/>
  <c r="G8" i="16"/>
  <c r="F8" i="16"/>
  <c r="L8" i="16"/>
  <c r="K9" i="16"/>
  <c r="G9" i="16"/>
  <c r="F9" i="16"/>
  <c r="L9" i="16"/>
  <c r="K10" i="16"/>
  <c r="G10" i="16"/>
  <c r="F10" i="16"/>
  <c r="L10" i="16"/>
  <c r="K11" i="16"/>
  <c r="G11" i="16"/>
  <c r="F11" i="16"/>
  <c r="L11" i="16"/>
  <c r="K12" i="16"/>
  <c r="G12" i="16"/>
  <c r="F12" i="16"/>
  <c r="L12" i="16"/>
  <c r="K13" i="16"/>
  <c r="G13" i="16"/>
  <c r="F13" i="16"/>
  <c r="L13" i="16"/>
  <c r="K14" i="16"/>
  <c r="G14" i="16"/>
  <c r="F14" i="16"/>
  <c r="L14" i="16"/>
  <c r="K15" i="16"/>
  <c r="G15" i="16"/>
  <c r="F15" i="16"/>
  <c r="L15" i="16"/>
  <c r="K16" i="16"/>
  <c r="G16" i="16"/>
  <c r="F16" i="16"/>
  <c r="L16" i="16"/>
  <c r="K17" i="16"/>
  <c r="G17" i="16"/>
  <c r="F17" i="16"/>
  <c r="L17" i="16"/>
  <c r="K18" i="16"/>
  <c r="G18" i="16"/>
  <c r="F18" i="16"/>
  <c r="L18" i="16"/>
  <c r="K19" i="16"/>
  <c r="G19" i="16"/>
  <c r="F19" i="16"/>
  <c r="L19" i="16"/>
  <c r="K20" i="16"/>
  <c r="G20" i="16"/>
  <c r="F20" i="16"/>
  <c r="L20" i="16"/>
  <c r="K21" i="16"/>
  <c r="G21" i="16"/>
  <c r="F21" i="16"/>
  <c r="L21" i="16"/>
  <c r="K22" i="16"/>
  <c r="G22" i="16"/>
  <c r="F22" i="16"/>
  <c r="L22" i="16"/>
  <c r="K23" i="16"/>
  <c r="G23" i="16"/>
  <c r="F23" i="16"/>
  <c r="L23" i="16"/>
  <c r="K24" i="16"/>
  <c r="G24" i="16"/>
  <c r="F24" i="16"/>
  <c r="L24" i="16"/>
  <c r="K25" i="16"/>
  <c r="G25" i="16"/>
  <c r="F25" i="16"/>
  <c r="L25" i="16"/>
  <c r="K26" i="16"/>
  <c r="G26" i="16"/>
  <c r="F26" i="16"/>
  <c r="L26" i="16"/>
  <c r="H28" i="16"/>
  <c r="F28" i="16"/>
  <c r="L28" i="16"/>
  <c r="H29" i="16"/>
  <c r="K29" i="16"/>
  <c r="F29" i="16"/>
  <c r="L29" i="16"/>
  <c r="H30" i="16"/>
  <c r="F30" i="16"/>
  <c r="L30" i="16"/>
  <c r="F31" i="16"/>
  <c r="G31" i="16"/>
  <c r="L31" i="16"/>
  <c r="H32" i="16"/>
  <c r="F32" i="16"/>
  <c r="L32" i="16"/>
  <c r="H33" i="16"/>
  <c r="F33" i="16"/>
  <c r="L33" i="16"/>
  <c r="H34" i="16"/>
  <c r="F34" i="16"/>
  <c r="L34" i="16"/>
  <c r="L27" i="16"/>
  <c r="L41" i="16"/>
  <c r="C15" i="5"/>
  <c r="C16" i="5"/>
  <c r="D12" i="41"/>
  <c r="F12" i="41"/>
  <c r="E12" i="41"/>
  <c r="I12" i="41"/>
  <c r="J12" i="41"/>
  <c r="M12" i="41"/>
  <c r="R12" i="41"/>
  <c r="S12" i="41"/>
  <c r="E94" i="36"/>
  <c r="E91" i="36"/>
  <c r="T12" i="41"/>
  <c r="U12" i="41"/>
  <c r="V12" i="41"/>
  <c r="D22" i="41"/>
  <c r="F22" i="41"/>
  <c r="E22" i="41"/>
  <c r="I22" i="41"/>
  <c r="J22" i="41"/>
  <c r="M22" i="41"/>
  <c r="R22" i="41"/>
  <c r="S22" i="41"/>
  <c r="E173" i="36"/>
  <c r="E177" i="36"/>
  <c r="E171" i="36"/>
  <c r="T22" i="41"/>
  <c r="U22" i="41"/>
  <c r="V22" i="41"/>
  <c r="D33" i="41"/>
  <c r="F33" i="41"/>
  <c r="E33" i="41"/>
  <c r="J33" i="41"/>
  <c r="M33" i="41"/>
  <c r="R33" i="41"/>
  <c r="S33" i="41"/>
  <c r="D290" i="36"/>
  <c r="E290" i="36"/>
  <c r="E274" i="36"/>
  <c r="T33" i="41"/>
  <c r="U33" i="41"/>
  <c r="V33" i="41"/>
  <c r="V1" i="41"/>
  <c r="E6" i="2"/>
  <c r="F6" i="2"/>
  <c r="H6" i="2"/>
  <c r="L6" i="2"/>
  <c r="E7" i="2"/>
  <c r="F7" i="2"/>
  <c r="H7" i="2"/>
  <c r="L7" i="2"/>
  <c r="E8" i="2"/>
  <c r="F8" i="2"/>
  <c r="H8" i="2"/>
  <c r="L8" i="2"/>
  <c r="E9" i="2"/>
  <c r="F9" i="2"/>
  <c r="H9" i="2"/>
  <c r="L9" i="2"/>
  <c r="E10" i="2"/>
  <c r="F10" i="2"/>
  <c r="H10" i="2"/>
  <c r="L10" i="2"/>
  <c r="E11" i="2"/>
  <c r="F11" i="2"/>
  <c r="H11" i="2"/>
  <c r="L11" i="2"/>
  <c r="E12" i="2"/>
  <c r="F12" i="2"/>
  <c r="H12" i="2"/>
  <c r="L12" i="2"/>
  <c r="E13" i="2"/>
  <c r="F13" i="2"/>
  <c r="H13" i="2"/>
  <c r="L13" i="2"/>
  <c r="E14" i="2"/>
  <c r="F14" i="2"/>
  <c r="H14" i="2"/>
  <c r="L14" i="2"/>
  <c r="E15" i="2"/>
  <c r="F15" i="2"/>
  <c r="H15" i="2"/>
  <c r="L15" i="2"/>
  <c r="E16" i="2"/>
  <c r="F16" i="2"/>
  <c r="H16" i="2"/>
  <c r="L16" i="2"/>
  <c r="E17" i="2"/>
  <c r="F17" i="2"/>
  <c r="H17" i="2"/>
  <c r="L17" i="2"/>
  <c r="E18" i="2"/>
  <c r="F18" i="2"/>
  <c r="H18" i="2"/>
  <c r="L18" i="2"/>
  <c r="E19" i="2"/>
  <c r="F19" i="2"/>
  <c r="H19" i="2"/>
  <c r="L19" i="2"/>
  <c r="E20" i="2"/>
  <c r="F20" i="2"/>
  <c r="H20" i="2"/>
  <c r="L20" i="2"/>
  <c r="E21" i="2"/>
  <c r="F21" i="2"/>
  <c r="H21" i="2"/>
  <c r="L21" i="2"/>
  <c r="E22" i="2"/>
  <c r="F22" i="2"/>
  <c r="H22" i="2"/>
  <c r="L22" i="2"/>
  <c r="E23" i="2"/>
  <c r="F23" i="2"/>
  <c r="H23" i="2"/>
  <c r="L23" i="2"/>
  <c r="E24" i="2"/>
  <c r="F24" i="2"/>
  <c r="H24" i="2"/>
  <c r="L24" i="2"/>
  <c r="E25" i="2"/>
  <c r="F25" i="2"/>
  <c r="H25" i="2"/>
  <c r="L25" i="2"/>
  <c r="E26" i="2"/>
  <c r="F26" i="2"/>
  <c r="H26" i="2"/>
  <c r="L26" i="2"/>
  <c r="E28" i="2"/>
  <c r="F28" i="2"/>
  <c r="H28" i="2"/>
  <c r="L28" i="2"/>
  <c r="E29" i="2"/>
  <c r="F29" i="2"/>
  <c r="H29" i="2"/>
  <c r="L29" i="2"/>
  <c r="E30" i="2"/>
  <c r="F30" i="2"/>
  <c r="H30" i="2"/>
  <c r="L30" i="2"/>
  <c r="E31" i="2"/>
  <c r="F31" i="2"/>
  <c r="H31" i="2"/>
  <c r="L31" i="2"/>
  <c r="E32" i="2"/>
  <c r="F32" i="2"/>
  <c r="H32" i="2"/>
  <c r="L32" i="2"/>
  <c r="E33" i="2"/>
  <c r="F33" i="2"/>
  <c r="H33" i="2"/>
  <c r="L33" i="2"/>
  <c r="E34" i="2"/>
  <c r="F34" i="2"/>
  <c r="H34" i="2"/>
  <c r="L34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8" i="2"/>
  <c r="D29" i="2"/>
  <c r="D30" i="2"/>
  <c r="D31" i="2"/>
  <c r="D32" i="2"/>
  <c r="D33" i="2"/>
  <c r="D34" i="2"/>
  <c r="D21" i="57"/>
  <c r="J6" i="2"/>
  <c r="M6" i="2"/>
  <c r="J7" i="2"/>
  <c r="M7" i="2"/>
  <c r="J8" i="2"/>
  <c r="M8" i="2"/>
  <c r="J9" i="2"/>
  <c r="M9" i="2"/>
  <c r="J10" i="2"/>
  <c r="M10" i="2"/>
  <c r="J11" i="2"/>
  <c r="M11" i="2"/>
  <c r="J12" i="2"/>
  <c r="M12" i="2"/>
  <c r="J13" i="2"/>
  <c r="M13" i="2"/>
  <c r="J14" i="2"/>
  <c r="M14" i="2"/>
  <c r="J15" i="2"/>
  <c r="M15" i="2"/>
  <c r="J16" i="2"/>
  <c r="M16" i="2"/>
  <c r="J17" i="2"/>
  <c r="M17" i="2"/>
  <c r="J18" i="2"/>
  <c r="M18" i="2"/>
  <c r="J19" i="2"/>
  <c r="M19" i="2"/>
  <c r="J20" i="2"/>
  <c r="M20" i="2"/>
  <c r="J21" i="2"/>
  <c r="M21" i="2"/>
  <c r="J22" i="2"/>
  <c r="M22" i="2"/>
  <c r="J23" i="2"/>
  <c r="M23" i="2"/>
  <c r="J24" i="2"/>
  <c r="M24" i="2"/>
  <c r="J25" i="2"/>
  <c r="M25" i="2"/>
  <c r="J26" i="2"/>
  <c r="M26" i="2"/>
  <c r="J28" i="2"/>
  <c r="M28" i="2"/>
  <c r="J29" i="2"/>
  <c r="M29" i="2"/>
  <c r="J30" i="2"/>
  <c r="M30" i="2"/>
  <c r="J31" i="2"/>
  <c r="M31" i="2"/>
  <c r="J32" i="2"/>
  <c r="M32" i="2"/>
  <c r="J33" i="2"/>
  <c r="M33" i="2"/>
  <c r="J34" i="2"/>
  <c r="M34" i="2"/>
  <c r="D20" i="57"/>
  <c r="D19" i="57"/>
  <c r="D18" i="57"/>
  <c r="D17" i="57"/>
  <c r="D29" i="57"/>
  <c r="T4" i="56"/>
  <c r="T8" i="56"/>
  <c r="T17" i="56"/>
  <c r="T18" i="56"/>
  <c r="T21" i="56"/>
  <c r="T22" i="56"/>
  <c r="T26" i="56"/>
  <c r="T39" i="56"/>
  <c r="T42" i="56"/>
  <c r="T47" i="56"/>
  <c r="T68" i="56"/>
  <c r="T67" i="56"/>
  <c r="T66" i="56"/>
  <c r="P4" i="56"/>
  <c r="P8" i="56"/>
  <c r="P13" i="56"/>
  <c r="P14" i="56"/>
  <c r="P17" i="56"/>
  <c r="P18" i="56"/>
  <c r="P21" i="56"/>
  <c r="P22" i="56"/>
  <c r="P26" i="56"/>
  <c r="P36" i="56"/>
  <c r="P37" i="56"/>
  <c r="P39" i="56"/>
  <c r="P42" i="56"/>
  <c r="P47" i="56"/>
  <c r="P50" i="56"/>
  <c r="P64" i="56"/>
  <c r="P63" i="56"/>
  <c r="P62" i="56"/>
  <c r="H64" i="56"/>
  <c r="H63" i="56"/>
  <c r="H62" i="56"/>
  <c r="P60" i="56"/>
  <c r="H60" i="56"/>
  <c r="H56" i="56"/>
  <c r="H58" i="56"/>
  <c r="U4" i="55"/>
  <c r="U5" i="55"/>
  <c r="U6" i="55"/>
  <c r="U7" i="55"/>
  <c r="U8" i="55"/>
  <c r="U9" i="55"/>
  <c r="U10" i="55"/>
  <c r="U11" i="55"/>
  <c r="U12" i="55"/>
  <c r="U13" i="55"/>
  <c r="U14" i="55"/>
  <c r="U15" i="55"/>
  <c r="U16" i="55"/>
  <c r="U17" i="55"/>
  <c r="U18" i="55"/>
  <c r="U19" i="55"/>
  <c r="U20" i="55"/>
  <c r="U21" i="55"/>
  <c r="U22" i="55"/>
  <c r="U23" i="55"/>
  <c r="U24" i="55"/>
  <c r="U25" i="55"/>
  <c r="U26" i="55"/>
  <c r="U27" i="55"/>
  <c r="U28" i="55"/>
  <c r="U29" i="55"/>
  <c r="U30" i="55"/>
  <c r="U31" i="55"/>
  <c r="U32" i="55"/>
  <c r="U33" i="55"/>
  <c r="U34" i="55"/>
  <c r="U35" i="55"/>
  <c r="U36" i="55"/>
  <c r="U37" i="55"/>
  <c r="U38" i="55"/>
  <c r="U39" i="55"/>
  <c r="U40" i="55"/>
  <c r="U41" i="55"/>
  <c r="U42" i="55"/>
  <c r="U43" i="55"/>
  <c r="U44" i="55"/>
  <c r="U45" i="55"/>
  <c r="U46" i="55"/>
  <c r="U47" i="55"/>
  <c r="U48" i="55"/>
  <c r="U49" i="55"/>
  <c r="U50" i="55"/>
  <c r="U51" i="55"/>
  <c r="U52" i="55"/>
  <c r="U53" i="55"/>
  <c r="U54" i="55"/>
  <c r="U75" i="55"/>
  <c r="U74" i="55"/>
  <c r="U73" i="55"/>
  <c r="N4" i="55"/>
  <c r="N5" i="55"/>
  <c r="N6" i="55"/>
  <c r="N7" i="55"/>
  <c r="N8" i="55"/>
  <c r="N9" i="55"/>
  <c r="N10" i="55"/>
  <c r="N11" i="55"/>
  <c r="N12" i="55"/>
  <c r="N13" i="55"/>
  <c r="N14" i="55"/>
  <c r="N15" i="55"/>
  <c r="N16" i="55"/>
  <c r="N17" i="55"/>
  <c r="N18" i="55"/>
  <c r="N19" i="55"/>
  <c r="N20" i="55"/>
  <c r="N21" i="55"/>
  <c r="N22" i="55"/>
  <c r="N23" i="55"/>
  <c r="N24" i="55"/>
  <c r="N25" i="55"/>
  <c r="N26" i="55"/>
  <c r="N27" i="55"/>
  <c r="N28" i="55"/>
  <c r="N29" i="55"/>
  <c r="N30" i="55"/>
  <c r="N31" i="55"/>
  <c r="N32" i="55"/>
  <c r="N33" i="55"/>
  <c r="N34" i="55"/>
  <c r="N35" i="55"/>
  <c r="N36" i="55"/>
  <c r="N37" i="55"/>
  <c r="N38" i="55"/>
  <c r="N39" i="55"/>
  <c r="N40" i="55"/>
  <c r="N41" i="55"/>
  <c r="N42" i="55"/>
  <c r="N43" i="55"/>
  <c r="N44" i="55"/>
  <c r="N45" i="55"/>
  <c r="N46" i="55"/>
  <c r="N47" i="55"/>
  <c r="N48" i="55"/>
  <c r="N49" i="55"/>
  <c r="N50" i="55"/>
  <c r="N51" i="55"/>
  <c r="N52" i="55"/>
  <c r="N53" i="55"/>
  <c r="N54" i="55"/>
  <c r="N62" i="55"/>
  <c r="N61" i="55"/>
  <c r="N60" i="55"/>
  <c r="N56" i="55"/>
  <c r="H62" i="55"/>
  <c r="H61" i="55"/>
  <c r="H60" i="55"/>
  <c r="V4" i="38"/>
  <c r="V5" i="38"/>
  <c r="V6" i="38"/>
  <c r="V7" i="38"/>
  <c r="V8" i="38"/>
  <c r="V9" i="38"/>
  <c r="V10" i="38"/>
  <c r="V11" i="38"/>
  <c r="V12" i="38"/>
  <c r="V13" i="38"/>
  <c r="V14" i="38"/>
  <c r="V15" i="38"/>
  <c r="V16" i="38"/>
  <c r="V17" i="38"/>
  <c r="V18" i="38"/>
  <c r="V19" i="38"/>
  <c r="V20" i="38"/>
  <c r="V21" i="38"/>
  <c r="V22" i="38"/>
  <c r="V23" i="38"/>
  <c r="V24" i="38"/>
  <c r="V25" i="38"/>
  <c r="V26" i="38"/>
  <c r="V27" i="38"/>
  <c r="V28" i="38"/>
  <c r="V29" i="38"/>
  <c r="V30" i="38"/>
  <c r="V31" i="38"/>
  <c r="V32" i="38"/>
  <c r="V33" i="38"/>
  <c r="V34" i="38"/>
  <c r="V35" i="38"/>
  <c r="V36" i="38"/>
  <c r="V37" i="38"/>
  <c r="V38" i="38"/>
  <c r="V39" i="38"/>
  <c r="V40" i="38"/>
  <c r="V41" i="38"/>
  <c r="V42" i="38"/>
  <c r="V43" i="38"/>
  <c r="V44" i="38"/>
  <c r="V45" i="38"/>
  <c r="V46" i="38"/>
  <c r="V47" i="38"/>
  <c r="V48" i="38"/>
  <c r="V49" i="38"/>
  <c r="V50" i="38"/>
  <c r="V51" i="38"/>
  <c r="V52" i="38"/>
  <c r="V53" i="38"/>
  <c r="V75" i="38"/>
  <c r="V74" i="38"/>
  <c r="V73" i="38"/>
  <c r="O4" i="38"/>
  <c r="O5" i="38"/>
  <c r="O6" i="38"/>
  <c r="O7" i="38"/>
  <c r="O8" i="38"/>
  <c r="O9" i="38"/>
  <c r="O10" i="38"/>
  <c r="O11" i="38"/>
  <c r="O12" i="38"/>
  <c r="O13" i="38"/>
  <c r="O14" i="38"/>
  <c r="O15" i="38"/>
  <c r="O16" i="38"/>
  <c r="O17" i="38"/>
  <c r="O18" i="38"/>
  <c r="O19" i="38"/>
  <c r="O20" i="38"/>
  <c r="O21" i="38"/>
  <c r="O22" i="38"/>
  <c r="O23" i="38"/>
  <c r="O24" i="38"/>
  <c r="O25" i="38"/>
  <c r="O26" i="38"/>
  <c r="O27" i="38"/>
  <c r="O28" i="38"/>
  <c r="O29" i="38"/>
  <c r="O30" i="38"/>
  <c r="O31" i="38"/>
  <c r="O32" i="38"/>
  <c r="O33" i="38"/>
  <c r="O34" i="38"/>
  <c r="O35" i="38"/>
  <c r="O36" i="38"/>
  <c r="O37" i="38"/>
  <c r="O38" i="38"/>
  <c r="O39" i="38"/>
  <c r="O40" i="38"/>
  <c r="O41" i="38"/>
  <c r="O42" i="38"/>
  <c r="O43" i="38"/>
  <c r="O44" i="38"/>
  <c r="O45" i="38"/>
  <c r="O46" i="38"/>
  <c r="O47" i="38"/>
  <c r="O48" i="38"/>
  <c r="O49" i="38"/>
  <c r="O50" i="38"/>
  <c r="O51" i="38"/>
  <c r="O52" i="38"/>
  <c r="O53" i="38"/>
  <c r="O54" i="38"/>
  <c r="O62" i="38"/>
  <c r="O61" i="38"/>
  <c r="O60" i="38"/>
  <c r="K4" i="38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H62" i="38"/>
  <c r="H61" i="38"/>
  <c r="H60" i="38"/>
  <c r="I56" i="54"/>
  <c r="I57" i="54"/>
  <c r="I58" i="54"/>
  <c r="G4" i="71"/>
  <c r="I4" i="71"/>
  <c r="N4" i="71"/>
  <c r="K4" i="71"/>
  <c r="L4" i="71"/>
  <c r="P4" i="71"/>
  <c r="Q4" i="71"/>
  <c r="S4" i="71"/>
  <c r="G5" i="71"/>
  <c r="I5" i="71"/>
  <c r="N5" i="71"/>
  <c r="K5" i="71"/>
  <c r="L5" i="71"/>
  <c r="P5" i="71"/>
  <c r="Q5" i="71"/>
  <c r="S5" i="71"/>
  <c r="G6" i="71"/>
  <c r="I6" i="71"/>
  <c r="N6" i="71"/>
  <c r="K6" i="71"/>
  <c r="L6" i="71"/>
  <c r="P6" i="71"/>
  <c r="Q6" i="71"/>
  <c r="S6" i="71"/>
  <c r="G7" i="71"/>
  <c r="I7" i="71"/>
  <c r="N7" i="71"/>
  <c r="K7" i="71"/>
  <c r="L7" i="71"/>
  <c r="P7" i="71"/>
  <c r="Q7" i="71"/>
  <c r="S7" i="71"/>
  <c r="G8" i="71"/>
  <c r="I8" i="71"/>
  <c r="N8" i="71"/>
  <c r="K8" i="71"/>
  <c r="L8" i="71"/>
  <c r="P8" i="71"/>
  <c r="Q8" i="71"/>
  <c r="S8" i="71"/>
  <c r="G9" i="71"/>
  <c r="I9" i="71"/>
  <c r="N9" i="71"/>
  <c r="K9" i="71"/>
  <c r="L9" i="71"/>
  <c r="P9" i="71"/>
  <c r="Q9" i="71"/>
  <c r="S9" i="71"/>
  <c r="G10" i="71"/>
  <c r="I10" i="71"/>
  <c r="N10" i="71"/>
  <c r="K10" i="71"/>
  <c r="L10" i="71"/>
  <c r="P10" i="71"/>
  <c r="Q10" i="71"/>
  <c r="S10" i="71"/>
  <c r="G11" i="71"/>
  <c r="I11" i="71"/>
  <c r="N11" i="71"/>
  <c r="K11" i="71"/>
  <c r="L11" i="71"/>
  <c r="P11" i="71"/>
  <c r="Q11" i="71"/>
  <c r="S11" i="71"/>
  <c r="G12" i="71"/>
  <c r="I12" i="71"/>
  <c r="N12" i="71"/>
  <c r="K12" i="71"/>
  <c r="L12" i="71"/>
  <c r="P12" i="71"/>
  <c r="Q12" i="71"/>
  <c r="S12" i="71"/>
  <c r="G13" i="71"/>
  <c r="I13" i="71"/>
  <c r="N13" i="71"/>
  <c r="K13" i="71"/>
  <c r="L13" i="71"/>
  <c r="P13" i="71"/>
  <c r="Q13" i="71"/>
  <c r="S13" i="71"/>
  <c r="G14" i="71"/>
  <c r="I14" i="71"/>
  <c r="N14" i="71"/>
  <c r="K14" i="71"/>
  <c r="L14" i="71"/>
  <c r="P14" i="71"/>
  <c r="Q14" i="71"/>
  <c r="S14" i="71"/>
  <c r="G15" i="71"/>
  <c r="I15" i="71"/>
  <c r="N15" i="71"/>
  <c r="K15" i="71"/>
  <c r="L15" i="71"/>
  <c r="P15" i="71"/>
  <c r="Q15" i="71"/>
  <c r="S15" i="71"/>
  <c r="G16" i="71"/>
  <c r="I16" i="71"/>
  <c r="N16" i="71"/>
  <c r="K16" i="71"/>
  <c r="L16" i="71"/>
  <c r="P16" i="71"/>
  <c r="Q16" i="71"/>
  <c r="S16" i="71"/>
  <c r="G17" i="71"/>
  <c r="I17" i="71"/>
  <c r="N17" i="71"/>
  <c r="K17" i="71"/>
  <c r="L17" i="71"/>
  <c r="P17" i="71"/>
  <c r="Q17" i="71"/>
  <c r="S17" i="71"/>
  <c r="G18" i="71"/>
  <c r="I18" i="71"/>
  <c r="N18" i="71"/>
  <c r="K18" i="71"/>
  <c r="L18" i="71"/>
  <c r="P18" i="71"/>
  <c r="Q18" i="71"/>
  <c r="S18" i="71"/>
  <c r="G19" i="71"/>
  <c r="I19" i="71"/>
  <c r="N19" i="71"/>
  <c r="K19" i="71"/>
  <c r="L19" i="71"/>
  <c r="P19" i="71"/>
  <c r="Q19" i="71"/>
  <c r="S19" i="71"/>
  <c r="G20" i="71"/>
  <c r="I20" i="71"/>
  <c r="N20" i="71"/>
  <c r="K20" i="71"/>
  <c r="L20" i="71"/>
  <c r="P20" i="71"/>
  <c r="Q20" i="71"/>
  <c r="S20" i="71"/>
  <c r="G21" i="71"/>
  <c r="I21" i="71"/>
  <c r="N21" i="71"/>
  <c r="K21" i="71"/>
  <c r="L21" i="71"/>
  <c r="P21" i="71"/>
  <c r="Q21" i="71"/>
  <c r="S21" i="71"/>
  <c r="G22" i="71"/>
  <c r="I22" i="71"/>
  <c r="N22" i="71"/>
  <c r="K22" i="71"/>
  <c r="L22" i="71"/>
  <c r="P22" i="71"/>
  <c r="Q22" i="71"/>
  <c r="S22" i="71"/>
  <c r="G23" i="71"/>
  <c r="I23" i="71"/>
  <c r="N23" i="71"/>
  <c r="K23" i="71"/>
  <c r="L23" i="71"/>
  <c r="P23" i="71"/>
  <c r="Q23" i="71"/>
  <c r="S23" i="71"/>
  <c r="G24" i="71"/>
  <c r="I24" i="71"/>
  <c r="N24" i="71"/>
  <c r="K24" i="71"/>
  <c r="L24" i="71"/>
  <c r="P24" i="71"/>
  <c r="Q24" i="71"/>
  <c r="S24" i="71"/>
  <c r="G25" i="71"/>
  <c r="I25" i="71"/>
  <c r="N25" i="71"/>
  <c r="K25" i="71"/>
  <c r="L25" i="71"/>
  <c r="P25" i="71"/>
  <c r="Q25" i="71"/>
  <c r="S25" i="71"/>
  <c r="G26" i="71"/>
  <c r="I26" i="71"/>
  <c r="N26" i="71"/>
  <c r="K26" i="71"/>
  <c r="L26" i="71"/>
  <c r="P26" i="71"/>
  <c r="Q26" i="71"/>
  <c r="S26" i="71"/>
  <c r="G27" i="71"/>
  <c r="I27" i="71"/>
  <c r="N27" i="71"/>
  <c r="K27" i="71"/>
  <c r="L27" i="71"/>
  <c r="P27" i="71"/>
  <c r="Q27" i="71"/>
  <c r="S27" i="71"/>
  <c r="G28" i="71"/>
  <c r="I28" i="71"/>
  <c r="N28" i="71"/>
  <c r="K28" i="71"/>
  <c r="L28" i="71"/>
  <c r="P28" i="71"/>
  <c r="Q28" i="71"/>
  <c r="S28" i="71"/>
  <c r="G29" i="71"/>
  <c r="I29" i="71"/>
  <c r="N29" i="71"/>
  <c r="K29" i="71"/>
  <c r="L29" i="71"/>
  <c r="P29" i="71"/>
  <c r="Q29" i="71"/>
  <c r="S29" i="71"/>
  <c r="G30" i="71"/>
  <c r="I30" i="71"/>
  <c r="N30" i="71"/>
  <c r="K30" i="71"/>
  <c r="L30" i="71"/>
  <c r="P30" i="71"/>
  <c r="Q30" i="71"/>
  <c r="S30" i="71"/>
  <c r="G31" i="71"/>
  <c r="I31" i="71"/>
  <c r="N31" i="71"/>
  <c r="K31" i="71"/>
  <c r="L31" i="71"/>
  <c r="P31" i="71"/>
  <c r="Q31" i="71"/>
  <c r="S31" i="71"/>
  <c r="G32" i="71"/>
  <c r="I32" i="71"/>
  <c r="N32" i="71"/>
  <c r="K32" i="71"/>
  <c r="L32" i="71"/>
  <c r="P32" i="71"/>
  <c r="Q32" i="71"/>
  <c r="S32" i="71"/>
  <c r="G33" i="71"/>
  <c r="I33" i="71"/>
  <c r="N33" i="71"/>
  <c r="K33" i="71"/>
  <c r="L33" i="71"/>
  <c r="P33" i="71"/>
  <c r="Q33" i="71"/>
  <c r="S33" i="71"/>
  <c r="G34" i="71"/>
  <c r="I34" i="71"/>
  <c r="N34" i="71"/>
  <c r="K34" i="71"/>
  <c r="L34" i="71"/>
  <c r="P34" i="71"/>
  <c r="Q34" i="71"/>
  <c r="S34" i="71"/>
  <c r="G35" i="71"/>
  <c r="I35" i="71"/>
  <c r="N35" i="71"/>
  <c r="K35" i="71"/>
  <c r="L35" i="71"/>
  <c r="P35" i="71"/>
  <c r="Q35" i="71"/>
  <c r="S35" i="71"/>
  <c r="G36" i="71"/>
  <c r="I36" i="71"/>
  <c r="N36" i="71"/>
  <c r="K36" i="71"/>
  <c r="L36" i="71"/>
  <c r="P36" i="71"/>
  <c r="Q36" i="71"/>
  <c r="S36" i="71"/>
  <c r="G37" i="71"/>
  <c r="I37" i="71"/>
  <c r="N37" i="71"/>
  <c r="K37" i="71"/>
  <c r="L37" i="71"/>
  <c r="P37" i="71"/>
  <c r="Q37" i="71"/>
  <c r="S37" i="71"/>
  <c r="G38" i="71"/>
  <c r="I38" i="71"/>
  <c r="N38" i="71"/>
  <c r="K38" i="71"/>
  <c r="L38" i="71"/>
  <c r="P38" i="71"/>
  <c r="Q38" i="71"/>
  <c r="S38" i="71"/>
  <c r="G39" i="71"/>
  <c r="I39" i="71"/>
  <c r="N39" i="71"/>
  <c r="K39" i="71"/>
  <c r="L39" i="71"/>
  <c r="P39" i="71"/>
  <c r="Q39" i="71"/>
  <c r="S39" i="71"/>
  <c r="G40" i="71"/>
  <c r="I40" i="71"/>
  <c r="N40" i="71"/>
  <c r="K40" i="71"/>
  <c r="L40" i="71"/>
  <c r="P40" i="71"/>
  <c r="Q40" i="71"/>
  <c r="S40" i="71"/>
  <c r="G41" i="71"/>
  <c r="I41" i="71"/>
  <c r="N41" i="71"/>
  <c r="K41" i="71"/>
  <c r="L41" i="71"/>
  <c r="P41" i="71"/>
  <c r="Q41" i="71"/>
  <c r="S41" i="71"/>
  <c r="G42" i="71"/>
  <c r="I42" i="71"/>
  <c r="N42" i="71"/>
  <c r="K42" i="71"/>
  <c r="L42" i="71"/>
  <c r="P42" i="71"/>
  <c r="Q42" i="71"/>
  <c r="S42" i="71"/>
  <c r="G43" i="71"/>
  <c r="I43" i="71"/>
  <c r="N43" i="71"/>
  <c r="K43" i="71"/>
  <c r="L43" i="71"/>
  <c r="P43" i="71"/>
  <c r="Q43" i="71"/>
  <c r="S43" i="71"/>
  <c r="G44" i="71"/>
  <c r="I44" i="71"/>
  <c r="N44" i="71"/>
  <c r="K44" i="71"/>
  <c r="L44" i="71"/>
  <c r="P44" i="71"/>
  <c r="Q44" i="71"/>
  <c r="S44" i="71"/>
  <c r="G45" i="71"/>
  <c r="I45" i="71"/>
  <c r="N45" i="71"/>
  <c r="K45" i="71"/>
  <c r="L45" i="71"/>
  <c r="P45" i="71"/>
  <c r="Q45" i="71"/>
  <c r="S45" i="71"/>
  <c r="G46" i="71"/>
  <c r="I46" i="71"/>
  <c r="N46" i="71"/>
  <c r="K46" i="71"/>
  <c r="L46" i="71"/>
  <c r="P46" i="71"/>
  <c r="Q46" i="71"/>
  <c r="S46" i="71"/>
  <c r="G47" i="71"/>
  <c r="I47" i="71"/>
  <c r="N47" i="71"/>
  <c r="K47" i="71"/>
  <c r="L47" i="71"/>
  <c r="P47" i="71"/>
  <c r="Q47" i="71"/>
  <c r="S47" i="71"/>
  <c r="G48" i="71"/>
  <c r="I48" i="71"/>
  <c r="N48" i="71"/>
  <c r="K48" i="71"/>
  <c r="L48" i="71"/>
  <c r="P48" i="71"/>
  <c r="Q48" i="71"/>
  <c r="S48" i="71"/>
  <c r="G49" i="71"/>
  <c r="I49" i="71"/>
  <c r="N49" i="71"/>
  <c r="K49" i="71"/>
  <c r="L49" i="71"/>
  <c r="P49" i="71"/>
  <c r="Q49" i="71"/>
  <c r="S49" i="71"/>
  <c r="G50" i="71"/>
  <c r="I50" i="71"/>
  <c r="N50" i="71"/>
  <c r="K50" i="71"/>
  <c r="L50" i="71"/>
  <c r="P50" i="71"/>
  <c r="Q50" i="71"/>
  <c r="S50" i="71"/>
  <c r="G51" i="71"/>
  <c r="I51" i="71"/>
  <c r="N51" i="71"/>
  <c r="K51" i="71"/>
  <c r="L51" i="71"/>
  <c r="P51" i="71"/>
  <c r="Q51" i="71"/>
  <c r="S51" i="71"/>
  <c r="G52" i="71"/>
  <c r="I52" i="71"/>
  <c r="N52" i="71"/>
  <c r="K52" i="71"/>
  <c r="L52" i="71"/>
  <c r="P52" i="71"/>
  <c r="Q52" i="71"/>
  <c r="S52" i="71"/>
  <c r="G53" i="71"/>
  <c r="I53" i="71"/>
  <c r="N53" i="71"/>
  <c r="K53" i="71"/>
  <c r="L53" i="71"/>
  <c r="P53" i="71"/>
  <c r="Q53" i="71"/>
  <c r="S53" i="71"/>
  <c r="R77" i="71"/>
  <c r="R4" i="71"/>
  <c r="R5" i="71"/>
  <c r="R6" i="71"/>
  <c r="R7" i="71"/>
  <c r="R8" i="71"/>
  <c r="R9" i="71"/>
  <c r="R10" i="71"/>
  <c r="R11" i="71"/>
  <c r="R12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7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G54" i="71"/>
  <c r="I54" i="71"/>
  <c r="N54" i="71"/>
  <c r="K54" i="71"/>
  <c r="L54" i="71"/>
  <c r="P54" i="71"/>
  <c r="Q54" i="71"/>
  <c r="R54" i="71"/>
  <c r="R76" i="71"/>
  <c r="N56" i="71"/>
  <c r="G56" i="71"/>
  <c r="Q65" i="71"/>
  <c r="O4" i="71"/>
  <c r="O5" i="71"/>
  <c r="O6" i="71"/>
  <c r="O7" i="71"/>
  <c r="O8" i="71"/>
  <c r="O9" i="71"/>
  <c r="O10" i="71"/>
  <c r="O11" i="71"/>
  <c r="O12" i="71"/>
  <c r="O13" i="71"/>
  <c r="O14" i="71"/>
  <c r="O15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2" i="71"/>
  <c r="O53" i="71"/>
  <c r="O54" i="71"/>
  <c r="O56" i="71"/>
  <c r="Q64" i="71"/>
  <c r="P60" i="71"/>
  <c r="P56" i="71"/>
  <c r="P61" i="71"/>
  <c r="P62" i="71"/>
  <c r="Q62" i="71"/>
  <c r="G62" i="71"/>
  <c r="Q61" i="71"/>
  <c r="J4" i="71"/>
  <c r="J5" i="71"/>
  <c r="J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G61" i="71"/>
  <c r="Q60" i="71"/>
  <c r="G60" i="71"/>
  <c r="G57" i="71"/>
  <c r="G58" i="71"/>
  <c r="R55" i="71"/>
  <c r="R56" i="71"/>
  <c r="Q56" i="71"/>
  <c r="F56" i="71"/>
  <c r="M54" i="71"/>
  <c r="A5" i="71"/>
  <c r="A6" i="71"/>
  <c r="A7" i="71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M53" i="71"/>
  <c r="M52" i="71"/>
  <c r="M51" i="71"/>
  <c r="M50" i="71"/>
  <c r="M49" i="71"/>
  <c r="M48" i="71"/>
  <c r="M47" i="71"/>
  <c r="M46" i="71"/>
  <c r="M45" i="71"/>
  <c r="M44" i="71"/>
  <c r="M43" i="71"/>
  <c r="M42" i="71"/>
  <c r="M41" i="71"/>
  <c r="M40" i="71"/>
  <c r="M39" i="71"/>
  <c r="M38" i="71"/>
  <c r="M37" i="71"/>
  <c r="M36" i="71"/>
  <c r="M35" i="71"/>
  <c r="M34" i="71"/>
  <c r="M33" i="71"/>
  <c r="M32" i="71"/>
  <c r="M31" i="71"/>
  <c r="M30" i="71"/>
  <c r="M29" i="71"/>
  <c r="M28" i="71"/>
  <c r="M27" i="71"/>
  <c r="M26" i="71"/>
  <c r="M25" i="71"/>
  <c r="M24" i="71"/>
  <c r="M23" i="71"/>
  <c r="M22" i="71"/>
  <c r="M21" i="71"/>
  <c r="M20" i="71"/>
  <c r="M19" i="71"/>
  <c r="M18" i="71"/>
  <c r="M17" i="71"/>
  <c r="M16" i="71"/>
  <c r="M15" i="71"/>
  <c r="M14" i="71"/>
  <c r="M13" i="71"/>
  <c r="M12" i="71"/>
  <c r="M11" i="71"/>
  <c r="M10" i="71"/>
  <c r="M9" i="71"/>
  <c r="M8" i="71"/>
  <c r="M7" i="71"/>
  <c r="M6" i="71"/>
  <c r="M5" i="71"/>
  <c r="M4" i="71"/>
  <c r="C57" i="54"/>
  <c r="C56" i="54"/>
  <c r="C58" i="54"/>
  <c r="D4" i="22"/>
  <c r="E4" i="22"/>
  <c r="F4" i="22"/>
  <c r="G4" i="22"/>
  <c r="H4" i="22"/>
  <c r="I4" i="22"/>
  <c r="E4" i="54"/>
  <c r="O4" i="54"/>
  <c r="L4" i="54"/>
  <c r="G4" i="54"/>
  <c r="E5" i="54"/>
  <c r="O5" i="54"/>
  <c r="L5" i="54"/>
  <c r="G5" i="54"/>
  <c r="E6" i="54"/>
  <c r="O6" i="54"/>
  <c r="L6" i="54"/>
  <c r="G6" i="54"/>
  <c r="E7" i="54"/>
  <c r="O7" i="54"/>
  <c r="L7" i="54"/>
  <c r="G7" i="54"/>
  <c r="E8" i="54"/>
  <c r="O8" i="54"/>
  <c r="L8" i="54"/>
  <c r="G8" i="54"/>
  <c r="E9" i="54"/>
  <c r="O9" i="54"/>
  <c r="L9" i="54"/>
  <c r="G9" i="54"/>
  <c r="E13" i="54"/>
  <c r="O13" i="54"/>
  <c r="L13" i="54"/>
  <c r="G13" i="54"/>
  <c r="E18" i="54"/>
  <c r="O18" i="54"/>
  <c r="L18" i="54"/>
  <c r="G18" i="54"/>
  <c r="E20" i="54"/>
  <c r="O20" i="54"/>
  <c r="L20" i="54"/>
  <c r="G20" i="54"/>
  <c r="E21" i="54"/>
  <c r="O21" i="54"/>
  <c r="L21" i="54"/>
  <c r="G21" i="54"/>
  <c r="E22" i="54"/>
  <c r="O22" i="54"/>
  <c r="L22" i="54"/>
  <c r="G22" i="54"/>
  <c r="E26" i="54"/>
  <c r="O26" i="54"/>
  <c r="L26" i="54"/>
  <c r="G26" i="54"/>
  <c r="E28" i="54"/>
  <c r="O28" i="54"/>
  <c r="L28" i="54"/>
  <c r="G28" i="54"/>
  <c r="E29" i="54"/>
  <c r="O29" i="54"/>
  <c r="L29" i="54"/>
  <c r="G29" i="54"/>
  <c r="E30" i="54"/>
  <c r="O30" i="54"/>
  <c r="L30" i="54"/>
  <c r="G30" i="54"/>
  <c r="E31" i="54"/>
  <c r="O31" i="54"/>
  <c r="L31" i="54"/>
  <c r="G31" i="54"/>
  <c r="E32" i="54"/>
  <c r="O32" i="54"/>
  <c r="L32" i="54"/>
  <c r="G32" i="54"/>
  <c r="E35" i="54"/>
  <c r="O35" i="54"/>
  <c r="L35" i="54"/>
  <c r="G35" i="54"/>
  <c r="E38" i="54"/>
  <c r="O38" i="54"/>
  <c r="L38" i="54"/>
  <c r="G38" i="54"/>
  <c r="E39" i="54"/>
  <c r="O39" i="54"/>
  <c r="L39" i="54"/>
  <c r="G39" i="54"/>
  <c r="E40" i="54"/>
  <c r="O40" i="54"/>
  <c r="L40" i="54"/>
  <c r="G40" i="54"/>
  <c r="E41" i="54"/>
  <c r="O41" i="54"/>
  <c r="L41" i="54"/>
  <c r="G41" i="54"/>
  <c r="E45" i="54"/>
  <c r="O45" i="54"/>
  <c r="L45" i="54"/>
  <c r="G45" i="54"/>
  <c r="E46" i="54"/>
  <c r="O46" i="54"/>
  <c r="L46" i="54"/>
  <c r="G46" i="54"/>
  <c r="E47" i="54"/>
  <c r="O47" i="54"/>
  <c r="L47" i="54"/>
  <c r="G47" i="54"/>
  <c r="E48" i="54"/>
  <c r="O48" i="54"/>
  <c r="L48" i="54"/>
  <c r="G48" i="54"/>
  <c r="E50" i="54"/>
  <c r="O50" i="54"/>
  <c r="L50" i="54"/>
  <c r="G50" i="54"/>
  <c r="E52" i="54"/>
  <c r="O52" i="54"/>
  <c r="L52" i="54"/>
  <c r="G52" i="54"/>
  <c r="E54" i="54"/>
  <c r="O54" i="54"/>
  <c r="L54" i="54"/>
  <c r="G54" i="54"/>
  <c r="G56" i="54"/>
  <c r="W4" i="22"/>
  <c r="V4" i="22"/>
  <c r="P4" i="22"/>
  <c r="L71" i="22"/>
  <c r="L72" i="22"/>
  <c r="L73" i="22"/>
  <c r="L74" i="22"/>
  <c r="L82" i="22"/>
  <c r="L77" i="22"/>
  <c r="L78" i="22"/>
  <c r="L79" i="22"/>
  <c r="L80" i="22"/>
  <c r="L83" i="22"/>
  <c r="L84" i="22"/>
  <c r="L85" i="22"/>
  <c r="N4" i="22"/>
  <c r="AC4" i="22"/>
  <c r="Y4" i="22"/>
  <c r="W10" i="57"/>
  <c r="W8" i="57"/>
  <c r="X4" i="22"/>
  <c r="G4" i="50"/>
  <c r="I4" i="50"/>
  <c r="N4" i="50"/>
  <c r="K4" i="50"/>
  <c r="E4" i="50"/>
  <c r="L4" i="50"/>
  <c r="P4" i="50"/>
  <c r="Q4" i="50"/>
  <c r="G5" i="50"/>
  <c r="I5" i="50"/>
  <c r="N5" i="50"/>
  <c r="K5" i="50"/>
  <c r="L5" i="50"/>
  <c r="P5" i="50"/>
  <c r="Q5" i="50"/>
  <c r="G6" i="50"/>
  <c r="I6" i="50"/>
  <c r="N6" i="50"/>
  <c r="K6" i="50"/>
  <c r="L6" i="50"/>
  <c r="P6" i="50"/>
  <c r="Q6" i="50"/>
  <c r="G7" i="50"/>
  <c r="I7" i="50"/>
  <c r="N7" i="50"/>
  <c r="E7" i="50"/>
  <c r="C7" i="50"/>
  <c r="K7" i="50"/>
  <c r="L7" i="50"/>
  <c r="P7" i="50"/>
  <c r="Q7" i="50"/>
  <c r="G8" i="50"/>
  <c r="I8" i="50"/>
  <c r="N8" i="50"/>
  <c r="D8" i="50"/>
  <c r="K8" i="50"/>
  <c r="E8" i="50"/>
  <c r="L8" i="50"/>
  <c r="P8" i="50"/>
  <c r="Q8" i="50"/>
  <c r="G9" i="50"/>
  <c r="I9" i="50"/>
  <c r="N9" i="50"/>
  <c r="E9" i="50"/>
  <c r="C9" i="50"/>
  <c r="K9" i="50"/>
  <c r="L9" i="50"/>
  <c r="P9" i="50"/>
  <c r="Q9" i="50"/>
  <c r="G10" i="50"/>
  <c r="I10" i="50"/>
  <c r="N10" i="50"/>
  <c r="E10" i="50"/>
  <c r="C10" i="50"/>
  <c r="K10" i="50"/>
  <c r="L10" i="50"/>
  <c r="P10" i="50"/>
  <c r="Q10" i="50"/>
  <c r="G11" i="50"/>
  <c r="I11" i="50"/>
  <c r="N11" i="50"/>
  <c r="E11" i="50"/>
  <c r="C11" i="50"/>
  <c r="K11" i="50"/>
  <c r="L11" i="50"/>
  <c r="P11" i="50"/>
  <c r="Q11" i="50"/>
  <c r="G12" i="50"/>
  <c r="I12" i="50"/>
  <c r="N12" i="50"/>
  <c r="E12" i="50"/>
  <c r="C12" i="50"/>
  <c r="K12" i="50"/>
  <c r="L12" i="50"/>
  <c r="P12" i="50"/>
  <c r="Q12" i="50"/>
  <c r="G13" i="50"/>
  <c r="I13" i="50"/>
  <c r="N13" i="50"/>
  <c r="K13" i="50"/>
  <c r="E13" i="50"/>
  <c r="L13" i="50"/>
  <c r="P13" i="50"/>
  <c r="Q13" i="50"/>
  <c r="G14" i="50"/>
  <c r="I14" i="50"/>
  <c r="N14" i="50"/>
  <c r="E14" i="50"/>
  <c r="C14" i="50"/>
  <c r="K14" i="50"/>
  <c r="L14" i="50"/>
  <c r="P14" i="50"/>
  <c r="Q14" i="50"/>
  <c r="G15" i="50"/>
  <c r="I15" i="50"/>
  <c r="N15" i="50"/>
  <c r="K15" i="50"/>
  <c r="E15" i="50"/>
  <c r="L15" i="50"/>
  <c r="P15" i="50"/>
  <c r="Q15" i="50"/>
  <c r="G16" i="50"/>
  <c r="I16" i="50"/>
  <c r="N16" i="50"/>
  <c r="K16" i="50"/>
  <c r="E16" i="50"/>
  <c r="L16" i="50"/>
  <c r="P16" i="50"/>
  <c r="Q16" i="50"/>
  <c r="G17" i="50"/>
  <c r="I17" i="50"/>
  <c r="N17" i="50"/>
  <c r="C17" i="50"/>
  <c r="K17" i="50"/>
  <c r="E17" i="50"/>
  <c r="L17" i="50"/>
  <c r="P17" i="50"/>
  <c r="Q17" i="50"/>
  <c r="G18" i="50"/>
  <c r="I18" i="50"/>
  <c r="N18" i="50"/>
  <c r="C18" i="50"/>
  <c r="K18" i="50"/>
  <c r="E18" i="50"/>
  <c r="L18" i="50"/>
  <c r="P18" i="50"/>
  <c r="Q18" i="50"/>
  <c r="G19" i="50"/>
  <c r="I19" i="50"/>
  <c r="N19" i="50"/>
  <c r="E19" i="50"/>
  <c r="C19" i="50"/>
  <c r="K19" i="50"/>
  <c r="L19" i="50"/>
  <c r="P19" i="50"/>
  <c r="Q19" i="50"/>
  <c r="G20" i="50"/>
  <c r="I20" i="50"/>
  <c r="N20" i="50"/>
  <c r="K20" i="50"/>
  <c r="E20" i="50"/>
  <c r="L20" i="50"/>
  <c r="P20" i="50"/>
  <c r="Q20" i="50"/>
  <c r="G21" i="50"/>
  <c r="I21" i="50"/>
  <c r="N21" i="50"/>
  <c r="E21" i="50"/>
  <c r="C21" i="50"/>
  <c r="K21" i="50"/>
  <c r="L21" i="50"/>
  <c r="P21" i="50"/>
  <c r="Q21" i="50"/>
  <c r="G22" i="50"/>
  <c r="I22" i="50"/>
  <c r="N22" i="50"/>
  <c r="E22" i="50"/>
  <c r="C22" i="50"/>
  <c r="K22" i="50"/>
  <c r="L22" i="50"/>
  <c r="P22" i="50"/>
  <c r="Q22" i="50"/>
  <c r="G23" i="50"/>
  <c r="I23" i="50"/>
  <c r="N23" i="50"/>
  <c r="E23" i="50"/>
  <c r="C23" i="50"/>
  <c r="K23" i="50"/>
  <c r="L23" i="50"/>
  <c r="P23" i="50"/>
  <c r="Q23" i="50"/>
  <c r="G24" i="50"/>
  <c r="I24" i="50"/>
  <c r="N24" i="50"/>
  <c r="E24" i="50"/>
  <c r="C24" i="50"/>
  <c r="D24" i="50"/>
  <c r="K24" i="50"/>
  <c r="L24" i="50"/>
  <c r="P24" i="50"/>
  <c r="Q24" i="50"/>
  <c r="G25" i="50"/>
  <c r="I25" i="50"/>
  <c r="N25" i="50"/>
  <c r="E25" i="50"/>
  <c r="C25" i="50"/>
  <c r="K25" i="50"/>
  <c r="L25" i="50"/>
  <c r="P25" i="50"/>
  <c r="Q25" i="50"/>
  <c r="G26" i="50"/>
  <c r="I26" i="50"/>
  <c r="N26" i="50"/>
  <c r="E26" i="50"/>
  <c r="C26" i="50"/>
  <c r="K26" i="50"/>
  <c r="L26" i="50"/>
  <c r="P26" i="50"/>
  <c r="Q26" i="50"/>
  <c r="G27" i="50"/>
  <c r="I27" i="50"/>
  <c r="N27" i="50"/>
  <c r="E27" i="50"/>
  <c r="C27" i="50"/>
  <c r="K27" i="50"/>
  <c r="L27" i="50"/>
  <c r="P27" i="50"/>
  <c r="Q27" i="50"/>
  <c r="G28" i="50"/>
  <c r="I28" i="50"/>
  <c r="N28" i="50"/>
  <c r="E28" i="50"/>
  <c r="C28" i="50"/>
  <c r="K28" i="50"/>
  <c r="L28" i="50"/>
  <c r="P28" i="50"/>
  <c r="Q28" i="50"/>
  <c r="G29" i="50"/>
  <c r="I29" i="50"/>
  <c r="N29" i="50"/>
  <c r="E29" i="50"/>
  <c r="C29" i="50"/>
  <c r="K29" i="50"/>
  <c r="L29" i="50"/>
  <c r="P29" i="50"/>
  <c r="Q29" i="50"/>
  <c r="G30" i="50"/>
  <c r="I30" i="50"/>
  <c r="N30" i="50"/>
  <c r="K30" i="50"/>
  <c r="E30" i="50"/>
  <c r="L30" i="50"/>
  <c r="P30" i="50"/>
  <c r="Q30" i="50"/>
  <c r="G31" i="50"/>
  <c r="I31" i="50"/>
  <c r="N31" i="50"/>
  <c r="E31" i="50"/>
  <c r="C31" i="50"/>
  <c r="K31" i="50"/>
  <c r="L31" i="50"/>
  <c r="P31" i="50"/>
  <c r="Q31" i="50"/>
  <c r="G32" i="50"/>
  <c r="I32" i="50"/>
  <c r="N32" i="50"/>
  <c r="K32" i="50"/>
  <c r="E32" i="50"/>
  <c r="L32" i="50"/>
  <c r="P32" i="50"/>
  <c r="Q32" i="50"/>
  <c r="G33" i="50"/>
  <c r="I33" i="50"/>
  <c r="N33" i="50"/>
  <c r="K33" i="50"/>
  <c r="E33" i="50"/>
  <c r="L33" i="50"/>
  <c r="P33" i="50"/>
  <c r="Q33" i="50"/>
  <c r="G34" i="50"/>
  <c r="I34" i="50"/>
  <c r="N34" i="50"/>
  <c r="E34" i="50"/>
  <c r="C34" i="50"/>
  <c r="K34" i="50"/>
  <c r="L34" i="50"/>
  <c r="P34" i="50"/>
  <c r="Q34" i="50"/>
  <c r="G35" i="50"/>
  <c r="I35" i="50"/>
  <c r="N35" i="50"/>
  <c r="C35" i="50"/>
  <c r="K35" i="50"/>
  <c r="E35" i="50"/>
  <c r="L35" i="50"/>
  <c r="P35" i="50"/>
  <c r="Q35" i="50"/>
  <c r="G36" i="50"/>
  <c r="I36" i="50"/>
  <c r="N36" i="50"/>
  <c r="C36" i="50"/>
  <c r="K36" i="50"/>
  <c r="E36" i="50"/>
  <c r="L36" i="50"/>
  <c r="P36" i="50"/>
  <c r="Q36" i="50"/>
  <c r="G37" i="50"/>
  <c r="I37" i="50"/>
  <c r="N37" i="50"/>
  <c r="E37" i="50"/>
  <c r="C37" i="50"/>
  <c r="K37" i="50"/>
  <c r="L37" i="50"/>
  <c r="P37" i="50"/>
  <c r="Q37" i="50"/>
  <c r="G38" i="50"/>
  <c r="I38" i="50"/>
  <c r="N38" i="50"/>
  <c r="E38" i="50"/>
  <c r="C38" i="50"/>
  <c r="K38" i="50"/>
  <c r="L38" i="50"/>
  <c r="P38" i="50"/>
  <c r="Q38" i="50"/>
  <c r="G39" i="50"/>
  <c r="I39" i="50"/>
  <c r="N39" i="50"/>
  <c r="K39" i="50"/>
  <c r="E39" i="50"/>
  <c r="L39" i="50"/>
  <c r="P39" i="50"/>
  <c r="Q39" i="50"/>
  <c r="G40" i="50"/>
  <c r="I40" i="50"/>
  <c r="N40" i="50"/>
  <c r="E40" i="50"/>
  <c r="C40" i="50"/>
  <c r="K40" i="50"/>
  <c r="L40" i="50"/>
  <c r="P40" i="50"/>
  <c r="Q40" i="50"/>
  <c r="G41" i="50"/>
  <c r="I41" i="50"/>
  <c r="N41" i="50"/>
  <c r="K41" i="50"/>
  <c r="E41" i="50"/>
  <c r="L41" i="50"/>
  <c r="P41" i="50"/>
  <c r="Q41" i="50"/>
  <c r="G42" i="50"/>
  <c r="I42" i="50"/>
  <c r="N42" i="50"/>
  <c r="E42" i="50"/>
  <c r="C42" i="50"/>
  <c r="K42" i="50"/>
  <c r="L42" i="50"/>
  <c r="P42" i="50"/>
  <c r="Q42" i="50"/>
  <c r="G43" i="50"/>
  <c r="I43" i="50"/>
  <c r="N43" i="50"/>
  <c r="K43" i="50"/>
  <c r="E43" i="50"/>
  <c r="L43" i="50"/>
  <c r="P43" i="50"/>
  <c r="Q43" i="50"/>
  <c r="G44" i="50"/>
  <c r="I44" i="50"/>
  <c r="N44" i="50"/>
  <c r="E44" i="50"/>
  <c r="C44" i="50"/>
  <c r="K44" i="50"/>
  <c r="L44" i="50"/>
  <c r="P44" i="50"/>
  <c r="Q44" i="50"/>
  <c r="G45" i="50"/>
  <c r="I45" i="50"/>
  <c r="N45" i="50"/>
  <c r="E45" i="50"/>
  <c r="C45" i="50"/>
  <c r="K45" i="50"/>
  <c r="L45" i="50"/>
  <c r="P45" i="50"/>
  <c r="Q45" i="50"/>
  <c r="G46" i="50"/>
  <c r="I46" i="50"/>
  <c r="N46" i="50"/>
  <c r="E46" i="50"/>
  <c r="C46" i="50"/>
  <c r="K46" i="50"/>
  <c r="L46" i="50"/>
  <c r="P46" i="50"/>
  <c r="Q46" i="50"/>
  <c r="G47" i="50"/>
  <c r="I47" i="50"/>
  <c r="N47" i="50"/>
  <c r="E47" i="50"/>
  <c r="C47" i="50"/>
  <c r="K47" i="50"/>
  <c r="L47" i="50"/>
  <c r="P47" i="50"/>
  <c r="Q47" i="50"/>
  <c r="G48" i="50"/>
  <c r="I48" i="50"/>
  <c r="N48" i="50"/>
  <c r="C48" i="50"/>
  <c r="K48" i="50"/>
  <c r="E48" i="50"/>
  <c r="L48" i="50"/>
  <c r="P48" i="50"/>
  <c r="Q48" i="50"/>
  <c r="G49" i="50"/>
  <c r="I49" i="50"/>
  <c r="N49" i="50"/>
  <c r="E49" i="50"/>
  <c r="C49" i="50"/>
  <c r="K49" i="50"/>
  <c r="L49" i="50"/>
  <c r="P49" i="50"/>
  <c r="Q49" i="50"/>
  <c r="G50" i="50"/>
  <c r="I50" i="50"/>
  <c r="N50" i="50"/>
  <c r="E50" i="50"/>
  <c r="C50" i="50"/>
  <c r="K50" i="50"/>
  <c r="L50" i="50"/>
  <c r="P50" i="50"/>
  <c r="Q50" i="50"/>
  <c r="G51" i="50"/>
  <c r="I51" i="50"/>
  <c r="N51" i="50"/>
  <c r="E51" i="50"/>
  <c r="C51" i="50"/>
  <c r="K51" i="50"/>
  <c r="L51" i="50"/>
  <c r="P51" i="50"/>
  <c r="Q51" i="50"/>
  <c r="G52" i="50"/>
  <c r="I52" i="50"/>
  <c r="N52" i="50"/>
  <c r="E52" i="50"/>
  <c r="C52" i="50"/>
  <c r="K52" i="50"/>
  <c r="L52" i="50"/>
  <c r="P52" i="50"/>
  <c r="Q52" i="50"/>
  <c r="G53" i="50"/>
  <c r="I53" i="50"/>
  <c r="N53" i="50"/>
  <c r="E53" i="50"/>
  <c r="C53" i="50"/>
  <c r="K53" i="50"/>
  <c r="L53" i="50"/>
  <c r="P53" i="50"/>
  <c r="Q53" i="50"/>
  <c r="G54" i="50"/>
  <c r="I54" i="50"/>
  <c r="N54" i="50"/>
  <c r="E54" i="50"/>
  <c r="C54" i="50"/>
  <c r="K54" i="50"/>
  <c r="L54" i="50"/>
  <c r="P54" i="50"/>
  <c r="Q54" i="50"/>
  <c r="Q73" i="50"/>
  <c r="Q72" i="50"/>
  <c r="Q71" i="50"/>
  <c r="Q69" i="50"/>
  <c r="Q68" i="50"/>
  <c r="Q67" i="50"/>
  <c r="J4" i="50"/>
  <c r="J5" i="50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62" i="50"/>
  <c r="J61" i="50"/>
  <c r="J60" i="50"/>
  <c r="G62" i="50"/>
  <c r="G61" i="50"/>
  <c r="G60" i="50"/>
  <c r="H4" i="49"/>
  <c r="J4" i="49"/>
  <c r="O4" i="49"/>
  <c r="L4" i="49"/>
  <c r="F4" i="49"/>
  <c r="M4" i="49"/>
  <c r="Q4" i="49"/>
  <c r="R4" i="49"/>
  <c r="H5" i="49"/>
  <c r="J5" i="49"/>
  <c r="O5" i="49"/>
  <c r="L5" i="49"/>
  <c r="M5" i="49"/>
  <c r="Q5" i="49"/>
  <c r="R5" i="49"/>
  <c r="H6" i="49"/>
  <c r="J6" i="49"/>
  <c r="O6" i="49"/>
  <c r="L6" i="49"/>
  <c r="M6" i="49"/>
  <c r="Q6" i="49"/>
  <c r="R6" i="49"/>
  <c r="H7" i="49"/>
  <c r="J7" i="49"/>
  <c r="O7" i="49"/>
  <c r="F7" i="49"/>
  <c r="L7" i="49"/>
  <c r="M7" i="49"/>
  <c r="Q7" i="49"/>
  <c r="R7" i="49"/>
  <c r="H8" i="49"/>
  <c r="J8" i="49"/>
  <c r="O8" i="49"/>
  <c r="E8" i="49"/>
  <c r="L8" i="49"/>
  <c r="F8" i="49"/>
  <c r="M8" i="49"/>
  <c r="Q8" i="49"/>
  <c r="R8" i="49"/>
  <c r="H9" i="49"/>
  <c r="J9" i="49"/>
  <c r="O9" i="49"/>
  <c r="F9" i="49"/>
  <c r="D9" i="49"/>
  <c r="L9" i="49"/>
  <c r="M9" i="49"/>
  <c r="Q9" i="49"/>
  <c r="R9" i="49"/>
  <c r="H10" i="49"/>
  <c r="J10" i="49"/>
  <c r="O10" i="49"/>
  <c r="L10" i="49"/>
  <c r="F10" i="49"/>
  <c r="M10" i="49"/>
  <c r="Q10" i="49"/>
  <c r="R10" i="49"/>
  <c r="H11" i="49"/>
  <c r="J11" i="49"/>
  <c r="O11" i="49"/>
  <c r="L11" i="49"/>
  <c r="F11" i="49"/>
  <c r="M11" i="49"/>
  <c r="Q11" i="49"/>
  <c r="R11" i="49"/>
  <c r="H12" i="49"/>
  <c r="J12" i="49"/>
  <c r="O12" i="49"/>
  <c r="L12" i="49"/>
  <c r="F12" i="49"/>
  <c r="M12" i="49"/>
  <c r="Q12" i="49"/>
  <c r="R12" i="49"/>
  <c r="H13" i="49"/>
  <c r="J13" i="49"/>
  <c r="O13" i="49"/>
  <c r="L13" i="49"/>
  <c r="F13" i="49"/>
  <c r="M13" i="49"/>
  <c r="Q13" i="49"/>
  <c r="R13" i="49"/>
  <c r="H14" i="49"/>
  <c r="J14" i="49"/>
  <c r="O14" i="49"/>
  <c r="F14" i="49"/>
  <c r="D14" i="49"/>
  <c r="L14" i="49"/>
  <c r="M14" i="49"/>
  <c r="Q14" i="49"/>
  <c r="R14" i="49"/>
  <c r="H15" i="49"/>
  <c r="J15" i="49"/>
  <c r="O15" i="49"/>
  <c r="L15" i="49"/>
  <c r="F15" i="49"/>
  <c r="M15" i="49"/>
  <c r="Q15" i="49"/>
  <c r="R15" i="49"/>
  <c r="H16" i="49"/>
  <c r="J16" i="49"/>
  <c r="O16" i="49"/>
  <c r="L16" i="49"/>
  <c r="F16" i="49"/>
  <c r="M16" i="49"/>
  <c r="Q16" i="49"/>
  <c r="R16" i="49"/>
  <c r="H17" i="49"/>
  <c r="J17" i="49"/>
  <c r="O17" i="49"/>
  <c r="E17" i="49"/>
  <c r="D17" i="49"/>
  <c r="L17" i="49"/>
  <c r="F17" i="49"/>
  <c r="M17" i="49"/>
  <c r="Q17" i="49"/>
  <c r="R17" i="49"/>
  <c r="H18" i="49"/>
  <c r="J18" i="49"/>
  <c r="O18" i="49"/>
  <c r="D18" i="49"/>
  <c r="L18" i="49"/>
  <c r="F18" i="49"/>
  <c r="M18" i="49"/>
  <c r="Q18" i="49"/>
  <c r="R18" i="49"/>
  <c r="H19" i="49"/>
  <c r="J19" i="49"/>
  <c r="O19" i="49"/>
  <c r="F19" i="49"/>
  <c r="D19" i="49"/>
  <c r="L19" i="49"/>
  <c r="M19" i="49"/>
  <c r="Q19" i="49"/>
  <c r="R19" i="49"/>
  <c r="H20" i="49"/>
  <c r="J20" i="49"/>
  <c r="O20" i="49"/>
  <c r="L20" i="49"/>
  <c r="F20" i="49"/>
  <c r="M20" i="49"/>
  <c r="Q20" i="49"/>
  <c r="R20" i="49"/>
  <c r="H21" i="49"/>
  <c r="J21" i="49"/>
  <c r="O21" i="49"/>
  <c r="L21" i="49"/>
  <c r="F21" i="49"/>
  <c r="M21" i="49"/>
  <c r="Q21" i="49"/>
  <c r="R21" i="49"/>
  <c r="H22" i="49"/>
  <c r="J22" i="49"/>
  <c r="O22" i="49"/>
  <c r="L22" i="49"/>
  <c r="F22" i="49"/>
  <c r="M22" i="49"/>
  <c r="Q22" i="49"/>
  <c r="R22" i="49"/>
  <c r="H23" i="49"/>
  <c r="J23" i="49"/>
  <c r="O23" i="49"/>
  <c r="F23" i="49"/>
  <c r="D23" i="49"/>
  <c r="L23" i="49"/>
  <c r="M23" i="49"/>
  <c r="Q23" i="49"/>
  <c r="R23" i="49"/>
  <c r="H24" i="49"/>
  <c r="J24" i="49"/>
  <c r="O24" i="49"/>
  <c r="F24" i="49"/>
  <c r="D24" i="49"/>
  <c r="E24" i="49"/>
  <c r="L24" i="49"/>
  <c r="M24" i="49"/>
  <c r="Q24" i="49"/>
  <c r="R24" i="49"/>
  <c r="H25" i="49"/>
  <c r="J25" i="49"/>
  <c r="O25" i="49"/>
  <c r="L25" i="49"/>
  <c r="F25" i="49"/>
  <c r="M25" i="49"/>
  <c r="Q25" i="49"/>
  <c r="R25" i="49"/>
  <c r="H26" i="49"/>
  <c r="J26" i="49"/>
  <c r="O26" i="49"/>
  <c r="L26" i="49"/>
  <c r="F26" i="49"/>
  <c r="M26" i="49"/>
  <c r="Q26" i="49"/>
  <c r="R26" i="49"/>
  <c r="H27" i="49"/>
  <c r="J27" i="49"/>
  <c r="O27" i="49"/>
  <c r="F27" i="49"/>
  <c r="D27" i="49"/>
  <c r="L27" i="49"/>
  <c r="M27" i="49"/>
  <c r="Q27" i="49"/>
  <c r="R27" i="49"/>
  <c r="H28" i="49"/>
  <c r="J28" i="49"/>
  <c r="O28" i="49"/>
  <c r="L28" i="49"/>
  <c r="F28" i="49"/>
  <c r="M28" i="49"/>
  <c r="Q28" i="49"/>
  <c r="R28" i="49"/>
  <c r="H29" i="49"/>
  <c r="J29" i="49"/>
  <c r="O29" i="49"/>
  <c r="L29" i="49"/>
  <c r="F29" i="49"/>
  <c r="M29" i="49"/>
  <c r="Q29" i="49"/>
  <c r="R29" i="49"/>
  <c r="H30" i="49"/>
  <c r="J30" i="49"/>
  <c r="O30" i="49"/>
  <c r="L30" i="49"/>
  <c r="F30" i="49"/>
  <c r="M30" i="49"/>
  <c r="Q30" i="49"/>
  <c r="R30" i="49"/>
  <c r="H31" i="49"/>
  <c r="J31" i="49"/>
  <c r="O31" i="49"/>
  <c r="F31" i="49"/>
  <c r="D31" i="49"/>
  <c r="L31" i="49"/>
  <c r="M31" i="49"/>
  <c r="Q31" i="49"/>
  <c r="R31" i="49"/>
  <c r="H32" i="49"/>
  <c r="J32" i="49"/>
  <c r="O32" i="49"/>
  <c r="L32" i="49"/>
  <c r="F32" i="49"/>
  <c r="M32" i="49"/>
  <c r="Q32" i="49"/>
  <c r="R32" i="49"/>
  <c r="H33" i="49"/>
  <c r="J33" i="49"/>
  <c r="O33" i="49"/>
  <c r="L33" i="49"/>
  <c r="F33" i="49"/>
  <c r="M33" i="49"/>
  <c r="Q33" i="49"/>
  <c r="R33" i="49"/>
  <c r="H34" i="49"/>
  <c r="J34" i="49"/>
  <c r="O34" i="49"/>
  <c r="F34" i="49"/>
  <c r="D34" i="49"/>
  <c r="L34" i="49"/>
  <c r="M34" i="49"/>
  <c r="Q34" i="49"/>
  <c r="R34" i="49"/>
  <c r="H35" i="49"/>
  <c r="J35" i="49"/>
  <c r="O35" i="49"/>
  <c r="D35" i="49"/>
  <c r="L35" i="49"/>
  <c r="F35" i="49"/>
  <c r="M35" i="49"/>
  <c r="Q35" i="49"/>
  <c r="R35" i="49"/>
  <c r="H36" i="49"/>
  <c r="J36" i="49"/>
  <c r="O36" i="49"/>
  <c r="D36" i="49"/>
  <c r="L36" i="49"/>
  <c r="F36" i="49"/>
  <c r="M36" i="49"/>
  <c r="Q36" i="49"/>
  <c r="R36" i="49"/>
  <c r="H37" i="49"/>
  <c r="J37" i="49"/>
  <c r="O37" i="49"/>
  <c r="F37" i="49"/>
  <c r="D37" i="49"/>
  <c r="L37" i="49"/>
  <c r="M37" i="49"/>
  <c r="Q37" i="49"/>
  <c r="R37" i="49"/>
  <c r="H38" i="49"/>
  <c r="J38" i="49"/>
  <c r="O38" i="49"/>
  <c r="F38" i="49"/>
  <c r="D38" i="49"/>
  <c r="L38" i="49"/>
  <c r="M38" i="49"/>
  <c r="Q38" i="49"/>
  <c r="R38" i="49"/>
  <c r="H39" i="49"/>
  <c r="J39" i="49"/>
  <c r="O39" i="49"/>
  <c r="L39" i="49"/>
  <c r="F39" i="49"/>
  <c r="M39" i="49"/>
  <c r="Q39" i="49"/>
  <c r="R39" i="49"/>
  <c r="H40" i="49"/>
  <c r="J40" i="49"/>
  <c r="O40" i="49"/>
  <c r="L40" i="49"/>
  <c r="F40" i="49"/>
  <c r="M40" i="49"/>
  <c r="Q40" i="49"/>
  <c r="R40" i="49"/>
  <c r="H41" i="49"/>
  <c r="J41" i="49"/>
  <c r="O41" i="49"/>
  <c r="L41" i="49"/>
  <c r="F41" i="49"/>
  <c r="M41" i="49"/>
  <c r="Q41" i="49"/>
  <c r="R41" i="49"/>
  <c r="H42" i="49"/>
  <c r="J42" i="49"/>
  <c r="O42" i="49"/>
  <c r="L42" i="49"/>
  <c r="F42" i="49"/>
  <c r="M42" i="49"/>
  <c r="Q42" i="49"/>
  <c r="R42" i="49"/>
  <c r="H43" i="49"/>
  <c r="J43" i="49"/>
  <c r="O43" i="49"/>
  <c r="L43" i="49"/>
  <c r="F43" i="49"/>
  <c r="M43" i="49"/>
  <c r="Q43" i="49"/>
  <c r="R43" i="49"/>
  <c r="H44" i="49"/>
  <c r="J44" i="49"/>
  <c r="O44" i="49"/>
  <c r="L44" i="49"/>
  <c r="F44" i="49"/>
  <c r="M44" i="49"/>
  <c r="Q44" i="49"/>
  <c r="R44" i="49"/>
  <c r="H45" i="49"/>
  <c r="J45" i="49"/>
  <c r="O45" i="49"/>
  <c r="F45" i="49"/>
  <c r="D45" i="49"/>
  <c r="L45" i="49"/>
  <c r="M45" i="49"/>
  <c r="Q45" i="49"/>
  <c r="R45" i="49"/>
  <c r="H46" i="49"/>
  <c r="J46" i="49"/>
  <c r="O46" i="49"/>
  <c r="L46" i="49"/>
  <c r="F46" i="49"/>
  <c r="M46" i="49"/>
  <c r="Q46" i="49"/>
  <c r="R46" i="49"/>
  <c r="H47" i="49"/>
  <c r="J47" i="49"/>
  <c r="O47" i="49"/>
  <c r="L47" i="49"/>
  <c r="F47" i="49"/>
  <c r="M47" i="49"/>
  <c r="Q47" i="49"/>
  <c r="R47" i="49"/>
  <c r="H48" i="49"/>
  <c r="J48" i="49"/>
  <c r="O48" i="49"/>
  <c r="D48" i="49"/>
  <c r="L48" i="49"/>
  <c r="F48" i="49"/>
  <c r="M48" i="49"/>
  <c r="Q48" i="49"/>
  <c r="R48" i="49"/>
  <c r="H49" i="49"/>
  <c r="J49" i="49"/>
  <c r="O49" i="49"/>
  <c r="L49" i="49"/>
  <c r="F49" i="49"/>
  <c r="M49" i="49"/>
  <c r="Q49" i="49"/>
  <c r="R49" i="49"/>
  <c r="H50" i="49"/>
  <c r="J50" i="49"/>
  <c r="O50" i="49"/>
  <c r="L50" i="49"/>
  <c r="F50" i="49"/>
  <c r="M50" i="49"/>
  <c r="Q50" i="49"/>
  <c r="R50" i="49"/>
  <c r="H51" i="49"/>
  <c r="J51" i="49"/>
  <c r="O51" i="49"/>
  <c r="L51" i="49"/>
  <c r="F51" i="49"/>
  <c r="M51" i="49"/>
  <c r="Q51" i="49"/>
  <c r="R51" i="49"/>
  <c r="H52" i="49"/>
  <c r="J52" i="49"/>
  <c r="O52" i="49"/>
  <c r="D52" i="49"/>
  <c r="L52" i="49"/>
  <c r="F52" i="49"/>
  <c r="M52" i="49"/>
  <c r="Q52" i="49"/>
  <c r="R52" i="49"/>
  <c r="H53" i="49"/>
  <c r="J53" i="49"/>
  <c r="O53" i="49"/>
  <c r="F53" i="49"/>
  <c r="D53" i="49"/>
  <c r="L53" i="49"/>
  <c r="M53" i="49"/>
  <c r="Q53" i="49"/>
  <c r="R53" i="49"/>
  <c r="H54" i="49"/>
  <c r="J54" i="49"/>
  <c r="O54" i="49"/>
  <c r="F54" i="49"/>
  <c r="D54" i="49"/>
  <c r="L54" i="49"/>
  <c r="M54" i="49"/>
  <c r="Q54" i="49"/>
  <c r="R54" i="49"/>
  <c r="R73" i="49"/>
  <c r="R72" i="49"/>
  <c r="R71" i="49"/>
  <c r="R69" i="49"/>
  <c r="R68" i="49"/>
  <c r="R67" i="49"/>
  <c r="K4" i="49"/>
  <c r="K5" i="49"/>
  <c r="K6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62" i="49"/>
  <c r="K61" i="49"/>
  <c r="K60" i="49"/>
  <c r="H62" i="49"/>
  <c r="H61" i="49"/>
  <c r="H60" i="49"/>
  <c r="C21" i="5"/>
  <c r="C26" i="5"/>
  <c r="H4" i="69"/>
  <c r="H5" i="69"/>
  <c r="H6" i="69"/>
  <c r="H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61" i="69"/>
  <c r="H60" i="69"/>
  <c r="H59" i="69"/>
  <c r="D61" i="31"/>
  <c r="D60" i="31"/>
  <c r="D59" i="31"/>
  <c r="I4" i="31"/>
  <c r="H4" i="31"/>
  <c r="J4" i="31"/>
  <c r="I5" i="31"/>
  <c r="H5" i="31"/>
  <c r="J5" i="31"/>
  <c r="I6" i="31"/>
  <c r="H6" i="31"/>
  <c r="J6" i="31"/>
  <c r="I7" i="31"/>
  <c r="H7" i="31"/>
  <c r="J7" i="31"/>
  <c r="I8" i="31"/>
  <c r="H8" i="31"/>
  <c r="J8" i="31"/>
  <c r="I9" i="31"/>
  <c r="H9" i="31"/>
  <c r="J9" i="31"/>
  <c r="I10" i="31"/>
  <c r="H10" i="31"/>
  <c r="J10" i="31"/>
  <c r="I11" i="31"/>
  <c r="H11" i="31"/>
  <c r="J11" i="31"/>
  <c r="I12" i="31"/>
  <c r="H12" i="31"/>
  <c r="J12" i="31"/>
  <c r="I13" i="31"/>
  <c r="H13" i="31"/>
  <c r="J13" i="31"/>
  <c r="I14" i="31"/>
  <c r="H14" i="31"/>
  <c r="J14" i="31"/>
  <c r="I15" i="31"/>
  <c r="H15" i="31"/>
  <c r="J15" i="31"/>
  <c r="I16" i="31"/>
  <c r="H16" i="31"/>
  <c r="J16" i="31"/>
  <c r="I17" i="31"/>
  <c r="H17" i="31"/>
  <c r="J17" i="31"/>
  <c r="I18" i="31"/>
  <c r="H18" i="31"/>
  <c r="J18" i="31"/>
  <c r="I19" i="31"/>
  <c r="H19" i="31"/>
  <c r="J19" i="31"/>
  <c r="I20" i="31"/>
  <c r="H20" i="31"/>
  <c r="J20" i="31"/>
  <c r="I21" i="31"/>
  <c r="H21" i="31"/>
  <c r="J21" i="31"/>
  <c r="I22" i="31"/>
  <c r="H22" i="31"/>
  <c r="J22" i="31"/>
  <c r="I23" i="31"/>
  <c r="H23" i="31"/>
  <c r="J23" i="31"/>
  <c r="I24" i="31"/>
  <c r="H24" i="31"/>
  <c r="J24" i="31"/>
  <c r="I25" i="31"/>
  <c r="H25" i="31"/>
  <c r="J25" i="31"/>
  <c r="I26" i="31"/>
  <c r="H26" i="31"/>
  <c r="J26" i="31"/>
  <c r="I27" i="31"/>
  <c r="H27" i="31"/>
  <c r="J27" i="31"/>
  <c r="I28" i="31"/>
  <c r="H28" i="31"/>
  <c r="J28" i="31"/>
  <c r="I29" i="31"/>
  <c r="H29" i="31"/>
  <c r="J29" i="31"/>
  <c r="I30" i="31"/>
  <c r="H30" i="31"/>
  <c r="J30" i="31"/>
  <c r="I31" i="31"/>
  <c r="H31" i="31"/>
  <c r="J31" i="31"/>
  <c r="I32" i="31"/>
  <c r="H32" i="31"/>
  <c r="J32" i="31"/>
  <c r="I33" i="31"/>
  <c r="H33" i="31"/>
  <c r="J33" i="31"/>
  <c r="I34" i="31"/>
  <c r="H34" i="31"/>
  <c r="J34" i="31"/>
  <c r="I35" i="31"/>
  <c r="H35" i="31"/>
  <c r="J35" i="31"/>
  <c r="I36" i="31"/>
  <c r="H36" i="31"/>
  <c r="J36" i="31"/>
  <c r="I37" i="31"/>
  <c r="H37" i="31"/>
  <c r="J37" i="31"/>
  <c r="I38" i="31"/>
  <c r="H38" i="31"/>
  <c r="J38" i="31"/>
  <c r="I39" i="31"/>
  <c r="H39" i="31"/>
  <c r="J39" i="31"/>
  <c r="I40" i="31"/>
  <c r="H40" i="31"/>
  <c r="J40" i="31"/>
  <c r="I41" i="31"/>
  <c r="H41" i="31"/>
  <c r="J41" i="31"/>
  <c r="I42" i="31"/>
  <c r="H42" i="31"/>
  <c r="J42" i="31"/>
  <c r="I43" i="31"/>
  <c r="H43" i="31"/>
  <c r="J43" i="31"/>
  <c r="I44" i="31"/>
  <c r="H44" i="31"/>
  <c r="J44" i="31"/>
  <c r="I45" i="31"/>
  <c r="H45" i="31"/>
  <c r="J45" i="31"/>
  <c r="I46" i="31"/>
  <c r="H46" i="31"/>
  <c r="J46" i="31"/>
  <c r="I47" i="31"/>
  <c r="H47" i="31"/>
  <c r="J47" i="31"/>
  <c r="I48" i="31"/>
  <c r="H48" i="31"/>
  <c r="J48" i="31"/>
  <c r="I49" i="31"/>
  <c r="H49" i="31"/>
  <c r="J49" i="31"/>
  <c r="I50" i="31"/>
  <c r="H50" i="31"/>
  <c r="J50" i="31"/>
  <c r="I51" i="31"/>
  <c r="H51" i="31"/>
  <c r="J51" i="31"/>
  <c r="I52" i="31"/>
  <c r="H52" i="31"/>
  <c r="J52" i="31"/>
  <c r="I53" i="31"/>
  <c r="H53" i="31"/>
  <c r="J53" i="31"/>
  <c r="I54" i="31"/>
  <c r="H54" i="31"/>
  <c r="J54" i="31"/>
  <c r="J61" i="31"/>
  <c r="J60" i="31"/>
  <c r="J59" i="31"/>
  <c r="I56" i="31"/>
  <c r="C32" i="5"/>
  <c r="I4" i="66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61" i="66"/>
  <c r="I60" i="66"/>
  <c r="I59" i="66"/>
  <c r="I4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61" i="52"/>
  <c r="I60" i="52"/>
  <c r="I59" i="52"/>
  <c r="I4" i="33"/>
  <c r="F4" i="33"/>
  <c r="J4" i="33"/>
  <c r="N4" i="33"/>
  <c r="L4" i="33"/>
  <c r="P4" i="33"/>
  <c r="Q4" i="33"/>
  <c r="I5" i="33"/>
  <c r="C5" i="33"/>
  <c r="F5" i="33"/>
  <c r="J5" i="33"/>
  <c r="N5" i="33"/>
  <c r="L5" i="33"/>
  <c r="P5" i="33"/>
  <c r="Q5" i="33"/>
  <c r="I6" i="33"/>
  <c r="C6" i="33"/>
  <c r="F6" i="33"/>
  <c r="J6" i="33"/>
  <c r="N6" i="33"/>
  <c r="L6" i="33"/>
  <c r="P6" i="33"/>
  <c r="Q6" i="33"/>
  <c r="I7" i="33"/>
  <c r="C7" i="33"/>
  <c r="F7" i="33"/>
  <c r="J7" i="33"/>
  <c r="N7" i="33"/>
  <c r="L7" i="33"/>
  <c r="P7" i="33"/>
  <c r="Q7" i="33"/>
  <c r="I8" i="33"/>
  <c r="C8" i="33"/>
  <c r="F8" i="33"/>
  <c r="J8" i="33"/>
  <c r="N8" i="33"/>
  <c r="L8" i="33"/>
  <c r="P8" i="33"/>
  <c r="Q8" i="33"/>
  <c r="I9" i="33"/>
  <c r="C9" i="33"/>
  <c r="F9" i="33"/>
  <c r="J9" i="33"/>
  <c r="N9" i="33"/>
  <c r="L9" i="33"/>
  <c r="P9" i="33"/>
  <c r="Q9" i="33"/>
  <c r="I10" i="33"/>
  <c r="C10" i="33"/>
  <c r="F10" i="33"/>
  <c r="J10" i="33"/>
  <c r="N10" i="33"/>
  <c r="L10" i="33"/>
  <c r="P10" i="33"/>
  <c r="Q10" i="33"/>
  <c r="I11" i="33"/>
  <c r="C11" i="33"/>
  <c r="F11" i="33"/>
  <c r="J11" i="33"/>
  <c r="N11" i="33"/>
  <c r="L11" i="33"/>
  <c r="P11" i="33"/>
  <c r="Q11" i="33"/>
  <c r="I12" i="33"/>
  <c r="C12" i="33"/>
  <c r="F12" i="33"/>
  <c r="J12" i="33"/>
  <c r="N12" i="33"/>
  <c r="L12" i="33"/>
  <c r="P12" i="33"/>
  <c r="Q12" i="33"/>
  <c r="I13" i="33"/>
  <c r="C13" i="33"/>
  <c r="F13" i="33"/>
  <c r="J13" i="33"/>
  <c r="N13" i="33"/>
  <c r="L13" i="33"/>
  <c r="P13" i="33"/>
  <c r="Q13" i="33"/>
  <c r="I14" i="33"/>
  <c r="C14" i="33"/>
  <c r="F14" i="33"/>
  <c r="J14" i="33"/>
  <c r="N14" i="33"/>
  <c r="L14" i="33"/>
  <c r="P14" i="33"/>
  <c r="Q14" i="33"/>
  <c r="I15" i="33"/>
  <c r="C15" i="33"/>
  <c r="F15" i="33"/>
  <c r="J15" i="33"/>
  <c r="N15" i="33"/>
  <c r="L15" i="33"/>
  <c r="P15" i="33"/>
  <c r="Q15" i="33"/>
  <c r="I16" i="33"/>
  <c r="C16" i="33"/>
  <c r="F16" i="33"/>
  <c r="J16" i="33"/>
  <c r="N16" i="33"/>
  <c r="L16" i="33"/>
  <c r="P16" i="33"/>
  <c r="Q16" i="33"/>
  <c r="I17" i="33"/>
  <c r="C17" i="33"/>
  <c r="F17" i="33"/>
  <c r="J17" i="33"/>
  <c r="N17" i="33"/>
  <c r="L17" i="33"/>
  <c r="P17" i="33"/>
  <c r="Q17" i="33"/>
  <c r="I18" i="33"/>
  <c r="C18" i="33"/>
  <c r="F18" i="33"/>
  <c r="J18" i="33"/>
  <c r="N18" i="33"/>
  <c r="L18" i="33"/>
  <c r="P18" i="33"/>
  <c r="Q18" i="33"/>
  <c r="I19" i="33"/>
  <c r="C19" i="33"/>
  <c r="F19" i="33"/>
  <c r="J19" i="33"/>
  <c r="N19" i="33"/>
  <c r="L19" i="33"/>
  <c r="P19" i="33"/>
  <c r="Q19" i="33"/>
  <c r="I20" i="33"/>
  <c r="C20" i="33"/>
  <c r="F20" i="33"/>
  <c r="J20" i="33"/>
  <c r="N20" i="33"/>
  <c r="L20" i="33"/>
  <c r="P20" i="33"/>
  <c r="Q20" i="33"/>
  <c r="I21" i="33"/>
  <c r="C21" i="33"/>
  <c r="F21" i="33"/>
  <c r="J21" i="33"/>
  <c r="N21" i="33"/>
  <c r="L21" i="33"/>
  <c r="P21" i="33"/>
  <c r="Q21" i="33"/>
  <c r="I22" i="33"/>
  <c r="C22" i="33"/>
  <c r="F22" i="33"/>
  <c r="J22" i="33"/>
  <c r="N22" i="33"/>
  <c r="L22" i="33"/>
  <c r="P22" i="33"/>
  <c r="Q22" i="33"/>
  <c r="I23" i="33"/>
  <c r="C23" i="33"/>
  <c r="F23" i="33"/>
  <c r="J23" i="33"/>
  <c r="N23" i="33"/>
  <c r="L23" i="33"/>
  <c r="P23" i="33"/>
  <c r="Q23" i="33"/>
  <c r="I24" i="33"/>
  <c r="C24" i="33"/>
  <c r="F24" i="33"/>
  <c r="J24" i="33"/>
  <c r="N24" i="33"/>
  <c r="L24" i="33"/>
  <c r="P24" i="33"/>
  <c r="Q24" i="33"/>
  <c r="I25" i="33"/>
  <c r="C25" i="33"/>
  <c r="F25" i="33"/>
  <c r="J25" i="33"/>
  <c r="N25" i="33"/>
  <c r="L25" i="33"/>
  <c r="P25" i="33"/>
  <c r="Q25" i="33"/>
  <c r="I26" i="33"/>
  <c r="C26" i="33"/>
  <c r="F26" i="33"/>
  <c r="J26" i="33"/>
  <c r="N26" i="33"/>
  <c r="L26" i="33"/>
  <c r="P26" i="33"/>
  <c r="Q26" i="33"/>
  <c r="I27" i="33"/>
  <c r="C27" i="33"/>
  <c r="F27" i="33"/>
  <c r="J27" i="33"/>
  <c r="N27" i="33"/>
  <c r="L27" i="33"/>
  <c r="P27" i="33"/>
  <c r="Q27" i="33"/>
  <c r="I28" i="33"/>
  <c r="C28" i="33"/>
  <c r="F28" i="33"/>
  <c r="J28" i="33"/>
  <c r="N28" i="33"/>
  <c r="L28" i="33"/>
  <c r="P28" i="33"/>
  <c r="Q28" i="33"/>
  <c r="I29" i="33"/>
  <c r="C29" i="33"/>
  <c r="F29" i="33"/>
  <c r="J29" i="33"/>
  <c r="N29" i="33"/>
  <c r="L29" i="33"/>
  <c r="P29" i="33"/>
  <c r="Q29" i="33"/>
  <c r="I30" i="33"/>
  <c r="C30" i="33"/>
  <c r="F30" i="33"/>
  <c r="J30" i="33"/>
  <c r="N30" i="33"/>
  <c r="L30" i="33"/>
  <c r="P30" i="33"/>
  <c r="Q30" i="33"/>
  <c r="I31" i="33"/>
  <c r="C31" i="33"/>
  <c r="F31" i="33"/>
  <c r="J31" i="33"/>
  <c r="N31" i="33"/>
  <c r="L31" i="33"/>
  <c r="P31" i="33"/>
  <c r="Q31" i="33"/>
  <c r="I32" i="33"/>
  <c r="C32" i="33"/>
  <c r="F32" i="33"/>
  <c r="J32" i="33"/>
  <c r="N32" i="33"/>
  <c r="L32" i="33"/>
  <c r="P32" i="33"/>
  <c r="Q32" i="33"/>
  <c r="I33" i="33"/>
  <c r="C33" i="33"/>
  <c r="F33" i="33"/>
  <c r="J33" i="33"/>
  <c r="N33" i="33"/>
  <c r="L33" i="33"/>
  <c r="P33" i="33"/>
  <c r="Q33" i="33"/>
  <c r="I34" i="33"/>
  <c r="C34" i="33"/>
  <c r="F34" i="33"/>
  <c r="J34" i="33"/>
  <c r="N34" i="33"/>
  <c r="L34" i="33"/>
  <c r="P34" i="33"/>
  <c r="Q34" i="33"/>
  <c r="I35" i="33"/>
  <c r="C35" i="33"/>
  <c r="F35" i="33"/>
  <c r="J35" i="33"/>
  <c r="N35" i="33"/>
  <c r="L35" i="33"/>
  <c r="P35" i="33"/>
  <c r="Q35" i="33"/>
  <c r="I36" i="33"/>
  <c r="C36" i="33"/>
  <c r="F36" i="33"/>
  <c r="J36" i="33"/>
  <c r="N36" i="33"/>
  <c r="L36" i="33"/>
  <c r="P36" i="33"/>
  <c r="Q36" i="33"/>
  <c r="I37" i="33"/>
  <c r="C37" i="33"/>
  <c r="F37" i="33"/>
  <c r="J37" i="33"/>
  <c r="N37" i="33"/>
  <c r="L37" i="33"/>
  <c r="P37" i="33"/>
  <c r="Q37" i="33"/>
  <c r="I38" i="33"/>
  <c r="C38" i="33"/>
  <c r="F38" i="33"/>
  <c r="J38" i="33"/>
  <c r="N38" i="33"/>
  <c r="L38" i="33"/>
  <c r="P38" i="33"/>
  <c r="Q38" i="33"/>
  <c r="I39" i="33"/>
  <c r="C39" i="33"/>
  <c r="F39" i="33"/>
  <c r="J39" i="33"/>
  <c r="N39" i="33"/>
  <c r="L39" i="33"/>
  <c r="P39" i="33"/>
  <c r="Q39" i="33"/>
  <c r="I40" i="33"/>
  <c r="C40" i="33"/>
  <c r="F40" i="33"/>
  <c r="J40" i="33"/>
  <c r="N40" i="33"/>
  <c r="L40" i="33"/>
  <c r="P40" i="33"/>
  <c r="Q40" i="33"/>
  <c r="I41" i="33"/>
  <c r="C41" i="33"/>
  <c r="F41" i="33"/>
  <c r="J41" i="33"/>
  <c r="N41" i="33"/>
  <c r="L41" i="33"/>
  <c r="P41" i="33"/>
  <c r="Q41" i="33"/>
  <c r="I42" i="33"/>
  <c r="C42" i="33"/>
  <c r="F42" i="33"/>
  <c r="J42" i="33"/>
  <c r="N42" i="33"/>
  <c r="L42" i="33"/>
  <c r="P42" i="33"/>
  <c r="Q42" i="33"/>
  <c r="I43" i="33"/>
  <c r="C43" i="33"/>
  <c r="F43" i="33"/>
  <c r="J43" i="33"/>
  <c r="N43" i="33"/>
  <c r="L43" i="33"/>
  <c r="P43" i="33"/>
  <c r="Q43" i="33"/>
  <c r="I44" i="33"/>
  <c r="C44" i="33"/>
  <c r="F44" i="33"/>
  <c r="J44" i="33"/>
  <c r="N44" i="33"/>
  <c r="L44" i="33"/>
  <c r="P44" i="33"/>
  <c r="Q44" i="33"/>
  <c r="I45" i="33"/>
  <c r="C45" i="33"/>
  <c r="F45" i="33"/>
  <c r="J45" i="33"/>
  <c r="N45" i="33"/>
  <c r="L45" i="33"/>
  <c r="P45" i="33"/>
  <c r="Q45" i="33"/>
  <c r="I46" i="33"/>
  <c r="C46" i="33"/>
  <c r="F46" i="33"/>
  <c r="J46" i="33"/>
  <c r="N46" i="33"/>
  <c r="L46" i="33"/>
  <c r="P46" i="33"/>
  <c r="Q46" i="33"/>
  <c r="I47" i="33"/>
  <c r="C47" i="33"/>
  <c r="F47" i="33"/>
  <c r="J47" i="33"/>
  <c r="N47" i="33"/>
  <c r="L47" i="33"/>
  <c r="P47" i="33"/>
  <c r="Q47" i="33"/>
  <c r="I48" i="33"/>
  <c r="C48" i="33"/>
  <c r="F48" i="33"/>
  <c r="J48" i="33"/>
  <c r="N48" i="33"/>
  <c r="L48" i="33"/>
  <c r="P48" i="33"/>
  <c r="Q48" i="33"/>
  <c r="I49" i="33"/>
  <c r="C49" i="33"/>
  <c r="F49" i="33"/>
  <c r="J49" i="33"/>
  <c r="N49" i="33"/>
  <c r="L49" i="33"/>
  <c r="P49" i="33"/>
  <c r="Q49" i="33"/>
  <c r="I50" i="33"/>
  <c r="C50" i="33"/>
  <c r="F50" i="33"/>
  <c r="J50" i="33"/>
  <c r="N50" i="33"/>
  <c r="L50" i="33"/>
  <c r="P50" i="33"/>
  <c r="Q50" i="33"/>
  <c r="I51" i="33"/>
  <c r="C51" i="33"/>
  <c r="F51" i="33"/>
  <c r="J51" i="33"/>
  <c r="N51" i="33"/>
  <c r="L51" i="33"/>
  <c r="P51" i="33"/>
  <c r="Q51" i="33"/>
  <c r="I52" i="33"/>
  <c r="C52" i="33"/>
  <c r="F52" i="33"/>
  <c r="J52" i="33"/>
  <c r="N52" i="33"/>
  <c r="L52" i="33"/>
  <c r="P52" i="33"/>
  <c r="Q52" i="33"/>
  <c r="I53" i="33"/>
  <c r="C53" i="33"/>
  <c r="F53" i="33"/>
  <c r="J53" i="33"/>
  <c r="N53" i="33"/>
  <c r="L53" i="33"/>
  <c r="P53" i="33"/>
  <c r="Q53" i="33"/>
  <c r="I54" i="33"/>
  <c r="C54" i="33"/>
  <c r="F54" i="33"/>
  <c r="J54" i="33"/>
  <c r="N54" i="33"/>
  <c r="L54" i="33"/>
  <c r="P54" i="33"/>
  <c r="Q54" i="33"/>
  <c r="Q69" i="33"/>
  <c r="Q68" i="33"/>
  <c r="Q67" i="33"/>
  <c r="I61" i="33"/>
  <c r="I60" i="33"/>
  <c r="I59" i="33"/>
  <c r="D21" i="32"/>
  <c r="D50" i="32"/>
  <c r="D64" i="32"/>
  <c r="D63" i="32"/>
  <c r="D62" i="32"/>
  <c r="I4" i="32"/>
  <c r="I5" i="32"/>
  <c r="I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61" i="32"/>
  <c r="I60" i="32"/>
  <c r="I59" i="32"/>
  <c r="I4" i="64"/>
  <c r="I5" i="64"/>
  <c r="I6" i="64"/>
  <c r="I7" i="64"/>
  <c r="I8" i="64"/>
  <c r="I9" i="64"/>
  <c r="I10" i="64"/>
  <c r="I11" i="64"/>
  <c r="I12" i="64"/>
  <c r="I13" i="64"/>
  <c r="I14" i="64"/>
  <c r="I15" i="64"/>
  <c r="I16" i="64"/>
  <c r="I17" i="64"/>
  <c r="I18" i="64"/>
  <c r="I19" i="64"/>
  <c r="I20" i="64"/>
  <c r="I21" i="64"/>
  <c r="I22" i="64"/>
  <c r="I23" i="64"/>
  <c r="I24" i="64"/>
  <c r="I25" i="64"/>
  <c r="I26" i="64"/>
  <c r="I27" i="64"/>
  <c r="I28" i="64"/>
  <c r="I29" i="64"/>
  <c r="I30" i="64"/>
  <c r="I31" i="64"/>
  <c r="I32" i="64"/>
  <c r="I33" i="64"/>
  <c r="I34" i="64"/>
  <c r="I35" i="64"/>
  <c r="I36" i="64"/>
  <c r="I37" i="64"/>
  <c r="I38" i="64"/>
  <c r="I39" i="64"/>
  <c r="I40" i="64"/>
  <c r="I41" i="64"/>
  <c r="I42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61" i="64"/>
  <c r="I60" i="64"/>
  <c r="I59" i="64"/>
  <c r="G63" i="43"/>
  <c r="G62" i="43"/>
  <c r="G61" i="43"/>
  <c r="G4" i="30"/>
  <c r="L4" i="30"/>
  <c r="P4" i="30"/>
  <c r="N4" i="30"/>
  <c r="Q4" i="30"/>
  <c r="G5" i="30"/>
  <c r="L5" i="30"/>
  <c r="P5" i="30"/>
  <c r="N5" i="30"/>
  <c r="Q5" i="30"/>
  <c r="G6" i="30"/>
  <c r="L6" i="30"/>
  <c r="P6" i="30"/>
  <c r="N6" i="30"/>
  <c r="Q6" i="30"/>
  <c r="G7" i="30"/>
  <c r="L7" i="30"/>
  <c r="P7" i="30"/>
  <c r="N7" i="30"/>
  <c r="Q7" i="30"/>
  <c r="G8" i="30"/>
  <c r="L8" i="30"/>
  <c r="P8" i="30"/>
  <c r="N8" i="30"/>
  <c r="Q8" i="30"/>
  <c r="G9" i="30"/>
  <c r="L9" i="30"/>
  <c r="P9" i="30"/>
  <c r="N9" i="30"/>
  <c r="Q9" i="30"/>
  <c r="K10" i="30"/>
  <c r="G10" i="30"/>
  <c r="L10" i="30"/>
  <c r="P10" i="30"/>
  <c r="N10" i="30"/>
  <c r="Q10" i="30"/>
  <c r="G11" i="30"/>
  <c r="L11" i="30"/>
  <c r="P11" i="30"/>
  <c r="N11" i="30"/>
  <c r="Q11" i="30"/>
  <c r="G12" i="30"/>
  <c r="L12" i="30"/>
  <c r="P12" i="30"/>
  <c r="N12" i="30"/>
  <c r="Q12" i="30"/>
  <c r="G13" i="30"/>
  <c r="L13" i="30"/>
  <c r="P13" i="30"/>
  <c r="N13" i="30"/>
  <c r="Q13" i="30"/>
  <c r="G14" i="30"/>
  <c r="L14" i="30"/>
  <c r="P14" i="30"/>
  <c r="N14" i="30"/>
  <c r="Q14" i="30"/>
  <c r="G15" i="30"/>
  <c r="L15" i="30"/>
  <c r="P15" i="30"/>
  <c r="N15" i="30"/>
  <c r="Q15" i="30"/>
  <c r="G16" i="30"/>
  <c r="L16" i="30"/>
  <c r="P16" i="30"/>
  <c r="N16" i="30"/>
  <c r="Q16" i="30"/>
  <c r="G17" i="30"/>
  <c r="L17" i="30"/>
  <c r="P17" i="30"/>
  <c r="N17" i="30"/>
  <c r="Q17" i="30"/>
  <c r="G18" i="30"/>
  <c r="L18" i="30"/>
  <c r="P18" i="30"/>
  <c r="N18" i="30"/>
  <c r="Q18" i="30"/>
  <c r="G19" i="30"/>
  <c r="L19" i="30"/>
  <c r="P19" i="30"/>
  <c r="N19" i="30"/>
  <c r="Q19" i="30"/>
  <c r="G20" i="30"/>
  <c r="L20" i="30"/>
  <c r="P20" i="30"/>
  <c r="N20" i="30"/>
  <c r="Q20" i="30"/>
  <c r="G21" i="30"/>
  <c r="L21" i="30"/>
  <c r="P21" i="30"/>
  <c r="N21" i="30"/>
  <c r="Q21" i="30"/>
  <c r="G22" i="30"/>
  <c r="L22" i="30"/>
  <c r="P22" i="30"/>
  <c r="N22" i="30"/>
  <c r="Q22" i="30"/>
  <c r="K23" i="30"/>
  <c r="G23" i="30"/>
  <c r="L23" i="30"/>
  <c r="P23" i="30"/>
  <c r="N23" i="30"/>
  <c r="Q23" i="30"/>
  <c r="G24" i="30"/>
  <c r="K24" i="30"/>
  <c r="L24" i="30"/>
  <c r="P24" i="30"/>
  <c r="N24" i="30"/>
  <c r="Q24" i="30"/>
  <c r="K25" i="30"/>
  <c r="G25" i="30"/>
  <c r="L25" i="30"/>
  <c r="P25" i="30"/>
  <c r="N25" i="30"/>
  <c r="Q25" i="30"/>
  <c r="G26" i="30"/>
  <c r="L26" i="30"/>
  <c r="P26" i="30"/>
  <c r="N26" i="30"/>
  <c r="Q26" i="30"/>
  <c r="G27" i="30"/>
  <c r="L27" i="30"/>
  <c r="P27" i="30"/>
  <c r="N27" i="30"/>
  <c r="Q27" i="30"/>
  <c r="G28" i="30"/>
  <c r="L28" i="30"/>
  <c r="P28" i="30"/>
  <c r="N28" i="30"/>
  <c r="Q28" i="30"/>
  <c r="G29" i="30"/>
  <c r="L29" i="30"/>
  <c r="P29" i="30"/>
  <c r="N29" i="30"/>
  <c r="Q29" i="30"/>
  <c r="G30" i="30"/>
  <c r="L30" i="30"/>
  <c r="P30" i="30"/>
  <c r="N30" i="30"/>
  <c r="Q30" i="30"/>
  <c r="G31" i="30"/>
  <c r="L31" i="30"/>
  <c r="P31" i="30"/>
  <c r="N31" i="30"/>
  <c r="Q31" i="30"/>
  <c r="G32" i="30"/>
  <c r="L32" i="30"/>
  <c r="P32" i="30"/>
  <c r="N32" i="30"/>
  <c r="Q32" i="30"/>
  <c r="K33" i="30"/>
  <c r="G33" i="30"/>
  <c r="L33" i="30"/>
  <c r="P33" i="30"/>
  <c r="N33" i="30"/>
  <c r="Q33" i="30"/>
  <c r="K34" i="30"/>
  <c r="G34" i="30"/>
  <c r="L34" i="30"/>
  <c r="P34" i="30"/>
  <c r="N34" i="30"/>
  <c r="Q34" i="30"/>
  <c r="G35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F35" i="30"/>
  <c r="K35" i="30"/>
  <c r="L35" i="30"/>
  <c r="P35" i="30"/>
  <c r="N35" i="30"/>
  <c r="Q35" i="30"/>
  <c r="G36" i="30"/>
  <c r="K36" i="30"/>
  <c r="L36" i="30"/>
  <c r="P36" i="30"/>
  <c r="N36" i="30"/>
  <c r="Q36" i="30"/>
  <c r="G37" i="30"/>
  <c r="L37" i="30"/>
  <c r="P37" i="30"/>
  <c r="N37" i="30"/>
  <c r="Q37" i="30"/>
  <c r="G38" i="30"/>
  <c r="L38" i="30"/>
  <c r="P38" i="30"/>
  <c r="N38" i="30"/>
  <c r="Q38" i="30"/>
  <c r="G39" i="30"/>
  <c r="L39" i="30"/>
  <c r="P39" i="30"/>
  <c r="N39" i="30"/>
  <c r="Q39" i="30"/>
  <c r="G40" i="30"/>
  <c r="L40" i="30"/>
  <c r="P40" i="30"/>
  <c r="N40" i="30"/>
  <c r="Q40" i="30"/>
  <c r="G41" i="30"/>
  <c r="L41" i="30"/>
  <c r="P41" i="30"/>
  <c r="N41" i="30"/>
  <c r="Q41" i="30"/>
  <c r="K42" i="30"/>
  <c r="G42" i="30"/>
  <c r="L42" i="30"/>
  <c r="P42" i="30"/>
  <c r="N42" i="30"/>
  <c r="Q42" i="30"/>
  <c r="K43" i="30"/>
  <c r="G43" i="30"/>
  <c r="L43" i="30"/>
  <c r="P43" i="30"/>
  <c r="N43" i="30"/>
  <c r="Q43" i="30"/>
  <c r="G44" i="30"/>
  <c r="L44" i="30"/>
  <c r="P44" i="30"/>
  <c r="N44" i="30"/>
  <c r="Q44" i="30"/>
  <c r="G45" i="30"/>
  <c r="L45" i="30"/>
  <c r="P45" i="30"/>
  <c r="N45" i="30"/>
  <c r="Q45" i="30"/>
  <c r="G46" i="30"/>
  <c r="L46" i="30"/>
  <c r="P46" i="30"/>
  <c r="N46" i="30"/>
  <c r="Q46" i="30"/>
  <c r="G47" i="30"/>
  <c r="L47" i="30"/>
  <c r="P47" i="30"/>
  <c r="N47" i="30"/>
  <c r="Q47" i="30"/>
  <c r="G48" i="30"/>
  <c r="L48" i="30"/>
  <c r="P48" i="30"/>
  <c r="N48" i="30"/>
  <c r="Q48" i="30"/>
  <c r="G49" i="30"/>
  <c r="K49" i="30"/>
  <c r="L49" i="30"/>
  <c r="P49" i="30"/>
  <c r="N49" i="30"/>
  <c r="Q49" i="30"/>
  <c r="K50" i="30"/>
  <c r="G50" i="30"/>
  <c r="L50" i="30"/>
  <c r="P50" i="30"/>
  <c r="N50" i="30"/>
  <c r="Q50" i="30"/>
  <c r="G51" i="30"/>
  <c r="L51" i="30"/>
  <c r="P51" i="30"/>
  <c r="N51" i="30"/>
  <c r="Q51" i="30"/>
  <c r="G52" i="30"/>
  <c r="L52" i="30"/>
  <c r="P52" i="30"/>
  <c r="N52" i="30"/>
  <c r="Q52" i="30"/>
  <c r="G53" i="30"/>
  <c r="L53" i="30"/>
  <c r="P53" i="30"/>
  <c r="N53" i="30"/>
  <c r="Q53" i="30"/>
  <c r="G54" i="30"/>
  <c r="L54" i="30"/>
  <c r="P54" i="30"/>
  <c r="N54" i="30"/>
  <c r="Q54" i="30"/>
  <c r="Q69" i="30"/>
  <c r="Q68" i="30"/>
  <c r="Q67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C36" i="30"/>
  <c r="F36" i="30"/>
  <c r="C37" i="30"/>
  <c r="F37" i="30"/>
  <c r="C38" i="30"/>
  <c r="F38" i="30"/>
  <c r="C39" i="30"/>
  <c r="F39" i="30"/>
  <c r="C40" i="30"/>
  <c r="F40" i="30"/>
  <c r="C41" i="30"/>
  <c r="F41" i="30"/>
  <c r="C42" i="30"/>
  <c r="F42" i="30"/>
  <c r="C43" i="30"/>
  <c r="F43" i="30"/>
  <c r="C44" i="30"/>
  <c r="F44" i="30"/>
  <c r="C45" i="30"/>
  <c r="F45" i="30"/>
  <c r="C46" i="30"/>
  <c r="F46" i="30"/>
  <c r="C47" i="30"/>
  <c r="F47" i="30"/>
  <c r="C48" i="30"/>
  <c r="F48" i="30"/>
  <c r="C49" i="30"/>
  <c r="F49" i="30"/>
  <c r="C50" i="30"/>
  <c r="F50" i="30"/>
  <c r="C51" i="30"/>
  <c r="F51" i="30"/>
  <c r="C52" i="30"/>
  <c r="F52" i="30"/>
  <c r="C53" i="30"/>
  <c r="F53" i="30"/>
  <c r="C54" i="30"/>
  <c r="F54" i="30"/>
  <c r="F63" i="30"/>
  <c r="F61" i="30"/>
  <c r="F62" i="30"/>
  <c r="F56" i="30"/>
  <c r="I63" i="30"/>
  <c r="I62" i="30"/>
  <c r="I61" i="30"/>
  <c r="D61" i="29"/>
  <c r="D60" i="29"/>
  <c r="D59" i="29"/>
  <c r="G61" i="29"/>
  <c r="G60" i="29"/>
  <c r="G59" i="29"/>
  <c r="D61" i="25"/>
  <c r="D60" i="25"/>
  <c r="D59" i="25"/>
  <c r="N61" i="25"/>
  <c r="N60" i="25"/>
  <c r="N59" i="25"/>
  <c r="C74" i="5"/>
  <c r="C79" i="5"/>
  <c r="F18" i="60"/>
  <c r="E162" i="5"/>
  <c r="F25" i="60"/>
  <c r="E163" i="5"/>
  <c r="F15" i="60"/>
  <c r="E164" i="5"/>
  <c r="F28" i="60"/>
  <c r="E165" i="5"/>
  <c r="F27" i="60"/>
  <c r="E166" i="5"/>
  <c r="F5" i="60"/>
  <c r="E167" i="5"/>
  <c r="F23" i="60"/>
  <c r="E168" i="5"/>
  <c r="F17" i="60"/>
  <c r="E169" i="5"/>
  <c r="F8" i="60"/>
  <c r="E170" i="5"/>
  <c r="F11" i="60"/>
  <c r="E171" i="5"/>
  <c r="F24" i="60"/>
  <c r="E172" i="5"/>
  <c r="F14" i="60"/>
  <c r="E173" i="5"/>
  <c r="F26" i="60"/>
  <c r="E174" i="5"/>
  <c r="F10" i="60"/>
  <c r="E175" i="5"/>
  <c r="F22" i="60"/>
  <c r="E176" i="5"/>
  <c r="F13" i="60"/>
  <c r="E177" i="5"/>
  <c r="F7" i="60"/>
  <c r="E178" i="5"/>
  <c r="F16" i="60"/>
  <c r="E179" i="5"/>
  <c r="F9" i="60"/>
  <c r="E180" i="5"/>
  <c r="F12" i="60"/>
  <c r="E181" i="5"/>
  <c r="F4" i="60"/>
  <c r="E182" i="5"/>
  <c r="F20" i="60"/>
  <c r="E183" i="5"/>
  <c r="F6" i="60"/>
  <c r="E184" i="5"/>
  <c r="F19" i="60"/>
  <c r="E185" i="5"/>
  <c r="F21" i="60"/>
  <c r="E186" i="5"/>
  <c r="E187" i="5"/>
  <c r="B187" i="5"/>
  <c r="G187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62" i="5"/>
  <c r="F47" i="60"/>
  <c r="F32" i="60"/>
  <c r="F33" i="60"/>
  <c r="F34" i="60"/>
  <c r="F35" i="60"/>
  <c r="F36" i="60"/>
  <c r="F37" i="60"/>
  <c r="F38" i="60"/>
  <c r="F39" i="60"/>
  <c r="F40" i="60"/>
  <c r="F42" i="60"/>
  <c r="F41" i="60"/>
  <c r="F43" i="60"/>
  <c r="F44" i="60"/>
  <c r="F45" i="60"/>
  <c r="F46" i="60"/>
  <c r="F48" i="60"/>
  <c r="F49" i="60"/>
  <c r="F50" i="60"/>
  <c r="F51" i="60"/>
  <c r="F52" i="60"/>
  <c r="F53" i="60"/>
  <c r="F54" i="60"/>
  <c r="F55" i="60"/>
  <c r="F56" i="60"/>
  <c r="I119" i="40"/>
  <c r="F115" i="57"/>
  <c r="I118" i="40"/>
  <c r="E115" i="57"/>
  <c r="C115" i="57"/>
  <c r="J337" i="34"/>
  <c r="F114" i="57"/>
  <c r="B342" i="34"/>
  <c r="B346" i="34"/>
  <c r="B351" i="34"/>
  <c r="J336" i="34"/>
  <c r="E114" i="57"/>
  <c r="C114" i="57"/>
  <c r="G595" i="37"/>
  <c r="F113" i="57"/>
  <c r="C599" i="37"/>
  <c r="C610" i="37"/>
  <c r="C617" i="37"/>
  <c r="G594" i="37"/>
  <c r="E113" i="57"/>
  <c r="C113" i="57"/>
  <c r="G303" i="47"/>
  <c r="F112" i="57"/>
  <c r="C299" i="47"/>
  <c r="C305" i="47"/>
  <c r="C310" i="47"/>
  <c r="C317" i="47"/>
  <c r="G302" i="47"/>
  <c r="E112" i="57"/>
  <c r="C112" i="57"/>
  <c r="F111" i="57"/>
  <c r="E111" i="57"/>
  <c r="C111" i="57"/>
  <c r="F110" i="57"/>
  <c r="E110" i="57"/>
  <c r="C110" i="57"/>
  <c r="F109" i="57"/>
  <c r="E109" i="57"/>
  <c r="C109" i="57"/>
  <c r="F108" i="57"/>
  <c r="E108" i="57"/>
  <c r="C108" i="57"/>
  <c r="F107" i="57"/>
  <c r="E107" i="57"/>
  <c r="C107" i="57"/>
  <c r="F106" i="57"/>
  <c r="E106" i="57"/>
  <c r="C106" i="57"/>
  <c r="F105" i="57"/>
  <c r="E105" i="57"/>
  <c r="C105" i="57"/>
  <c r="F117" i="57"/>
  <c r="C117" i="57"/>
  <c r="F118" i="57"/>
  <c r="E117" i="57"/>
  <c r="E118" i="57"/>
  <c r="G105" i="57"/>
  <c r="G106" i="57"/>
  <c r="G113" i="57"/>
  <c r="G117" i="57"/>
  <c r="D105" i="57"/>
  <c r="D106" i="57"/>
  <c r="D107" i="57"/>
  <c r="D108" i="57"/>
  <c r="D109" i="57"/>
  <c r="D110" i="57"/>
  <c r="D111" i="57"/>
  <c r="D112" i="57"/>
  <c r="D113" i="57"/>
  <c r="D114" i="57"/>
  <c r="D115" i="57"/>
  <c r="D117" i="57"/>
  <c r="B132" i="63"/>
  <c r="U38" i="59"/>
  <c r="C38" i="5"/>
  <c r="C13" i="5"/>
  <c r="E38" i="59"/>
  <c r="G38" i="59"/>
  <c r="J38" i="59"/>
  <c r="F38" i="59"/>
  <c r="K38" i="59"/>
  <c r="B136" i="63"/>
  <c r="U39" i="59"/>
  <c r="E39" i="59"/>
  <c r="G39" i="59"/>
  <c r="J39" i="59"/>
  <c r="F39" i="59"/>
  <c r="K39" i="59"/>
  <c r="G36" i="59"/>
  <c r="F36" i="59"/>
  <c r="K36" i="59"/>
  <c r="G37" i="59"/>
  <c r="F37" i="59"/>
  <c r="J37" i="59"/>
  <c r="K37" i="59"/>
  <c r="E36" i="59"/>
  <c r="E37" i="59"/>
  <c r="Q33" i="57"/>
  <c r="Q38" i="59"/>
  <c r="R38" i="59"/>
  <c r="Q39" i="59"/>
  <c r="R39" i="59"/>
  <c r="Q36" i="59"/>
  <c r="R36" i="59"/>
  <c r="Q37" i="59"/>
  <c r="R37" i="59"/>
  <c r="Q36" i="57"/>
  <c r="I18" i="40"/>
  <c r="F99" i="57"/>
  <c r="B14" i="40"/>
  <c r="B27" i="40"/>
  <c r="B29" i="40"/>
  <c r="B32" i="40"/>
  <c r="B41" i="40"/>
  <c r="B53" i="40"/>
  <c r="B55" i="40"/>
  <c r="B71" i="40"/>
  <c r="B86" i="40"/>
  <c r="I17" i="40"/>
  <c r="E99" i="57"/>
  <c r="C99" i="57"/>
  <c r="J99" i="34"/>
  <c r="F98" i="57"/>
  <c r="B95" i="34"/>
  <c r="B103" i="34"/>
  <c r="B110" i="34"/>
  <c r="B116" i="34"/>
  <c r="B119" i="34"/>
  <c r="B125" i="34"/>
  <c r="B127" i="34"/>
  <c r="B141" i="34"/>
  <c r="B148" i="34"/>
  <c r="B162" i="34"/>
  <c r="B168" i="34"/>
  <c r="B174" i="34"/>
  <c r="B177" i="34"/>
  <c r="B184" i="34"/>
  <c r="B188" i="34"/>
  <c r="B190" i="34"/>
  <c r="B195" i="34"/>
  <c r="B208" i="34"/>
  <c r="B230" i="34"/>
  <c r="B264" i="34"/>
  <c r="B275" i="34"/>
  <c r="B282" i="34"/>
  <c r="B296" i="34"/>
  <c r="B298" i="34"/>
  <c r="J98" i="34"/>
  <c r="E98" i="57"/>
  <c r="J97" i="34"/>
  <c r="C98" i="57"/>
  <c r="C119" i="37"/>
  <c r="C153" i="37"/>
  <c r="C185" i="37"/>
  <c r="C200" i="37"/>
  <c r="C204" i="37"/>
  <c r="C266" i="37"/>
  <c r="C296" i="37"/>
  <c r="C320" i="37"/>
  <c r="C338" i="37"/>
  <c r="C358" i="37"/>
  <c r="C408" i="37"/>
  <c r="C411" i="37"/>
  <c r="C424" i="37"/>
  <c r="C432" i="37"/>
  <c r="C443" i="37"/>
  <c r="C457" i="37"/>
  <c r="C479" i="37"/>
  <c r="C505" i="37"/>
  <c r="C509" i="37"/>
  <c r="C517" i="37"/>
  <c r="C548" i="37"/>
  <c r="C559" i="37"/>
  <c r="G108" i="37"/>
  <c r="E97" i="57"/>
  <c r="B11" i="44"/>
  <c r="B16" i="44"/>
  <c r="B18" i="44"/>
  <c r="B20" i="44"/>
  <c r="B26" i="44"/>
  <c r="B28" i="44"/>
  <c r="B30" i="44"/>
  <c r="B32" i="44"/>
  <c r="B40" i="44"/>
  <c r="B46" i="44"/>
  <c r="B57" i="44"/>
  <c r="B60" i="44"/>
  <c r="B64" i="44"/>
  <c r="B69" i="44"/>
  <c r="B71" i="44"/>
  <c r="B75" i="44"/>
  <c r="B77" i="44"/>
  <c r="B86" i="44"/>
  <c r="B88" i="44"/>
  <c r="B97" i="44"/>
  <c r="B99" i="44"/>
  <c r="B101" i="44"/>
  <c r="B112" i="44"/>
  <c r="B117" i="44"/>
  <c r="B123" i="44"/>
  <c r="J14" i="44"/>
  <c r="E91" i="57"/>
  <c r="B35" i="35"/>
  <c r="B42" i="35"/>
  <c r="B45" i="35"/>
  <c r="B56" i="35"/>
  <c r="B71" i="35"/>
  <c r="B73" i="35"/>
  <c r="B84" i="35"/>
  <c r="B98" i="35"/>
  <c r="B101" i="35"/>
  <c r="B109" i="35"/>
  <c r="B116" i="35"/>
  <c r="B119" i="35"/>
  <c r="B129" i="35"/>
  <c r="G31" i="35"/>
  <c r="E89" i="57"/>
  <c r="B51" i="36"/>
  <c r="B60" i="36"/>
  <c r="B63" i="36"/>
  <c r="B69" i="36"/>
  <c r="B76" i="36"/>
  <c r="B82" i="36"/>
  <c r="B91" i="36"/>
  <c r="B95" i="36"/>
  <c r="B112" i="36"/>
  <c r="B121" i="36"/>
  <c r="B144" i="36"/>
  <c r="B146" i="36"/>
  <c r="B150" i="36"/>
  <c r="B152" i="36"/>
  <c r="B159" i="36"/>
  <c r="B162" i="36"/>
  <c r="B171" i="36"/>
  <c r="B178" i="36"/>
  <c r="B180" i="36"/>
  <c r="B187" i="36"/>
  <c r="B202" i="36"/>
  <c r="B208" i="36"/>
  <c r="B243" i="36"/>
  <c r="B254" i="36"/>
  <c r="B263" i="36"/>
  <c r="B268" i="36"/>
  <c r="B274" i="36"/>
  <c r="B291" i="36"/>
  <c r="J54" i="36"/>
  <c r="E90" i="57"/>
  <c r="B9" i="61"/>
  <c r="B11" i="61"/>
  <c r="B13" i="61"/>
  <c r="B16" i="61"/>
  <c r="B18" i="61"/>
  <c r="B20" i="61"/>
  <c r="B22" i="61"/>
  <c r="B24" i="61"/>
  <c r="B31" i="61"/>
  <c r="B33" i="61"/>
  <c r="B35" i="61"/>
  <c r="B39" i="61"/>
  <c r="B43" i="61"/>
  <c r="B45" i="61"/>
  <c r="B49" i="61"/>
  <c r="B51" i="61"/>
  <c r="B54" i="61"/>
  <c r="B56" i="61"/>
  <c r="B59" i="61"/>
  <c r="B63" i="61"/>
  <c r="B68" i="61"/>
  <c r="B70" i="61"/>
  <c r="B73" i="61"/>
  <c r="G11" i="61"/>
  <c r="E92" i="57"/>
  <c r="B9" i="62"/>
  <c r="B14" i="62"/>
  <c r="B16" i="62"/>
  <c r="B18" i="62"/>
  <c r="B20" i="62"/>
  <c r="B22" i="62"/>
  <c r="B24" i="62"/>
  <c r="B26" i="62"/>
  <c r="B28" i="62"/>
  <c r="B30" i="62"/>
  <c r="B33" i="62"/>
  <c r="B36" i="62"/>
  <c r="B40" i="62"/>
  <c r="B44" i="62"/>
  <c r="B46" i="62"/>
  <c r="B50" i="62"/>
  <c r="B52" i="62"/>
  <c r="B54" i="62"/>
  <c r="B56" i="62"/>
  <c r="B58" i="62"/>
  <c r="B62" i="62"/>
  <c r="B66" i="62"/>
  <c r="B68" i="62"/>
  <c r="B70" i="62"/>
  <c r="J11" i="62"/>
  <c r="E93" i="57"/>
  <c r="B12" i="46"/>
  <c r="B14" i="46"/>
  <c r="B17" i="46"/>
  <c r="B19" i="46"/>
  <c r="B21" i="46"/>
  <c r="B27" i="46"/>
  <c r="B30" i="46"/>
  <c r="B39" i="46"/>
  <c r="B42" i="46"/>
  <c r="B49" i="46"/>
  <c r="B51" i="46"/>
  <c r="B57" i="46"/>
  <c r="B62" i="46"/>
  <c r="B67" i="46"/>
  <c r="B71" i="46"/>
  <c r="B78" i="46"/>
  <c r="B88" i="46"/>
  <c r="B90" i="46"/>
  <c r="B95" i="46"/>
  <c r="B108" i="46"/>
  <c r="B112" i="46"/>
  <c r="N12" i="46"/>
  <c r="E94" i="57"/>
  <c r="B8" i="63"/>
  <c r="B10" i="63"/>
  <c r="B12" i="63"/>
  <c r="B15" i="63"/>
  <c r="B22" i="63"/>
  <c r="B25" i="63"/>
  <c r="B30" i="63"/>
  <c r="B47" i="63"/>
  <c r="B51" i="63"/>
  <c r="B62" i="63"/>
  <c r="B64" i="63"/>
  <c r="B74" i="63"/>
  <c r="B77" i="63"/>
  <c r="B79" i="63"/>
  <c r="B81" i="63"/>
  <c r="B85" i="63"/>
  <c r="B87" i="63"/>
  <c r="B93" i="63"/>
  <c r="B95" i="63"/>
  <c r="B105" i="63"/>
  <c r="B112" i="63"/>
  <c r="B118" i="63"/>
  <c r="B121" i="63"/>
  <c r="B123" i="63"/>
  <c r="F11" i="63"/>
  <c r="E95" i="57"/>
  <c r="C101" i="47"/>
  <c r="C105" i="47"/>
  <c r="C107" i="47"/>
  <c r="C110" i="47"/>
  <c r="C119" i="47"/>
  <c r="C124" i="47"/>
  <c r="C144" i="47"/>
  <c r="C175" i="47"/>
  <c r="C214" i="47"/>
  <c r="C219" i="47"/>
  <c r="C222" i="47"/>
  <c r="C266" i="47"/>
  <c r="C268" i="47"/>
  <c r="C285" i="47"/>
  <c r="G97" i="47"/>
  <c r="E96" i="57"/>
  <c r="E101" i="57"/>
  <c r="G107" i="37"/>
  <c r="C97" i="57"/>
  <c r="C91" i="57"/>
  <c r="C89" i="57"/>
  <c r="C90" i="57"/>
  <c r="C92" i="57"/>
  <c r="C93" i="57"/>
  <c r="C94" i="57"/>
  <c r="C95" i="57"/>
  <c r="C96" i="57"/>
  <c r="C101" i="57"/>
  <c r="E102" i="57"/>
  <c r="G97" i="57"/>
  <c r="G109" i="37"/>
  <c r="F97" i="57"/>
  <c r="G98" i="47"/>
  <c r="F96" i="57"/>
  <c r="F12" i="63"/>
  <c r="F95" i="57"/>
  <c r="N13" i="46"/>
  <c r="F94" i="57"/>
  <c r="B2" i="62"/>
  <c r="C2" i="62"/>
  <c r="D7" i="62"/>
  <c r="D8" i="62"/>
  <c r="D2" i="62"/>
  <c r="E2" i="62"/>
  <c r="F6" i="62"/>
  <c r="F2" i="62"/>
  <c r="G3" i="62"/>
  <c r="G5" i="62"/>
  <c r="G2" i="62"/>
  <c r="J4" i="62"/>
  <c r="J5" i="62"/>
  <c r="J6" i="62"/>
  <c r="J7" i="62"/>
  <c r="C9" i="62"/>
  <c r="D10" i="62"/>
  <c r="D9" i="62"/>
  <c r="E10" i="62"/>
  <c r="E11" i="62"/>
  <c r="E9" i="62"/>
  <c r="F11" i="62"/>
  <c r="F12" i="62"/>
  <c r="F9" i="62"/>
  <c r="G9" i="62"/>
  <c r="J12" i="62"/>
  <c r="C14" i="62"/>
  <c r="D14" i="62"/>
  <c r="E14" i="62"/>
  <c r="F14" i="62"/>
  <c r="G14" i="62"/>
  <c r="C16" i="62"/>
  <c r="D16" i="62"/>
  <c r="E16" i="62"/>
  <c r="F16" i="62"/>
  <c r="G16" i="62"/>
  <c r="C18" i="62"/>
  <c r="E18" i="62"/>
  <c r="F18" i="62"/>
  <c r="G20" i="62"/>
  <c r="G22" i="62"/>
  <c r="G24" i="62"/>
  <c r="G26" i="62"/>
  <c r="G28" i="62"/>
  <c r="G30" i="62"/>
  <c r="G33" i="62"/>
  <c r="G36" i="62"/>
  <c r="G44" i="62"/>
  <c r="G46" i="62"/>
  <c r="G50" i="62"/>
  <c r="G52" i="62"/>
  <c r="G54" i="62"/>
  <c r="G18" i="62"/>
  <c r="C20" i="62"/>
  <c r="D20" i="62"/>
  <c r="E20" i="62"/>
  <c r="F20" i="62"/>
  <c r="C22" i="62"/>
  <c r="E22" i="62"/>
  <c r="F22" i="62"/>
  <c r="C24" i="62"/>
  <c r="D24" i="62"/>
  <c r="E24" i="62"/>
  <c r="F24" i="62"/>
  <c r="C26" i="62"/>
  <c r="E26" i="62"/>
  <c r="F26" i="62"/>
  <c r="C28" i="62"/>
  <c r="D29" i="62"/>
  <c r="D28" i="62"/>
  <c r="E28" i="62"/>
  <c r="F28" i="62"/>
  <c r="C30" i="62"/>
  <c r="E31" i="62"/>
  <c r="E32" i="62"/>
  <c r="E30" i="62"/>
  <c r="F31" i="62"/>
  <c r="F32" i="62"/>
  <c r="F30" i="62"/>
  <c r="C33" i="62"/>
  <c r="E33" i="62"/>
  <c r="F33" i="62"/>
  <c r="C36" i="62"/>
  <c r="D36" i="62"/>
  <c r="E36" i="62"/>
  <c r="F36" i="62"/>
  <c r="F40" i="62"/>
  <c r="C44" i="62"/>
  <c r="D44" i="62"/>
  <c r="E44" i="62"/>
  <c r="F44" i="62"/>
  <c r="C46" i="62"/>
  <c r="D46" i="62"/>
  <c r="E46" i="62"/>
  <c r="F47" i="62"/>
  <c r="F46" i="62"/>
  <c r="C50" i="62"/>
  <c r="D50" i="62"/>
  <c r="E50" i="62"/>
  <c r="F50" i="62"/>
  <c r="C52" i="62"/>
  <c r="D52" i="62"/>
  <c r="E52" i="62"/>
  <c r="F52" i="62"/>
  <c r="C54" i="62"/>
  <c r="D55" i="62"/>
  <c r="D54" i="62"/>
  <c r="E54" i="62"/>
  <c r="F54" i="62"/>
  <c r="C56" i="62"/>
  <c r="D56" i="62"/>
  <c r="E56" i="62"/>
  <c r="F56" i="62"/>
  <c r="G56" i="62"/>
  <c r="C58" i="62"/>
  <c r="E61" i="62"/>
  <c r="E58" i="62"/>
  <c r="F59" i="62"/>
  <c r="F61" i="62"/>
  <c r="F58" i="62"/>
  <c r="G58" i="62"/>
  <c r="C62" i="62"/>
  <c r="D62" i="62"/>
  <c r="E62" i="62"/>
  <c r="F62" i="62"/>
  <c r="G62" i="62"/>
  <c r="C66" i="62"/>
  <c r="E66" i="62"/>
  <c r="F67" i="62"/>
  <c r="F66" i="62"/>
  <c r="G66" i="62"/>
  <c r="C68" i="62"/>
  <c r="D68" i="62"/>
  <c r="E68" i="62"/>
  <c r="F68" i="62"/>
  <c r="G68" i="62"/>
  <c r="C70" i="62"/>
  <c r="B72" i="62"/>
  <c r="C72" i="62"/>
  <c r="D72" i="62"/>
  <c r="E72" i="62"/>
  <c r="F72" i="62"/>
  <c r="G72" i="62"/>
  <c r="B74" i="62"/>
  <c r="C74" i="62"/>
  <c r="D77" i="62"/>
  <c r="D74" i="62"/>
  <c r="E74" i="62"/>
  <c r="F74" i="62"/>
  <c r="G74" i="62"/>
  <c r="B78" i="62"/>
  <c r="C78" i="62"/>
  <c r="D78" i="62"/>
  <c r="E78" i="62"/>
  <c r="F78" i="62"/>
  <c r="G78" i="62"/>
  <c r="B83" i="62"/>
  <c r="B84" i="62"/>
  <c r="B85" i="62"/>
  <c r="B87" i="62"/>
  <c r="B90" i="62"/>
  <c r="B91" i="62"/>
  <c r="B92" i="62"/>
  <c r="B94" i="62"/>
  <c r="F93" i="57"/>
  <c r="G12" i="61"/>
  <c r="F92" i="57"/>
  <c r="J15" i="44"/>
  <c r="F91" i="57"/>
  <c r="G32" i="35"/>
  <c r="F89" i="57"/>
  <c r="J55" i="36"/>
  <c r="F90" i="57"/>
  <c r="F101" i="57"/>
  <c r="F102" i="57"/>
  <c r="B2" i="44"/>
  <c r="B125" i="44"/>
  <c r="B129" i="44"/>
  <c r="B135" i="44"/>
  <c r="B140" i="44"/>
  <c r="B141" i="44"/>
  <c r="B142" i="44"/>
  <c r="B144" i="44"/>
  <c r="B147" i="44"/>
  <c r="B148" i="44"/>
  <c r="B149" i="44"/>
  <c r="B151" i="44"/>
  <c r="G90" i="57"/>
  <c r="G89" i="57"/>
  <c r="G101" i="57"/>
  <c r="D89" i="57"/>
  <c r="D90" i="57"/>
  <c r="D91" i="57"/>
  <c r="D92" i="57"/>
  <c r="D93" i="57"/>
  <c r="D94" i="57"/>
  <c r="D95" i="57"/>
  <c r="D96" i="57"/>
  <c r="D97" i="57"/>
  <c r="D98" i="57"/>
  <c r="D99" i="57"/>
  <c r="D101" i="57"/>
  <c r="C187" i="5"/>
  <c r="F187" i="5"/>
  <c r="F165" i="5"/>
  <c r="F166" i="5"/>
  <c r="F174" i="5"/>
  <c r="F163" i="5"/>
  <c r="F172" i="5"/>
  <c r="F168" i="5"/>
  <c r="F176" i="5"/>
  <c r="F186" i="5"/>
  <c r="F183" i="5"/>
  <c r="F185" i="5"/>
  <c r="F162" i="5"/>
  <c r="F169" i="5"/>
  <c r="F179" i="5"/>
  <c r="F164" i="5"/>
  <c r="F173" i="5"/>
  <c r="F177" i="5"/>
  <c r="F181" i="5"/>
  <c r="F171" i="5"/>
  <c r="F175" i="5"/>
  <c r="F180" i="5"/>
  <c r="F170" i="5"/>
  <c r="F178" i="5"/>
  <c r="F184" i="5"/>
  <c r="F167" i="5"/>
  <c r="F182" i="5"/>
  <c r="L39" i="70"/>
  <c r="L38" i="70"/>
  <c r="L37" i="70"/>
  <c r="L36" i="70"/>
  <c r="L34" i="70"/>
  <c r="L33" i="70"/>
  <c r="L32" i="70"/>
  <c r="L31" i="70"/>
  <c r="L30" i="70"/>
  <c r="L29" i="70"/>
  <c r="L28" i="70"/>
  <c r="L26" i="70"/>
  <c r="L25" i="70"/>
  <c r="L24" i="70"/>
  <c r="L23" i="70"/>
  <c r="L22" i="70"/>
  <c r="L21" i="70"/>
  <c r="L20" i="70"/>
  <c r="L19" i="70"/>
  <c r="L18" i="70"/>
  <c r="L17" i="70"/>
  <c r="L16" i="70"/>
  <c r="L15" i="70"/>
  <c r="L14" i="70"/>
  <c r="L13" i="70"/>
  <c r="L12" i="70"/>
  <c r="L11" i="70"/>
  <c r="L10" i="70"/>
  <c r="L9" i="70"/>
  <c r="L8" i="70"/>
  <c r="L7" i="70"/>
  <c r="L6" i="70"/>
  <c r="G6" i="59"/>
  <c r="F6" i="59"/>
  <c r="K6" i="59"/>
  <c r="S6" i="59"/>
  <c r="G7" i="59"/>
  <c r="F7" i="59"/>
  <c r="K7" i="59"/>
  <c r="S7" i="59"/>
  <c r="G8" i="59"/>
  <c r="F8" i="59"/>
  <c r="K8" i="59"/>
  <c r="S8" i="59"/>
  <c r="E9" i="59"/>
  <c r="G9" i="59"/>
  <c r="U9" i="59"/>
  <c r="J9" i="59"/>
  <c r="F9" i="59"/>
  <c r="K9" i="59"/>
  <c r="S9" i="59"/>
  <c r="G10" i="59"/>
  <c r="F10" i="59"/>
  <c r="K10" i="59"/>
  <c r="S10" i="59"/>
  <c r="E11" i="59"/>
  <c r="G11" i="59"/>
  <c r="U11" i="59"/>
  <c r="J11" i="59"/>
  <c r="F11" i="59"/>
  <c r="K11" i="59"/>
  <c r="S11" i="59"/>
  <c r="G12" i="59"/>
  <c r="F12" i="59"/>
  <c r="K12" i="59"/>
  <c r="S12" i="59"/>
  <c r="E13" i="59"/>
  <c r="G13" i="59"/>
  <c r="U13" i="59"/>
  <c r="J13" i="59"/>
  <c r="F13" i="59"/>
  <c r="K13" i="59"/>
  <c r="S13" i="59"/>
  <c r="G14" i="59"/>
  <c r="F14" i="59"/>
  <c r="K14" i="59"/>
  <c r="S14" i="59"/>
  <c r="E15" i="59"/>
  <c r="G15" i="59"/>
  <c r="J15" i="59"/>
  <c r="F15" i="59"/>
  <c r="K15" i="59"/>
  <c r="S15" i="59"/>
  <c r="G16" i="59"/>
  <c r="F16" i="59"/>
  <c r="K16" i="59"/>
  <c r="S16" i="59"/>
  <c r="E17" i="59"/>
  <c r="G17" i="59"/>
  <c r="J17" i="59"/>
  <c r="F17" i="59"/>
  <c r="K17" i="59"/>
  <c r="S17" i="59"/>
  <c r="G18" i="59"/>
  <c r="F18" i="59"/>
  <c r="K18" i="59"/>
  <c r="S18" i="59"/>
  <c r="E19" i="59"/>
  <c r="G19" i="59"/>
  <c r="U19" i="59"/>
  <c r="J19" i="59"/>
  <c r="F19" i="59"/>
  <c r="K19" i="59"/>
  <c r="S19" i="59"/>
  <c r="G20" i="59"/>
  <c r="F20" i="59"/>
  <c r="K20" i="59"/>
  <c r="S20" i="59"/>
  <c r="G21" i="59"/>
  <c r="F21" i="59"/>
  <c r="K21" i="59"/>
  <c r="S21" i="59"/>
  <c r="G22" i="59"/>
  <c r="F22" i="59"/>
  <c r="K22" i="59"/>
  <c r="S22" i="59"/>
  <c r="G23" i="59"/>
  <c r="F23" i="59"/>
  <c r="K23" i="59"/>
  <c r="S23" i="59"/>
  <c r="G24" i="59"/>
  <c r="F24" i="59"/>
  <c r="K24" i="59"/>
  <c r="S24" i="59"/>
  <c r="E25" i="59"/>
  <c r="G25" i="59"/>
  <c r="U25" i="59"/>
  <c r="J25" i="59"/>
  <c r="F25" i="59"/>
  <c r="K25" i="59"/>
  <c r="S25" i="59"/>
  <c r="G26" i="59"/>
  <c r="F26" i="59"/>
  <c r="K26" i="59"/>
  <c r="S26" i="59"/>
  <c r="E28" i="59"/>
  <c r="G28" i="59"/>
  <c r="J28" i="59"/>
  <c r="F28" i="59"/>
  <c r="K28" i="59"/>
  <c r="S28" i="59"/>
  <c r="E29" i="59"/>
  <c r="G29" i="59"/>
  <c r="U29" i="59"/>
  <c r="J29" i="59"/>
  <c r="F29" i="59"/>
  <c r="K29" i="59"/>
  <c r="S29" i="59"/>
  <c r="E30" i="59"/>
  <c r="G30" i="59"/>
  <c r="U30" i="59"/>
  <c r="J30" i="59"/>
  <c r="F30" i="59"/>
  <c r="K30" i="59"/>
  <c r="S30" i="59"/>
  <c r="G31" i="59"/>
  <c r="F31" i="59"/>
  <c r="J31" i="59"/>
  <c r="K31" i="59"/>
  <c r="S31" i="59"/>
  <c r="E32" i="59"/>
  <c r="G32" i="59"/>
  <c r="U32" i="59"/>
  <c r="J32" i="59"/>
  <c r="F32" i="59"/>
  <c r="K32" i="59"/>
  <c r="S32" i="59"/>
  <c r="E33" i="59"/>
  <c r="G33" i="59"/>
  <c r="U33" i="59"/>
  <c r="J33" i="59"/>
  <c r="F33" i="59"/>
  <c r="K33" i="59"/>
  <c r="S33" i="59"/>
  <c r="G34" i="59"/>
  <c r="F34" i="59"/>
  <c r="J34" i="59"/>
  <c r="K34" i="59"/>
  <c r="S34" i="59"/>
  <c r="E6" i="59"/>
  <c r="E7" i="59"/>
  <c r="E8" i="59"/>
  <c r="E10" i="59"/>
  <c r="E12" i="59"/>
  <c r="E14" i="59"/>
  <c r="E16" i="59"/>
  <c r="E18" i="59"/>
  <c r="E20" i="59"/>
  <c r="E21" i="59"/>
  <c r="E22" i="59"/>
  <c r="E23" i="59"/>
  <c r="E24" i="59"/>
  <c r="E26" i="59"/>
  <c r="E31" i="59"/>
  <c r="E34" i="59"/>
  <c r="Q22" i="57"/>
  <c r="Q19" i="57"/>
  <c r="I6" i="70"/>
  <c r="M6" i="70"/>
  <c r="D6" i="70"/>
  <c r="P6" i="70"/>
  <c r="I7" i="70"/>
  <c r="M7" i="70"/>
  <c r="D7" i="70"/>
  <c r="P7" i="70"/>
  <c r="I8" i="70"/>
  <c r="M8" i="70"/>
  <c r="D8" i="70"/>
  <c r="P8" i="70"/>
  <c r="I9" i="70"/>
  <c r="M9" i="70"/>
  <c r="D9" i="70"/>
  <c r="P9" i="70"/>
  <c r="I10" i="70"/>
  <c r="M10" i="70"/>
  <c r="D10" i="70"/>
  <c r="P10" i="70"/>
  <c r="I11" i="70"/>
  <c r="M11" i="70"/>
  <c r="D11" i="70"/>
  <c r="P11" i="70"/>
  <c r="I12" i="70"/>
  <c r="M12" i="70"/>
  <c r="D12" i="70"/>
  <c r="P12" i="70"/>
  <c r="I13" i="70"/>
  <c r="M13" i="70"/>
  <c r="D13" i="70"/>
  <c r="P13" i="70"/>
  <c r="I14" i="70"/>
  <c r="M14" i="70"/>
  <c r="D14" i="70"/>
  <c r="P14" i="70"/>
  <c r="I15" i="70"/>
  <c r="M15" i="70"/>
  <c r="D15" i="70"/>
  <c r="P15" i="70"/>
  <c r="I16" i="70"/>
  <c r="M16" i="70"/>
  <c r="D16" i="70"/>
  <c r="P16" i="70"/>
  <c r="I17" i="70"/>
  <c r="M17" i="70"/>
  <c r="D17" i="70"/>
  <c r="P17" i="70"/>
  <c r="I18" i="70"/>
  <c r="M18" i="70"/>
  <c r="D18" i="70"/>
  <c r="P18" i="70"/>
  <c r="I19" i="70"/>
  <c r="M19" i="70"/>
  <c r="D19" i="70"/>
  <c r="P19" i="70"/>
  <c r="I20" i="70"/>
  <c r="M20" i="70"/>
  <c r="D20" i="70"/>
  <c r="P20" i="70"/>
  <c r="I21" i="70"/>
  <c r="M21" i="70"/>
  <c r="D21" i="70"/>
  <c r="P21" i="70"/>
  <c r="I22" i="70"/>
  <c r="M22" i="70"/>
  <c r="D22" i="70"/>
  <c r="P22" i="70"/>
  <c r="I23" i="70"/>
  <c r="M23" i="70"/>
  <c r="D23" i="70"/>
  <c r="P23" i="70"/>
  <c r="I24" i="70"/>
  <c r="M24" i="70"/>
  <c r="D24" i="70"/>
  <c r="P24" i="70"/>
  <c r="I25" i="70"/>
  <c r="M25" i="70"/>
  <c r="D25" i="70"/>
  <c r="P25" i="70"/>
  <c r="I26" i="70"/>
  <c r="M26" i="70"/>
  <c r="D26" i="70"/>
  <c r="P26" i="70"/>
  <c r="M27" i="70"/>
  <c r="P27" i="70"/>
  <c r="I28" i="70"/>
  <c r="M28" i="70"/>
  <c r="D28" i="70"/>
  <c r="P28" i="70"/>
  <c r="I29" i="70"/>
  <c r="M29" i="70"/>
  <c r="D29" i="70"/>
  <c r="P29" i="70"/>
  <c r="I30" i="70"/>
  <c r="M30" i="70"/>
  <c r="D30" i="70"/>
  <c r="P30" i="70"/>
  <c r="I31" i="70"/>
  <c r="M31" i="70"/>
  <c r="D31" i="70"/>
  <c r="P31" i="70"/>
  <c r="I32" i="70"/>
  <c r="M32" i="70"/>
  <c r="D32" i="70"/>
  <c r="P32" i="70"/>
  <c r="I33" i="70"/>
  <c r="M33" i="70"/>
  <c r="D33" i="70"/>
  <c r="P33" i="70"/>
  <c r="I34" i="70"/>
  <c r="M34" i="70"/>
  <c r="D34" i="70"/>
  <c r="P34" i="70"/>
  <c r="T23" i="57"/>
  <c r="C23" i="57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8" i="2"/>
  <c r="O29" i="2"/>
  <c r="O30" i="2"/>
  <c r="O31" i="2"/>
  <c r="O32" i="2"/>
  <c r="O33" i="2"/>
  <c r="O34" i="2"/>
  <c r="D23" i="57"/>
  <c r="E6" i="11"/>
  <c r="F6" i="11"/>
  <c r="H6" i="11"/>
  <c r="L6" i="11"/>
  <c r="D6" i="11"/>
  <c r="O6" i="11"/>
  <c r="E7" i="11"/>
  <c r="F7" i="11"/>
  <c r="H7" i="11"/>
  <c r="L7" i="11"/>
  <c r="D7" i="11"/>
  <c r="O7" i="11"/>
  <c r="E8" i="11"/>
  <c r="F8" i="11"/>
  <c r="H8" i="11"/>
  <c r="L8" i="11"/>
  <c r="D8" i="11"/>
  <c r="O8" i="11"/>
  <c r="E9" i="11"/>
  <c r="F9" i="11"/>
  <c r="H9" i="11"/>
  <c r="L9" i="11"/>
  <c r="D9" i="11"/>
  <c r="O9" i="11"/>
  <c r="E10" i="11"/>
  <c r="F10" i="11"/>
  <c r="H10" i="11"/>
  <c r="L10" i="11"/>
  <c r="D10" i="11"/>
  <c r="O10" i="11"/>
  <c r="E11" i="11"/>
  <c r="F11" i="11"/>
  <c r="H11" i="11"/>
  <c r="L11" i="11"/>
  <c r="D11" i="11"/>
  <c r="O11" i="11"/>
  <c r="E12" i="11"/>
  <c r="F12" i="11"/>
  <c r="H12" i="11"/>
  <c r="L12" i="11"/>
  <c r="D12" i="11"/>
  <c r="O12" i="11"/>
  <c r="E13" i="11"/>
  <c r="F13" i="11"/>
  <c r="H13" i="11"/>
  <c r="L13" i="11"/>
  <c r="D13" i="11"/>
  <c r="O13" i="11"/>
  <c r="E14" i="11"/>
  <c r="F14" i="11"/>
  <c r="H14" i="11"/>
  <c r="L14" i="11"/>
  <c r="D14" i="11"/>
  <c r="O14" i="11"/>
  <c r="E15" i="11"/>
  <c r="F15" i="11"/>
  <c r="H15" i="11"/>
  <c r="L15" i="11"/>
  <c r="D15" i="11"/>
  <c r="O15" i="11"/>
  <c r="E16" i="11"/>
  <c r="F16" i="11"/>
  <c r="H16" i="11"/>
  <c r="L16" i="11"/>
  <c r="D16" i="11"/>
  <c r="O16" i="11"/>
  <c r="E17" i="11"/>
  <c r="F17" i="11"/>
  <c r="H17" i="11"/>
  <c r="L17" i="11"/>
  <c r="D17" i="11"/>
  <c r="O17" i="11"/>
  <c r="E18" i="11"/>
  <c r="F18" i="11"/>
  <c r="H18" i="11"/>
  <c r="L18" i="11"/>
  <c r="D18" i="11"/>
  <c r="O18" i="11"/>
  <c r="E19" i="11"/>
  <c r="F19" i="11"/>
  <c r="H19" i="11"/>
  <c r="L19" i="11"/>
  <c r="D19" i="11"/>
  <c r="O19" i="11"/>
  <c r="E20" i="11"/>
  <c r="F20" i="11"/>
  <c r="H20" i="11"/>
  <c r="L20" i="11"/>
  <c r="D20" i="11"/>
  <c r="O20" i="11"/>
  <c r="E21" i="11"/>
  <c r="F21" i="11"/>
  <c r="H21" i="11"/>
  <c r="L21" i="11"/>
  <c r="D21" i="11"/>
  <c r="O21" i="11"/>
  <c r="E22" i="11"/>
  <c r="F22" i="11"/>
  <c r="H22" i="11"/>
  <c r="L22" i="11"/>
  <c r="D22" i="11"/>
  <c r="O22" i="11"/>
  <c r="D23" i="11"/>
  <c r="K23" i="11"/>
  <c r="L23" i="11"/>
  <c r="O23" i="11"/>
  <c r="E24" i="11"/>
  <c r="F24" i="11"/>
  <c r="H24" i="11"/>
  <c r="L24" i="11"/>
  <c r="D24" i="11"/>
  <c r="O24" i="11"/>
  <c r="D25" i="11"/>
  <c r="K25" i="11"/>
  <c r="L25" i="11"/>
  <c r="O25" i="11"/>
  <c r="E26" i="11"/>
  <c r="F26" i="11"/>
  <c r="H26" i="11"/>
  <c r="L26" i="11"/>
  <c r="D26" i="11"/>
  <c r="O26" i="11"/>
  <c r="E28" i="11"/>
  <c r="F28" i="11"/>
  <c r="H28" i="11"/>
  <c r="L28" i="11"/>
  <c r="D28" i="11"/>
  <c r="O28" i="11"/>
  <c r="E29" i="11"/>
  <c r="F29" i="11"/>
  <c r="H29" i="11"/>
  <c r="L29" i="11"/>
  <c r="D29" i="11"/>
  <c r="O29" i="11"/>
  <c r="E30" i="11"/>
  <c r="F30" i="11"/>
  <c r="H30" i="11"/>
  <c r="L30" i="11"/>
  <c r="D30" i="11"/>
  <c r="O30" i="11"/>
  <c r="E31" i="11"/>
  <c r="F31" i="11"/>
  <c r="H31" i="11"/>
  <c r="L31" i="11"/>
  <c r="D31" i="11"/>
  <c r="O31" i="11"/>
  <c r="E32" i="11"/>
  <c r="F32" i="11"/>
  <c r="H32" i="11"/>
  <c r="L32" i="11"/>
  <c r="D32" i="11"/>
  <c r="O32" i="11"/>
  <c r="D33" i="11"/>
  <c r="L33" i="11"/>
  <c r="O33" i="11"/>
  <c r="D34" i="11"/>
  <c r="K34" i="11"/>
  <c r="L34" i="11"/>
  <c r="O34" i="11"/>
  <c r="E23" i="57"/>
  <c r="F6" i="41"/>
  <c r="E6" i="41"/>
  <c r="G6" i="41"/>
  <c r="H6" i="41"/>
  <c r="L6" i="41"/>
  <c r="D6" i="41"/>
  <c r="O6" i="41"/>
  <c r="F7" i="41"/>
  <c r="E7" i="41"/>
  <c r="G7" i="41"/>
  <c r="H7" i="41"/>
  <c r="L7" i="41"/>
  <c r="D7" i="41"/>
  <c r="O7" i="41"/>
  <c r="F8" i="41"/>
  <c r="E8" i="41"/>
  <c r="G8" i="41"/>
  <c r="H8" i="41"/>
  <c r="L8" i="41"/>
  <c r="D8" i="41"/>
  <c r="O8" i="41"/>
  <c r="H9" i="41"/>
  <c r="L9" i="41"/>
  <c r="D9" i="41"/>
  <c r="O9" i="41"/>
  <c r="F10" i="41"/>
  <c r="E10" i="41"/>
  <c r="G10" i="41"/>
  <c r="H10" i="41"/>
  <c r="L10" i="41"/>
  <c r="D10" i="41"/>
  <c r="O10" i="41"/>
  <c r="F11" i="41"/>
  <c r="E11" i="41"/>
  <c r="G11" i="41"/>
  <c r="H11" i="41"/>
  <c r="L11" i="41"/>
  <c r="D11" i="41"/>
  <c r="O11" i="41"/>
  <c r="G12" i="41"/>
  <c r="H12" i="41"/>
  <c r="L12" i="41"/>
  <c r="O12" i="41"/>
  <c r="F13" i="41"/>
  <c r="E13" i="41"/>
  <c r="G13" i="41"/>
  <c r="H13" i="41"/>
  <c r="L13" i="41"/>
  <c r="D13" i="41"/>
  <c r="O13" i="41"/>
  <c r="F14" i="41"/>
  <c r="E14" i="41"/>
  <c r="G14" i="41"/>
  <c r="H14" i="41"/>
  <c r="L14" i="41"/>
  <c r="D14" i="41"/>
  <c r="O14" i="41"/>
  <c r="F15" i="41"/>
  <c r="E15" i="41"/>
  <c r="G15" i="41"/>
  <c r="H15" i="41"/>
  <c r="L15" i="41"/>
  <c r="D15" i="41"/>
  <c r="O15" i="41"/>
  <c r="F16" i="41"/>
  <c r="E16" i="41"/>
  <c r="G16" i="41"/>
  <c r="H16" i="41"/>
  <c r="L16" i="41"/>
  <c r="D16" i="41"/>
  <c r="O16" i="41"/>
  <c r="H17" i="41"/>
  <c r="L17" i="41"/>
  <c r="D17" i="41"/>
  <c r="O17" i="41"/>
  <c r="F18" i="41"/>
  <c r="E18" i="41"/>
  <c r="G18" i="41"/>
  <c r="H18" i="41"/>
  <c r="L18" i="41"/>
  <c r="D18" i="41"/>
  <c r="O18" i="41"/>
  <c r="F19" i="41"/>
  <c r="E19" i="41"/>
  <c r="G19" i="41"/>
  <c r="H19" i="41"/>
  <c r="L19" i="41"/>
  <c r="D19" i="41"/>
  <c r="O19" i="41"/>
  <c r="F20" i="41"/>
  <c r="E20" i="41"/>
  <c r="G20" i="41"/>
  <c r="H20" i="41"/>
  <c r="L20" i="41"/>
  <c r="D20" i="41"/>
  <c r="O20" i="41"/>
  <c r="H21" i="41"/>
  <c r="L21" i="41"/>
  <c r="D21" i="41"/>
  <c r="O21" i="41"/>
  <c r="G22" i="41"/>
  <c r="H22" i="41"/>
  <c r="L22" i="41"/>
  <c r="O22" i="41"/>
  <c r="F23" i="41"/>
  <c r="E23" i="41"/>
  <c r="G23" i="41"/>
  <c r="H23" i="41"/>
  <c r="L23" i="41"/>
  <c r="D23" i="41"/>
  <c r="O23" i="41"/>
  <c r="F24" i="41"/>
  <c r="E24" i="41"/>
  <c r="G24" i="41"/>
  <c r="H24" i="41"/>
  <c r="L24" i="41"/>
  <c r="D24" i="41"/>
  <c r="O24" i="41"/>
  <c r="F25" i="41"/>
  <c r="E25" i="41"/>
  <c r="G25" i="41"/>
  <c r="H25" i="41"/>
  <c r="L25" i="41"/>
  <c r="D25" i="41"/>
  <c r="O25" i="41"/>
  <c r="F26" i="41"/>
  <c r="E26" i="41"/>
  <c r="G26" i="41"/>
  <c r="H26" i="41"/>
  <c r="L26" i="41"/>
  <c r="D26" i="41"/>
  <c r="O26" i="41"/>
  <c r="F28" i="41"/>
  <c r="E28" i="41"/>
  <c r="G28" i="41"/>
  <c r="H28" i="41"/>
  <c r="L28" i="41"/>
  <c r="D28" i="41"/>
  <c r="O28" i="41"/>
  <c r="F29" i="41"/>
  <c r="E29" i="41"/>
  <c r="G29" i="41"/>
  <c r="H29" i="41"/>
  <c r="L29" i="41"/>
  <c r="D29" i="41"/>
  <c r="O29" i="41"/>
  <c r="F30" i="41"/>
  <c r="E30" i="41"/>
  <c r="G30" i="41"/>
  <c r="H30" i="41"/>
  <c r="L30" i="41"/>
  <c r="D30" i="41"/>
  <c r="O30" i="41"/>
  <c r="F31" i="41"/>
  <c r="E31" i="41"/>
  <c r="G31" i="41"/>
  <c r="H31" i="41"/>
  <c r="L31" i="41"/>
  <c r="D31" i="41"/>
  <c r="O31" i="41"/>
  <c r="D32" i="41"/>
  <c r="H32" i="41"/>
  <c r="L32" i="41"/>
  <c r="O32" i="41"/>
  <c r="H33" i="41"/>
  <c r="L33" i="41"/>
  <c r="O33" i="41"/>
  <c r="F34" i="41"/>
  <c r="E34" i="41"/>
  <c r="G34" i="41"/>
  <c r="H34" i="41"/>
  <c r="L34" i="41"/>
  <c r="D34" i="41"/>
  <c r="O34" i="41"/>
  <c r="F23" i="57"/>
  <c r="G6" i="13"/>
  <c r="H6" i="13"/>
  <c r="I6" i="13"/>
  <c r="J6" i="13"/>
  <c r="M6" i="13"/>
  <c r="N6" i="13"/>
  <c r="D6" i="13"/>
  <c r="E6" i="13"/>
  <c r="F6" i="13"/>
  <c r="Q6" i="13"/>
  <c r="G7" i="13"/>
  <c r="H7" i="13"/>
  <c r="I7" i="13"/>
  <c r="J7" i="13"/>
  <c r="M7" i="13"/>
  <c r="N7" i="13"/>
  <c r="D7" i="13"/>
  <c r="F7" i="13"/>
  <c r="Q7" i="13"/>
  <c r="G8" i="13"/>
  <c r="H8" i="13"/>
  <c r="I8" i="13"/>
  <c r="J8" i="13"/>
  <c r="M8" i="13"/>
  <c r="N8" i="13"/>
  <c r="D8" i="13"/>
  <c r="E8" i="13"/>
  <c r="F8" i="13"/>
  <c r="Q8" i="13"/>
  <c r="G9" i="13"/>
  <c r="H9" i="13"/>
  <c r="G9" i="41"/>
  <c r="I9" i="13"/>
  <c r="J9" i="13"/>
  <c r="M9" i="13"/>
  <c r="N9" i="13"/>
  <c r="D9" i="13"/>
  <c r="E9" i="13"/>
  <c r="F9" i="13"/>
  <c r="Q9" i="13"/>
  <c r="G10" i="13"/>
  <c r="H10" i="13"/>
  <c r="I10" i="13"/>
  <c r="J10" i="13"/>
  <c r="M10" i="13"/>
  <c r="N10" i="13"/>
  <c r="D10" i="13"/>
  <c r="F10" i="13"/>
  <c r="Q10" i="13"/>
  <c r="G11" i="13"/>
  <c r="H11" i="13"/>
  <c r="I11" i="13"/>
  <c r="J11" i="13"/>
  <c r="M11" i="13"/>
  <c r="N11" i="13"/>
  <c r="D11" i="13"/>
  <c r="E11" i="13"/>
  <c r="F11" i="13"/>
  <c r="Q11" i="13"/>
  <c r="G12" i="13"/>
  <c r="H12" i="13"/>
  <c r="I12" i="13"/>
  <c r="J12" i="13"/>
  <c r="M12" i="13"/>
  <c r="N12" i="13"/>
  <c r="D12" i="13"/>
  <c r="E12" i="13"/>
  <c r="F12" i="13"/>
  <c r="Q12" i="13"/>
  <c r="G13" i="13"/>
  <c r="H13" i="13"/>
  <c r="I13" i="13"/>
  <c r="J13" i="13"/>
  <c r="M13" i="13"/>
  <c r="N13" i="13"/>
  <c r="D13" i="13"/>
  <c r="E13" i="13"/>
  <c r="F13" i="13"/>
  <c r="Q13" i="13"/>
  <c r="G14" i="13"/>
  <c r="H14" i="13"/>
  <c r="I14" i="13"/>
  <c r="J14" i="13"/>
  <c r="M14" i="13"/>
  <c r="N14" i="13"/>
  <c r="D14" i="13"/>
  <c r="F14" i="13"/>
  <c r="Q14" i="13"/>
  <c r="G15" i="13"/>
  <c r="H15" i="13"/>
  <c r="I15" i="13"/>
  <c r="J15" i="13"/>
  <c r="M15" i="13"/>
  <c r="N15" i="13"/>
  <c r="D15" i="13"/>
  <c r="E15" i="13"/>
  <c r="F15" i="13"/>
  <c r="Q15" i="13"/>
  <c r="G16" i="13"/>
  <c r="H16" i="13"/>
  <c r="I16" i="13"/>
  <c r="J16" i="13"/>
  <c r="M16" i="13"/>
  <c r="N16" i="13"/>
  <c r="D16" i="13"/>
  <c r="F16" i="13"/>
  <c r="Q16" i="13"/>
  <c r="D17" i="13"/>
  <c r="F17" i="13"/>
  <c r="J17" i="13"/>
  <c r="N17" i="13"/>
  <c r="Q17" i="13"/>
  <c r="G18" i="13"/>
  <c r="H18" i="13"/>
  <c r="I18" i="13"/>
  <c r="J18" i="13"/>
  <c r="N18" i="13"/>
  <c r="D18" i="13"/>
  <c r="F18" i="13"/>
  <c r="Q18" i="13"/>
  <c r="G19" i="13"/>
  <c r="H19" i="13"/>
  <c r="I19" i="13"/>
  <c r="J19" i="13"/>
  <c r="N19" i="13"/>
  <c r="D19" i="13"/>
  <c r="E19" i="13"/>
  <c r="F19" i="13"/>
  <c r="Q19" i="13"/>
  <c r="G20" i="13"/>
  <c r="H20" i="13"/>
  <c r="I20" i="13"/>
  <c r="J20" i="13"/>
  <c r="N20" i="13"/>
  <c r="D20" i="13"/>
  <c r="E20" i="13"/>
  <c r="F20" i="13"/>
  <c r="Q20" i="13"/>
  <c r="D21" i="13"/>
  <c r="F21" i="13"/>
  <c r="J21" i="13"/>
  <c r="N21" i="13"/>
  <c r="Q21" i="13"/>
  <c r="G22" i="13"/>
  <c r="H22" i="13"/>
  <c r="I22" i="13"/>
  <c r="J22" i="13"/>
  <c r="N22" i="13"/>
  <c r="D22" i="13"/>
  <c r="E22" i="13"/>
  <c r="F22" i="13"/>
  <c r="Q22" i="13"/>
  <c r="G23" i="13"/>
  <c r="H23" i="13"/>
  <c r="I23" i="13"/>
  <c r="J23" i="13"/>
  <c r="N23" i="13"/>
  <c r="D23" i="13"/>
  <c r="F23" i="13"/>
  <c r="Q23" i="13"/>
  <c r="G24" i="13"/>
  <c r="H24" i="13"/>
  <c r="I24" i="13"/>
  <c r="J24" i="13"/>
  <c r="N24" i="13"/>
  <c r="D24" i="13"/>
  <c r="E24" i="13"/>
  <c r="F24" i="13"/>
  <c r="Q24" i="13"/>
  <c r="G25" i="13"/>
  <c r="H25" i="13"/>
  <c r="I25" i="13"/>
  <c r="J25" i="13"/>
  <c r="N25" i="13"/>
  <c r="D25" i="13"/>
  <c r="E25" i="13"/>
  <c r="F25" i="13"/>
  <c r="Q25" i="13"/>
  <c r="G26" i="13"/>
  <c r="H26" i="13"/>
  <c r="I26" i="13"/>
  <c r="J26" i="13"/>
  <c r="N26" i="13"/>
  <c r="D26" i="13"/>
  <c r="E26" i="13"/>
  <c r="F26" i="13"/>
  <c r="Q26" i="13"/>
  <c r="G28" i="13"/>
  <c r="H28" i="13"/>
  <c r="I28" i="13"/>
  <c r="J28" i="13"/>
  <c r="N28" i="13"/>
  <c r="D28" i="13"/>
  <c r="F28" i="13"/>
  <c r="Q28" i="13"/>
  <c r="G29" i="13"/>
  <c r="H29" i="13"/>
  <c r="I29" i="13"/>
  <c r="J29" i="13"/>
  <c r="N29" i="13"/>
  <c r="D29" i="13"/>
  <c r="F29" i="13"/>
  <c r="Q29" i="13"/>
  <c r="G30" i="13"/>
  <c r="H30" i="13"/>
  <c r="I30" i="13"/>
  <c r="J30" i="13"/>
  <c r="N30" i="13"/>
  <c r="D30" i="13"/>
  <c r="E30" i="13"/>
  <c r="F30" i="13"/>
  <c r="Q30" i="13"/>
  <c r="G31" i="13"/>
  <c r="H31" i="13"/>
  <c r="I31" i="13"/>
  <c r="J31" i="13"/>
  <c r="N31" i="13"/>
  <c r="D31" i="13"/>
  <c r="E31" i="13"/>
  <c r="F31" i="13"/>
  <c r="Q31" i="13"/>
  <c r="D32" i="13"/>
  <c r="F32" i="13"/>
  <c r="J32" i="13"/>
  <c r="N32" i="13"/>
  <c r="Q32" i="13"/>
  <c r="D33" i="13"/>
  <c r="F33" i="13"/>
  <c r="J33" i="13"/>
  <c r="N33" i="13"/>
  <c r="Q33" i="13"/>
  <c r="G34" i="13"/>
  <c r="H34" i="13"/>
  <c r="I34" i="13"/>
  <c r="J34" i="13"/>
  <c r="N34" i="13"/>
  <c r="D34" i="13"/>
  <c r="F34" i="13"/>
  <c r="Q34" i="13"/>
  <c r="G23" i="57"/>
  <c r="E6" i="14"/>
  <c r="G6" i="14"/>
  <c r="I6" i="14"/>
  <c r="M6" i="14"/>
  <c r="C30" i="5"/>
  <c r="D6" i="14"/>
  <c r="P6" i="14"/>
  <c r="E7" i="14"/>
  <c r="G7" i="14"/>
  <c r="I7" i="14"/>
  <c r="M7" i="14"/>
  <c r="D7" i="14"/>
  <c r="P7" i="14"/>
  <c r="D8" i="14"/>
  <c r="I8" i="14"/>
  <c r="M8" i="14"/>
  <c r="P8" i="14"/>
  <c r="E9" i="14"/>
  <c r="G9" i="14"/>
  <c r="I9" i="14"/>
  <c r="M9" i="14"/>
  <c r="D9" i="14"/>
  <c r="P9" i="14"/>
  <c r="E10" i="14"/>
  <c r="G10" i="14"/>
  <c r="I10" i="14"/>
  <c r="M10" i="14"/>
  <c r="D10" i="14"/>
  <c r="P10" i="14"/>
  <c r="D11" i="14"/>
  <c r="I11" i="14"/>
  <c r="M11" i="14"/>
  <c r="P11" i="14"/>
  <c r="E12" i="14"/>
  <c r="G12" i="14"/>
  <c r="I12" i="14"/>
  <c r="M12" i="14"/>
  <c r="D12" i="14"/>
  <c r="P12" i="14"/>
  <c r="E13" i="14"/>
  <c r="G13" i="14"/>
  <c r="I13" i="14"/>
  <c r="M13" i="14"/>
  <c r="D13" i="14"/>
  <c r="P13" i="14"/>
  <c r="D14" i="14"/>
  <c r="I14" i="14"/>
  <c r="M14" i="14"/>
  <c r="P14" i="14"/>
  <c r="E15" i="14"/>
  <c r="G15" i="14"/>
  <c r="I15" i="14"/>
  <c r="M15" i="14"/>
  <c r="D15" i="14"/>
  <c r="P15" i="14"/>
  <c r="E16" i="14"/>
  <c r="G16" i="14"/>
  <c r="I16" i="14"/>
  <c r="M16" i="14"/>
  <c r="D16" i="14"/>
  <c r="P16" i="14"/>
  <c r="E17" i="14"/>
  <c r="G17" i="14"/>
  <c r="I17" i="14"/>
  <c r="M17" i="14"/>
  <c r="D17" i="14"/>
  <c r="P17" i="14"/>
  <c r="E18" i="14"/>
  <c r="G18" i="14"/>
  <c r="I18" i="14"/>
  <c r="M18" i="14"/>
  <c r="D18" i="14"/>
  <c r="P18" i="14"/>
  <c r="E19" i="14"/>
  <c r="G19" i="14"/>
  <c r="I19" i="14"/>
  <c r="M19" i="14"/>
  <c r="D19" i="14"/>
  <c r="P19" i="14"/>
  <c r="E20" i="14"/>
  <c r="G20" i="14"/>
  <c r="I20" i="14"/>
  <c r="M20" i="14"/>
  <c r="D20" i="14"/>
  <c r="P20" i="14"/>
  <c r="E21" i="14"/>
  <c r="G21" i="14"/>
  <c r="I21" i="14"/>
  <c r="M21" i="14"/>
  <c r="D21" i="14"/>
  <c r="P21" i="14"/>
  <c r="E22" i="14"/>
  <c r="G22" i="14"/>
  <c r="I22" i="14"/>
  <c r="M22" i="14"/>
  <c r="D22" i="14"/>
  <c r="P22" i="14"/>
  <c r="E23" i="14"/>
  <c r="G23" i="14"/>
  <c r="I23" i="14"/>
  <c r="M23" i="14"/>
  <c r="D23" i="14"/>
  <c r="P23" i="14"/>
  <c r="D24" i="14"/>
  <c r="I24" i="14"/>
  <c r="M24" i="14"/>
  <c r="P24" i="14"/>
  <c r="D25" i="14"/>
  <c r="I25" i="14"/>
  <c r="M25" i="14"/>
  <c r="P25" i="14"/>
  <c r="D26" i="14"/>
  <c r="I26" i="14"/>
  <c r="M26" i="14"/>
  <c r="P26" i="14"/>
  <c r="E28" i="14"/>
  <c r="G28" i="14"/>
  <c r="I28" i="14"/>
  <c r="M28" i="14"/>
  <c r="D28" i="14"/>
  <c r="P28" i="14"/>
  <c r="D29" i="14"/>
  <c r="I29" i="14"/>
  <c r="M29" i="14"/>
  <c r="P29" i="14"/>
  <c r="D30" i="14"/>
  <c r="I30" i="14"/>
  <c r="M30" i="14"/>
  <c r="P30" i="14"/>
  <c r="E31" i="14"/>
  <c r="G31" i="14"/>
  <c r="I31" i="14"/>
  <c r="M31" i="14"/>
  <c r="D31" i="14"/>
  <c r="P31" i="14"/>
  <c r="E32" i="14"/>
  <c r="G32" i="14"/>
  <c r="I32" i="14"/>
  <c r="M32" i="14"/>
  <c r="D32" i="14"/>
  <c r="P32" i="14"/>
  <c r="E33" i="14"/>
  <c r="G33" i="14"/>
  <c r="I33" i="14"/>
  <c r="M33" i="14"/>
  <c r="D33" i="14"/>
  <c r="P33" i="14"/>
  <c r="I34" i="14"/>
  <c r="M34" i="14"/>
  <c r="D34" i="14"/>
  <c r="P34" i="14"/>
  <c r="H23" i="57"/>
  <c r="I6" i="15"/>
  <c r="M6" i="15"/>
  <c r="D6" i="15"/>
  <c r="P6" i="15"/>
  <c r="I7" i="15"/>
  <c r="M7" i="15"/>
  <c r="D7" i="15"/>
  <c r="P7" i="15"/>
  <c r="D8" i="15"/>
  <c r="I8" i="15"/>
  <c r="M8" i="15"/>
  <c r="P8" i="15"/>
  <c r="I9" i="15"/>
  <c r="M9" i="15"/>
  <c r="D9" i="15"/>
  <c r="P9" i="15"/>
  <c r="I10" i="15"/>
  <c r="M10" i="15"/>
  <c r="D10" i="15"/>
  <c r="P10" i="15"/>
  <c r="D11" i="15"/>
  <c r="I11" i="15"/>
  <c r="M11" i="15"/>
  <c r="P11" i="15"/>
  <c r="I12" i="15"/>
  <c r="M12" i="15"/>
  <c r="D12" i="15"/>
  <c r="P12" i="15"/>
  <c r="I13" i="15"/>
  <c r="M13" i="15"/>
  <c r="D13" i="15"/>
  <c r="P13" i="15"/>
  <c r="D14" i="15"/>
  <c r="I14" i="15"/>
  <c r="M14" i="15"/>
  <c r="P14" i="15"/>
  <c r="I15" i="15"/>
  <c r="M15" i="15"/>
  <c r="D15" i="15"/>
  <c r="P15" i="15"/>
  <c r="I16" i="15"/>
  <c r="M16" i="15"/>
  <c r="D16" i="15"/>
  <c r="P16" i="15"/>
  <c r="I17" i="15"/>
  <c r="M17" i="15"/>
  <c r="D17" i="15"/>
  <c r="P17" i="15"/>
  <c r="I18" i="15"/>
  <c r="M18" i="15"/>
  <c r="D18" i="15"/>
  <c r="P18" i="15"/>
  <c r="I19" i="15"/>
  <c r="M19" i="15"/>
  <c r="D19" i="15"/>
  <c r="P19" i="15"/>
  <c r="I20" i="15"/>
  <c r="M20" i="15"/>
  <c r="D20" i="15"/>
  <c r="P20" i="15"/>
  <c r="I21" i="15"/>
  <c r="M21" i="15"/>
  <c r="D21" i="15"/>
  <c r="P21" i="15"/>
  <c r="I22" i="15"/>
  <c r="M22" i="15"/>
  <c r="D22" i="15"/>
  <c r="P22" i="15"/>
  <c r="I23" i="15"/>
  <c r="M23" i="15"/>
  <c r="D23" i="15"/>
  <c r="P23" i="15"/>
  <c r="D24" i="15"/>
  <c r="I24" i="15"/>
  <c r="M24" i="15"/>
  <c r="P24" i="15"/>
  <c r="D25" i="15"/>
  <c r="I25" i="15"/>
  <c r="M25" i="15"/>
  <c r="P25" i="15"/>
  <c r="D26" i="15"/>
  <c r="I26" i="15"/>
  <c r="M26" i="15"/>
  <c r="P26" i="15"/>
  <c r="I28" i="15"/>
  <c r="M28" i="15"/>
  <c r="D28" i="15"/>
  <c r="P28" i="15"/>
  <c r="D29" i="15"/>
  <c r="I29" i="15"/>
  <c r="M29" i="15"/>
  <c r="P29" i="15"/>
  <c r="D30" i="15"/>
  <c r="I30" i="15"/>
  <c r="M30" i="15"/>
  <c r="P30" i="15"/>
  <c r="I31" i="15"/>
  <c r="M31" i="15"/>
  <c r="D31" i="15"/>
  <c r="P31" i="15"/>
  <c r="I32" i="15"/>
  <c r="M32" i="15"/>
  <c r="D32" i="15"/>
  <c r="P32" i="15"/>
  <c r="I33" i="15"/>
  <c r="M33" i="15"/>
  <c r="D33" i="15"/>
  <c r="P33" i="15"/>
  <c r="I34" i="15"/>
  <c r="M34" i="15"/>
  <c r="D34" i="15"/>
  <c r="P34" i="15"/>
  <c r="I23" i="57"/>
  <c r="I6" i="45"/>
  <c r="M6" i="45"/>
  <c r="D6" i="45"/>
  <c r="P6" i="45"/>
  <c r="I7" i="45"/>
  <c r="M7" i="45"/>
  <c r="D7" i="45"/>
  <c r="P7" i="45"/>
  <c r="I8" i="45"/>
  <c r="M8" i="45"/>
  <c r="D8" i="45"/>
  <c r="P8" i="45"/>
  <c r="I9" i="45"/>
  <c r="M9" i="45"/>
  <c r="D9" i="45"/>
  <c r="P9" i="45"/>
  <c r="I10" i="45"/>
  <c r="M10" i="45"/>
  <c r="D10" i="45"/>
  <c r="P10" i="45"/>
  <c r="I11" i="45"/>
  <c r="M11" i="45"/>
  <c r="D11" i="45"/>
  <c r="P11" i="45"/>
  <c r="I12" i="45"/>
  <c r="M12" i="45"/>
  <c r="D12" i="45"/>
  <c r="P12" i="45"/>
  <c r="I13" i="45"/>
  <c r="M13" i="45"/>
  <c r="D13" i="45"/>
  <c r="P13" i="45"/>
  <c r="I14" i="45"/>
  <c r="M14" i="45"/>
  <c r="D14" i="45"/>
  <c r="P14" i="45"/>
  <c r="I15" i="45"/>
  <c r="M15" i="45"/>
  <c r="D15" i="45"/>
  <c r="P15" i="45"/>
  <c r="I16" i="45"/>
  <c r="M16" i="45"/>
  <c r="D16" i="45"/>
  <c r="P16" i="45"/>
  <c r="I17" i="45"/>
  <c r="M17" i="45"/>
  <c r="D17" i="45"/>
  <c r="P17" i="45"/>
  <c r="I18" i="45"/>
  <c r="M18" i="45"/>
  <c r="D18" i="45"/>
  <c r="P18" i="45"/>
  <c r="I19" i="45"/>
  <c r="M19" i="45"/>
  <c r="D19" i="45"/>
  <c r="P19" i="45"/>
  <c r="I20" i="45"/>
  <c r="M20" i="45"/>
  <c r="D20" i="45"/>
  <c r="P20" i="45"/>
  <c r="I21" i="45"/>
  <c r="M21" i="45"/>
  <c r="D21" i="45"/>
  <c r="P21" i="45"/>
  <c r="D22" i="45"/>
  <c r="I22" i="45"/>
  <c r="M22" i="45"/>
  <c r="P22" i="45"/>
  <c r="I23" i="45"/>
  <c r="M23" i="45"/>
  <c r="D23" i="45"/>
  <c r="P23" i="45"/>
  <c r="D24" i="45"/>
  <c r="I24" i="45"/>
  <c r="M24" i="45"/>
  <c r="P24" i="45"/>
  <c r="D25" i="45"/>
  <c r="I25" i="45"/>
  <c r="M25" i="45"/>
  <c r="P25" i="45"/>
  <c r="D26" i="45"/>
  <c r="I26" i="45"/>
  <c r="M26" i="45"/>
  <c r="P26" i="45"/>
  <c r="I28" i="45"/>
  <c r="M28" i="45"/>
  <c r="D28" i="45"/>
  <c r="P28" i="45"/>
  <c r="D29" i="45"/>
  <c r="I29" i="45"/>
  <c r="M29" i="45"/>
  <c r="P29" i="45"/>
  <c r="D30" i="45"/>
  <c r="I30" i="45"/>
  <c r="M30" i="45"/>
  <c r="P30" i="45"/>
  <c r="I31" i="45"/>
  <c r="M31" i="45"/>
  <c r="D31" i="45"/>
  <c r="P31" i="45"/>
  <c r="I32" i="45"/>
  <c r="M32" i="45"/>
  <c r="D32" i="45"/>
  <c r="P32" i="45"/>
  <c r="I33" i="45"/>
  <c r="M33" i="45"/>
  <c r="D33" i="45"/>
  <c r="P33" i="45"/>
  <c r="I34" i="45"/>
  <c r="M34" i="45"/>
  <c r="D34" i="45"/>
  <c r="P34" i="45"/>
  <c r="J23" i="57"/>
  <c r="D6" i="16"/>
  <c r="E6" i="16"/>
  <c r="Q6" i="16"/>
  <c r="D7" i="16"/>
  <c r="E7" i="16"/>
  <c r="Q7" i="16"/>
  <c r="D8" i="16"/>
  <c r="E8" i="16"/>
  <c r="Q8" i="16"/>
  <c r="D9" i="16"/>
  <c r="E9" i="16"/>
  <c r="Q9" i="16"/>
  <c r="D10" i="16"/>
  <c r="E10" i="16"/>
  <c r="Q10" i="16"/>
  <c r="D11" i="16"/>
  <c r="E11" i="16"/>
  <c r="Q11" i="16"/>
  <c r="D12" i="16"/>
  <c r="E12" i="16"/>
  <c r="Q12" i="16"/>
  <c r="D13" i="16"/>
  <c r="E13" i="16"/>
  <c r="Q13" i="16"/>
  <c r="D14" i="16"/>
  <c r="E14" i="16"/>
  <c r="Q14" i="16"/>
  <c r="D15" i="16"/>
  <c r="E15" i="16"/>
  <c r="Q15" i="16"/>
  <c r="D16" i="16"/>
  <c r="E16" i="16"/>
  <c r="Q16" i="16"/>
  <c r="D17" i="16"/>
  <c r="E17" i="16"/>
  <c r="Q17" i="16"/>
  <c r="D18" i="16"/>
  <c r="E18" i="16"/>
  <c r="Q18" i="16"/>
  <c r="D19" i="16"/>
  <c r="E19" i="16"/>
  <c r="Q19" i="16"/>
  <c r="D20" i="16"/>
  <c r="E20" i="16"/>
  <c r="Q20" i="16"/>
  <c r="D21" i="16"/>
  <c r="E21" i="16"/>
  <c r="Q21" i="16"/>
  <c r="D22" i="16"/>
  <c r="E22" i="16"/>
  <c r="Q22" i="16"/>
  <c r="D23" i="16"/>
  <c r="E23" i="16"/>
  <c r="Q23" i="16"/>
  <c r="D24" i="16"/>
  <c r="E24" i="16"/>
  <c r="Q24" i="16"/>
  <c r="D25" i="16"/>
  <c r="E25" i="16"/>
  <c r="Q25" i="16"/>
  <c r="D26" i="16"/>
  <c r="E26" i="16"/>
  <c r="Q26" i="16"/>
  <c r="D28" i="16"/>
  <c r="E28" i="16"/>
  <c r="Q28" i="16"/>
  <c r="D29" i="16"/>
  <c r="E29" i="16"/>
  <c r="Q29" i="16"/>
  <c r="D30" i="16"/>
  <c r="E30" i="16"/>
  <c r="Q30" i="16"/>
  <c r="D31" i="16"/>
  <c r="E31" i="16"/>
  <c r="Q31" i="16"/>
  <c r="D32" i="16"/>
  <c r="E32" i="16"/>
  <c r="Q32" i="16"/>
  <c r="D33" i="16"/>
  <c r="E33" i="16"/>
  <c r="Q33" i="16"/>
  <c r="D34" i="16"/>
  <c r="E34" i="16"/>
  <c r="Q34" i="16"/>
  <c r="K23" i="57"/>
  <c r="H6" i="12"/>
  <c r="L6" i="12"/>
  <c r="O6" i="12"/>
  <c r="H7" i="12"/>
  <c r="L7" i="12"/>
  <c r="O7" i="12"/>
  <c r="H8" i="12"/>
  <c r="L8" i="12"/>
  <c r="O8" i="12"/>
  <c r="H9" i="12"/>
  <c r="L9" i="12"/>
  <c r="O9" i="12"/>
  <c r="H10" i="12"/>
  <c r="L10" i="12"/>
  <c r="O10" i="12"/>
  <c r="H11" i="12"/>
  <c r="L11" i="12"/>
  <c r="O11" i="12"/>
  <c r="H12" i="12"/>
  <c r="L12" i="12"/>
  <c r="O12" i="12"/>
  <c r="H13" i="12"/>
  <c r="L13" i="12"/>
  <c r="O13" i="12"/>
  <c r="H14" i="12"/>
  <c r="L14" i="12"/>
  <c r="O14" i="12"/>
  <c r="H15" i="12"/>
  <c r="L15" i="12"/>
  <c r="O15" i="12"/>
  <c r="H16" i="12"/>
  <c r="L16" i="12"/>
  <c r="O16" i="12"/>
  <c r="H17" i="12"/>
  <c r="L17" i="12"/>
  <c r="O17" i="12"/>
  <c r="H18" i="12"/>
  <c r="L18" i="12"/>
  <c r="O18" i="12"/>
  <c r="H19" i="12"/>
  <c r="L19" i="12"/>
  <c r="D19" i="12"/>
  <c r="O19" i="12"/>
  <c r="H20" i="12"/>
  <c r="L20" i="12"/>
  <c r="O20" i="12"/>
  <c r="H21" i="12"/>
  <c r="L21" i="12"/>
  <c r="O21" i="12"/>
  <c r="H22" i="12"/>
  <c r="L22" i="12"/>
  <c r="O22" i="12"/>
  <c r="H23" i="12"/>
  <c r="L23" i="12"/>
  <c r="O23" i="12"/>
  <c r="H24" i="12"/>
  <c r="L24" i="12"/>
  <c r="O24" i="12"/>
  <c r="H25" i="12"/>
  <c r="L25" i="12"/>
  <c r="O25" i="12"/>
  <c r="H26" i="12"/>
  <c r="L26" i="12"/>
  <c r="O26" i="12"/>
  <c r="H28" i="12"/>
  <c r="L28" i="12"/>
  <c r="O28" i="12"/>
  <c r="H29" i="12"/>
  <c r="L29" i="12"/>
  <c r="O29" i="12"/>
  <c r="H30" i="12"/>
  <c r="L30" i="12"/>
  <c r="D30" i="12"/>
  <c r="O30" i="12"/>
  <c r="H31" i="12"/>
  <c r="L31" i="12"/>
  <c r="O31" i="12"/>
  <c r="H32" i="12"/>
  <c r="L32" i="12"/>
  <c r="O32" i="12"/>
  <c r="H33" i="12"/>
  <c r="L33" i="12"/>
  <c r="O33" i="12"/>
  <c r="H34" i="12"/>
  <c r="L34" i="12"/>
  <c r="D34" i="12"/>
  <c r="O34" i="12"/>
  <c r="L23" i="57"/>
  <c r="H6" i="18"/>
  <c r="L6" i="18"/>
  <c r="D6" i="18"/>
  <c r="O6" i="18"/>
  <c r="H7" i="18"/>
  <c r="L7" i="18"/>
  <c r="D7" i="18"/>
  <c r="O7" i="18"/>
  <c r="H8" i="18"/>
  <c r="L8" i="18"/>
  <c r="D8" i="18"/>
  <c r="O8" i="18"/>
  <c r="H9" i="18"/>
  <c r="L9" i="18"/>
  <c r="O9" i="18"/>
  <c r="H10" i="18"/>
  <c r="L10" i="18"/>
  <c r="D10" i="18"/>
  <c r="O10" i="18"/>
  <c r="H11" i="18"/>
  <c r="L11" i="18"/>
  <c r="O11" i="18"/>
  <c r="H12" i="18"/>
  <c r="L12" i="18"/>
  <c r="D12" i="18"/>
  <c r="O12" i="18"/>
  <c r="H13" i="18"/>
  <c r="L13" i="18"/>
  <c r="O13" i="18"/>
  <c r="H14" i="18"/>
  <c r="L14" i="18"/>
  <c r="D14" i="18"/>
  <c r="O14" i="18"/>
  <c r="H15" i="18"/>
  <c r="L15" i="18"/>
  <c r="O15" i="18"/>
  <c r="H16" i="18"/>
  <c r="L16" i="18"/>
  <c r="O16" i="18"/>
  <c r="H17" i="18"/>
  <c r="L17" i="18"/>
  <c r="D17" i="18"/>
  <c r="O17" i="18"/>
  <c r="H18" i="18"/>
  <c r="L18" i="18"/>
  <c r="O18" i="18"/>
  <c r="H19" i="18"/>
  <c r="L19" i="18"/>
  <c r="D19" i="18"/>
  <c r="O19" i="18"/>
  <c r="H20" i="18"/>
  <c r="L20" i="18"/>
  <c r="D20" i="18"/>
  <c r="O20" i="18"/>
  <c r="H21" i="18"/>
  <c r="L21" i="18"/>
  <c r="D21" i="18"/>
  <c r="O21" i="18"/>
  <c r="H22" i="18"/>
  <c r="L22" i="18"/>
  <c r="D22" i="18"/>
  <c r="O22" i="18"/>
  <c r="H23" i="18"/>
  <c r="L23" i="18"/>
  <c r="D23" i="18"/>
  <c r="O23" i="18"/>
  <c r="H24" i="18"/>
  <c r="L24" i="18"/>
  <c r="D24" i="18"/>
  <c r="O24" i="18"/>
  <c r="H25" i="18"/>
  <c r="L25" i="18"/>
  <c r="D25" i="18"/>
  <c r="O25" i="18"/>
  <c r="H26" i="18"/>
  <c r="L26" i="18"/>
  <c r="D26" i="18"/>
  <c r="O26" i="18"/>
  <c r="H28" i="18"/>
  <c r="L28" i="18"/>
  <c r="D28" i="18"/>
  <c r="O28" i="18"/>
  <c r="H29" i="18"/>
  <c r="L29" i="18"/>
  <c r="O29" i="18"/>
  <c r="H30" i="18"/>
  <c r="L30" i="18"/>
  <c r="D30" i="18"/>
  <c r="O30" i="18"/>
  <c r="H31" i="18"/>
  <c r="L31" i="18"/>
  <c r="D31" i="18"/>
  <c r="O31" i="18"/>
  <c r="H32" i="18"/>
  <c r="L32" i="18"/>
  <c r="O32" i="18"/>
  <c r="H33" i="18"/>
  <c r="L33" i="18"/>
  <c r="D33" i="18"/>
  <c r="O33" i="18"/>
  <c r="H34" i="18"/>
  <c r="L34" i="18"/>
  <c r="D34" i="18"/>
  <c r="O34" i="18"/>
  <c r="M23" i="57"/>
  <c r="H6" i="58"/>
  <c r="L6" i="58"/>
  <c r="D6" i="58"/>
  <c r="O6" i="58"/>
  <c r="H7" i="58"/>
  <c r="L7" i="58"/>
  <c r="D7" i="58"/>
  <c r="O7" i="58"/>
  <c r="H8" i="58"/>
  <c r="L8" i="58"/>
  <c r="D8" i="58"/>
  <c r="O8" i="58"/>
  <c r="H9" i="58"/>
  <c r="L9" i="58"/>
  <c r="D9" i="58"/>
  <c r="O9" i="58"/>
  <c r="H10" i="58"/>
  <c r="L10" i="58"/>
  <c r="D10" i="58"/>
  <c r="O10" i="58"/>
  <c r="H11" i="58"/>
  <c r="L11" i="58"/>
  <c r="D11" i="58"/>
  <c r="O11" i="58"/>
  <c r="H12" i="58"/>
  <c r="L12" i="58"/>
  <c r="D12" i="58"/>
  <c r="O12" i="58"/>
  <c r="H13" i="58"/>
  <c r="L13" i="58"/>
  <c r="D13" i="58"/>
  <c r="O13" i="58"/>
  <c r="H14" i="58"/>
  <c r="L14" i="58"/>
  <c r="D14" i="58"/>
  <c r="O14" i="58"/>
  <c r="H15" i="58"/>
  <c r="L15" i="58"/>
  <c r="D15" i="58"/>
  <c r="O15" i="58"/>
  <c r="H16" i="58"/>
  <c r="L16" i="58"/>
  <c r="D16" i="58"/>
  <c r="O16" i="58"/>
  <c r="H17" i="58"/>
  <c r="L17" i="58"/>
  <c r="D17" i="58"/>
  <c r="O17" i="58"/>
  <c r="H18" i="58"/>
  <c r="L18" i="58"/>
  <c r="D18" i="58"/>
  <c r="O18" i="58"/>
  <c r="H19" i="58"/>
  <c r="L19" i="58"/>
  <c r="D19" i="58"/>
  <c r="O19" i="58"/>
  <c r="H20" i="58"/>
  <c r="L20" i="58"/>
  <c r="D20" i="58"/>
  <c r="O20" i="58"/>
  <c r="H21" i="58"/>
  <c r="L21" i="58"/>
  <c r="D21" i="58"/>
  <c r="O21" i="58"/>
  <c r="H22" i="58"/>
  <c r="L22" i="58"/>
  <c r="D22" i="58"/>
  <c r="O22" i="58"/>
  <c r="H23" i="58"/>
  <c r="L23" i="58"/>
  <c r="D23" i="58"/>
  <c r="O23" i="58"/>
  <c r="H24" i="58"/>
  <c r="L24" i="58"/>
  <c r="D24" i="58"/>
  <c r="O24" i="58"/>
  <c r="H25" i="58"/>
  <c r="L25" i="58"/>
  <c r="D25" i="58"/>
  <c r="O25" i="58"/>
  <c r="H26" i="58"/>
  <c r="L26" i="58"/>
  <c r="D26" i="58"/>
  <c r="O26" i="58"/>
  <c r="H28" i="58"/>
  <c r="L28" i="58"/>
  <c r="D28" i="58"/>
  <c r="O28" i="58"/>
  <c r="H29" i="58"/>
  <c r="L29" i="58"/>
  <c r="D29" i="58"/>
  <c r="O29" i="58"/>
  <c r="H30" i="58"/>
  <c r="L30" i="58"/>
  <c r="D30" i="58"/>
  <c r="O30" i="58"/>
  <c r="F31" i="58"/>
  <c r="E31" i="58"/>
  <c r="H31" i="58"/>
  <c r="L31" i="58"/>
  <c r="D31" i="58"/>
  <c r="O31" i="58"/>
  <c r="H32" i="58"/>
  <c r="L32" i="58"/>
  <c r="D32" i="58"/>
  <c r="O32" i="58"/>
  <c r="H33" i="58"/>
  <c r="L33" i="58"/>
  <c r="D33" i="58"/>
  <c r="O33" i="58"/>
  <c r="H34" i="58"/>
  <c r="L34" i="58"/>
  <c r="D34" i="58"/>
  <c r="O34" i="58"/>
  <c r="N23" i="57"/>
  <c r="G6" i="21"/>
  <c r="E6" i="21"/>
  <c r="I6" i="21"/>
  <c r="M6" i="21"/>
  <c r="P6" i="21"/>
  <c r="G7" i="21"/>
  <c r="E7" i="21"/>
  <c r="I7" i="21"/>
  <c r="M7" i="21"/>
  <c r="D7" i="21"/>
  <c r="P7" i="21"/>
  <c r="G8" i="21"/>
  <c r="E8" i="21"/>
  <c r="I8" i="21"/>
  <c r="M8" i="21"/>
  <c r="D8" i="21"/>
  <c r="P8" i="21"/>
  <c r="G9" i="21"/>
  <c r="E9" i="21"/>
  <c r="I9" i="21"/>
  <c r="M9" i="21"/>
  <c r="D9" i="21"/>
  <c r="P9" i="21"/>
  <c r="G10" i="21"/>
  <c r="E10" i="21"/>
  <c r="I10" i="21"/>
  <c r="M10" i="21"/>
  <c r="D10" i="21"/>
  <c r="P10" i="21"/>
  <c r="G11" i="21"/>
  <c r="E11" i="21"/>
  <c r="I11" i="21"/>
  <c r="M11" i="21"/>
  <c r="D11" i="21"/>
  <c r="P11" i="21"/>
  <c r="G12" i="21"/>
  <c r="E12" i="21"/>
  <c r="I12" i="21"/>
  <c r="M12" i="21"/>
  <c r="D12" i="21"/>
  <c r="P12" i="21"/>
  <c r="G13" i="21"/>
  <c r="E13" i="21"/>
  <c r="I13" i="21"/>
  <c r="M13" i="21"/>
  <c r="D13" i="21"/>
  <c r="P13" i="21"/>
  <c r="G14" i="21"/>
  <c r="E14" i="21"/>
  <c r="I14" i="21"/>
  <c r="M14" i="21"/>
  <c r="D14" i="21"/>
  <c r="P14" i="21"/>
  <c r="G71" i="5"/>
  <c r="H15" i="21"/>
  <c r="E15" i="21"/>
  <c r="I15" i="21"/>
  <c r="M15" i="21"/>
  <c r="D15" i="21"/>
  <c r="P15" i="21"/>
  <c r="G16" i="21"/>
  <c r="E16" i="21"/>
  <c r="I16" i="21"/>
  <c r="M16" i="21"/>
  <c r="D16" i="21"/>
  <c r="P16" i="21"/>
  <c r="G17" i="21"/>
  <c r="E17" i="21"/>
  <c r="I17" i="21"/>
  <c r="M17" i="21"/>
  <c r="D17" i="21"/>
  <c r="P17" i="21"/>
  <c r="G18" i="21"/>
  <c r="E18" i="21"/>
  <c r="I18" i="21"/>
  <c r="M18" i="21"/>
  <c r="D18" i="21"/>
  <c r="P18" i="21"/>
  <c r="G19" i="21"/>
  <c r="E19" i="21"/>
  <c r="I19" i="21"/>
  <c r="M19" i="21"/>
  <c r="D19" i="21"/>
  <c r="P19" i="21"/>
  <c r="G20" i="21"/>
  <c r="E20" i="21"/>
  <c r="I20" i="21"/>
  <c r="M20" i="21"/>
  <c r="D20" i="21"/>
  <c r="P20" i="21"/>
  <c r="G21" i="21"/>
  <c r="E21" i="21"/>
  <c r="I21" i="21"/>
  <c r="M21" i="21"/>
  <c r="D21" i="21"/>
  <c r="P21" i="21"/>
  <c r="G22" i="21"/>
  <c r="E22" i="21"/>
  <c r="I22" i="21"/>
  <c r="M22" i="21"/>
  <c r="D22" i="21"/>
  <c r="P22" i="21"/>
  <c r="G23" i="21"/>
  <c r="E23" i="21"/>
  <c r="I23" i="21"/>
  <c r="M23" i="21"/>
  <c r="D23" i="21"/>
  <c r="P23" i="21"/>
  <c r="I24" i="21"/>
  <c r="M24" i="21"/>
  <c r="D24" i="21"/>
  <c r="P24" i="21"/>
  <c r="G25" i="21"/>
  <c r="E25" i="21"/>
  <c r="I25" i="21"/>
  <c r="M25" i="21"/>
  <c r="D25" i="21"/>
  <c r="P25" i="21"/>
  <c r="G26" i="21"/>
  <c r="E26" i="21"/>
  <c r="I26" i="21"/>
  <c r="M26" i="21"/>
  <c r="D26" i="21"/>
  <c r="P26" i="21"/>
  <c r="H28" i="21"/>
  <c r="G28" i="21"/>
  <c r="E28" i="21"/>
  <c r="I28" i="21"/>
  <c r="L28" i="21"/>
  <c r="M28" i="21"/>
  <c r="D28" i="21"/>
  <c r="P28" i="21"/>
  <c r="I29" i="21"/>
  <c r="L29" i="21"/>
  <c r="M29" i="21"/>
  <c r="D29" i="21"/>
  <c r="P29" i="21"/>
  <c r="G30" i="21"/>
  <c r="E30" i="21"/>
  <c r="I30" i="21"/>
  <c r="L30" i="21"/>
  <c r="M30" i="21"/>
  <c r="D30" i="21"/>
  <c r="P30" i="21"/>
  <c r="G31" i="21"/>
  <c r="E31" i="21"/>
  <c r="I31" i="21"/>
  <c r="L31" i="21"/>
  <c r="M31" i="21"/>
  <c r="D31" i="21"/>
  <c r="P31" i="21"/>
  <c r="I32" i="21"/>
  <c r="L32" i="21"/>
  <c r="M32" i="21"/>
  <c r="D32" i="21"/>
  <c r="P32" i="21"/>
  <c r="E33" i="21"/>
  <c r="C47" i="5"/>
  <c r="I33" i="21"/>
  <c r="L33" i="21"/>
  <c r="M33" i="21"/>
  <c r="D33" i="21"/>
  <c r="P33" i="21"/>
  <c r="G34" i="21"/>
  <c r="E34" i="21"/>
  <c r="I34" i="21"/>
  <c r="L34" i="21"/>
  <c r="M34" i="21"/>
  <c r="D34" i="21"/>
  <c r="P34" i="21"/>
  <c r="U23" i="57"/>
  <c r="G6" i="7"/>
  <c r="E6" i="7"/>
  <c r="I6" i="7"/>
  <c r="M6" i="7"/>
  <c r="D6" i="7"/>
  <c r="P6" i="7"/>
  <c r="G7" i="7"/>
  <c r="E7" i="7"/>
  <c r="I7" i="7"/>
  <c r="M7" i="7"/>
  <c r="D7" i="7"/>
  <c r="P7" i="7"/>
  <c r="G8" i="7"/>
  <c r="E8" i="7"/>
  <c r="I8" i="7"/>
  <c r="M8" i="7"/>
  <c r="D8" i="7"/>
  <c r="P8" i="7"/>
  <c r="G9" i="7"/>
  <c r="E9" i="7"/>
  <c r="I9" i="7"/>
  <c r="M9" i="7"/>
  <c r="D9" i="7"/>
  <c r="P9" i="7"/>
  <c r="G10" i="7"/>
  <c r="E10" i="7"/>
  <c r="I10" i="7"/>
  <c r="M10" i="7"/>
  <c r="D10" i="7"/>
  <c r="P10" i="7"/>
  <c r="G11" i="7"/>
  <c r="E11" i="7"/>
  <c r="I11" i="7"/>
  <c r="M11" i="7"/>
  <c r="D11" i="7"/>
  <c r="P11" i="7"/>
  <c r="G12" i="7"/>
  <c r="E12" i="7"/>
  <c r="I12" i="7"/>
  <c r="M12" i="7"/>
  <c r="D12" i="7"/>
  <c r="P12" i="7"/>
  <c r="G13" i="7"/>
  <c r="E13" i="7"/>
  <c r="I13" i="7"/>
  <c r="M13" i="7"/>
  <c r="D13" i="7"/>
  <c r="P13" i="7"/>
  <c r="G14" i="7"/>
  <c r="E14" i="7"/>
  <c r="I14" i="7"/>
  <c r="M14" i="7"/>
  <c r="D14" i="7"/>
  <c r="P14" i="7"/>
  <c r="H15" i="7"/>
  <c r="E15" i="7"/>
  <c r="I15" i="7"/>
  <c r="M15" i="7"/>
  <c r="D15" i="7"/>
  <c r="P15" i="7"/>
  <c r="G16" i="7"/>
  <c r="E16" i="7"/>
  <c r="I16" i="7"/>
  <c r="M16" i="7"/>
  <c r="D16" i="7"/>
  <c r="P16" i="7"/>
  <c r="G17" i="7"/>
  <c r="E17" i="7"/>
  <c r="I17" i="7"/>
  <c r="M17" i="7"/>
  <c r="D17" i="7"/>
  <c r="P17" i="7"/>
  <c r="G18" i="7"/>
  <c r="E18" i="7"/>
  <c r="I18" i="7"/>
  <c r="M18" i="7"/>
  <c r="D18" i="7"/>
  <c r="P18" i="7"/>
  <c r="G19" i="7"/>
  <c r="E19" i="7"/>
  <c r="I19" i="7"/>
  <c r="M19" i="7"/>
  <c r="D19" i="7"/>
  <c r="P19" i="7"/>
  <c r="G20" i="7"/>
  <c r="E20" i="7"/>
  <c r="I20" i="7"/>
  <c r="M20" i="7"/>
  <c r="D20" i="7"/>
  <c r="P20" i="7"/>
  <c r="G21" i="7"/>
  <c r="E21" i="7"/>
  <c r="I21" i="7"/>
  <c r="M21" i="7"/>
  <c r="D21" i="7"/>
  <c r="P21" i="7"/>
  <c r="G22" i="7"/>
  <c r="E22" i="7"/>
  <c r="I22" i="7"/>
  <c r="M22" i="7"/>
  <c r="D22" i="7"/>
  <c r="P22" i="7"/>
  <c r="G23" i="7"/>
  <c r="E23" i="7"/>
  <c r="I23" i="7"/>
  <c r="M23" i="7"/>
  <c r="D23" i="7"/>
  <c r="P23" i="7"/>
  <c r="I24" i="7"/>
  <c r="M24" i="7"/>
  <c r="D24" i="7"/>
  <c r="P24" i="7"/>
  <c r="G25" i="7"/>
  <c r="E25" i="7"/>
  <c r="I25" i="7"/>
  <c r="M25" i="7"/>
  <c r="D25" i="7"/>
  <c r="P25" i="7"/>
  <c r="G26" i="7"/>
  <c r="E26" i="7"/>
  <c r="I26" i="7"/>
  <c r="M26" i="7"/>
  <c r="D26" i="7"/>
  <c r="P26" i="7"/>
  <c r="M27" i="7"/>
  <c r="P27" i="7"/>
  <c r="H28" i="7"/>
  <c r="G28" i="7"/>
  <c r="E28" i="7"/>
  <c r="I28" i="7"/>
  <c r="L28" i="7"/>
  <c r="M28" i="7"/>
  <c r="D28" i="7"/>
  <c r="P28" i="7"/>
  <c r="I29" i="7"/>
  <c r="L29" i="7"/>
  <c r="M29" i="7"/>
  <c r="D29" i="7"/>
  <c r="P29" i="7"/>
  <c r="G30" i="7"/>
  <c r="E30" i="7"/>
  <c r="I30" i="7"/>
  <c r="L30" i="7"/>
  <c r="M30" i="7"/>
  <c r="D30" i="7"/>
  <c r="P30" i="7"/>
  <c r="G31" i="7"/>
  <c r="E31" i="7"/>
  <c r="I31" i="7"/>
  <c r="L31" i="7"/>
  <c r="M31" i="7"/>
  <c r="D31" i="7"/>
  <c r="P31" i="7"/>
  <c r="I32" i="7"/>
  <c r="L32" i="7"/>
  <c r="M32" i="7"/>
  <c r="D32" i="7"/>
  <c r="P32" i="7"/>
  <c r="E33" i="7"/>
  <c r="I33" i="7"/>
  <c r="L33" i="7"/>
  <c r="M33" i="7"/>
  <c r="D33" i="7"/>
  <c r="P33" i="7"/>
  <c r="G34" i="7"/>
  <c r="E34" i="7"/>
  <c r="I34" i="7"/>
  <c r="L34" i="7"/>
  <c r="M34" i="7"/>
  <c r="D34" i="7"/>
  <c r="P34" i="7"/>
  <c r="V23" i="57"/>
  <c r="W6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8" i="23"/>
  <c r="W29" i="23"/>
  <c r="W30" i="23"/>
  <c r="W31" i="23"/>
  <c r="W32" i="23"/>
  <c r="W33" i="23"/>
  <c r="W34" i="23"/>
  <c r="X23" i="57"/>
  <c r="W6" i="51"/>
  <c r="W7" i="51"/>
  <c r="W8" i="51"/>
  <c r="W9" i="51"/>
  <c r="W10" i="51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24" i="51"/>
  <c r="W25" i="51"/>
  <c r="W26" i="51"/>
  <c r="W28" i="51"/>
  <c r="W29" i="51"/>
  <c r="W30" i="51"/>
  <c r="W31" i="51"/>
  <c r="W32" i="51"/>
  <c r="W33" i="51"/>
  <c r="W34" i="51"/>
  <c r="Y23" i="57"/>
  <c r="W6" i="24"/>
  <c r="W7" i="24"/>
  <c r="W8" i="24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8" i="24"/>
  <c r="W29" i="24"/>
  <c r="W30" i="24"/>
  <c r="W31" i="24"/>
  <c r="W32" i="24"/>
  <c r="W33" i="24"/>
  <c r="W34" i="24"/>
  <c r="Z23" i="57"/>
  <c r="B23" i="57"/>
  <c r="C16" i="57"/>
  <c r="D16" i="57"/>
  <c r="E16" i="57"/>
  <c r="F16" i="57"/>
  <c r="G16" i="57"/>
  <c r="H16" i="57"/>
  <c r="I16" i="57"/>
  <c r="J16" i="57"/>
  <c r="K16" i="57"/>
  <c r="Z6" i="12"/>
  <c r="AB6" i="12"/>
  <c r="Z7" i="12"/>
  <c r="AB7" i="12"/>
  <c r="Z8" i="12"/>
  <c r="AB8" i="12"/>
  <c r="Z9" i="12"/>
  <c r="AB9" i="12"/>
  <c r="Z10" i="12"/>
  <c r="AB10" i="12"/>
  <c r="Z11" i="12"/>
  <c r="AB11" i="12"/>
  <c r="Z12" i="12"/>
  <c r="AB12" i="12"/>
  <c r="Z13" i="12"/>
  <c r="AB13" i="12"/>
  <c r="Z14" i="12"/>
  <c r="AB14" i="12"/>
  <c r="Z15" i="12"/>
  <c r="AB15" i="12"/>
  <c r="Z16" i="12"/>
  <c r="AB16" i="12"/>
  <c r="Z17" i="12"/>
  <c r="AB17" i="12"/>
  <c r="Z18" i="12"/>
  <c r="AB18" i="12"/>
  <c r="Z19" i="12"/>
  <c r="AB19" i="12"/>
  <c r="Z20" i="12"/>
  <c r="AB20" i="12"/>
  <c r="Z21" i="12"/>
  <c r="AB21" i="12"/>
  <c r="Z22" i="12"/>
  <c r="AB22" i="12"/>
  <c r="Z23" i="12"/>
  <c r="AB23" i="12"/>
  <c r="Z24" i="12"/>
  <c r="AB24" i="12"/>
  <c r="Z25" i="12"/>
  <c r="AB25" i="12"/>
  <c r="Z26" i="12"/>
  <c r="AB26" i="12"/>
  <c r="Z30" i="12"/>
  <c r="AB30" i="12"/>
  <c r="Z31" i="12"/>
  <c r="AB31" i="12"/>
  <c r="Z32" i="12"/>
  <c r="AB32" i="12"/>
  <c r="Z33" i="12"/>
  <c r="AB33" i="12"/>
  <c r="Z34" i="12"/>
  <c r="AB34" i="12"/>
  <c r="L16" i="57"/>
  <c r="M16" i="57"/>
  <c r="N16" i="57"/>
  <c r="D6" i="42"/>
  <c r="E6" i="42"/>
  <c r="D7" i="42"/>
  <c r="E7" i="42"/>
  <c r="D8" i="42"/>
  <c r="E8" i="42"/>
  <c r="D9" i="42"/>
  <c r="E9" i="42"/>
  <c r="D10" i="42"/>
  <c r="E10" i="42"/>
  <c r="D11" i="42"/>
  <c r="E11" i="42"/>
  <c r="D12" i="42"/>
  <c r="E12" i="42"/>
  <c r="D13" i="42"/>
  <c r="E13" i="42"/>
  <c r="D14" i="42"/>
  <c r="E14" i="42"/>
  <c r="D15" i="42"/>
  <c r="E15" i="42"/>
  <c r="D16" i="42"/>
  <c r="E16" i="42"/>
  <c r="D17" i="42"/>
  <c r="E17" i="42"/>
  <c r="D18" i="42"/>
  <c r="E18" i="42"/>
  <c r="D19" i="42"/>
  <c r="E19" i="42"/>
  <c r="D20" i="42"/>
  <c r="E20" i="42"/>
  <c r="D21" i="42"/>
  <c r="E21" i="42"/>
  <c r="D22" i="42"/>
  <c r="E22" i="42"/>
  <c r="D23" i="42"/>
  <c r="E23" i="42"/>
  <c r="D24" i="42"/>
  <c r="E24" i="42"/>
  <c r="D25" i="42"/>
  <c r="E25" i="42"/>
  <c r="D26" i="42"/>
  <c r="E26" i="42"/>
  <c r="D28" i="42"/>
  <c r="E28" i="42"/>
  <c r="D29" i="42"/>
  <c r="E29" i="42"/>
  <c r="D30" i="42"/>
  <c r="E30" i="42"/>
  <c r="D31" i="42"/>
  <c r="E31" i="42"/>
  <c r="D32" i="42"/>
  <c r="E32" i="42"/>
  <c r="D33" i="42"/>
  <c r="E33" i="42"/>
  <c r="D34" i="42"/>
  <c r="E34" i="42"/>
  <c r="O16" i="57"/>
  <c r="C41" i="5"/>
  <c r="F6" i="19"/>
  <c r="E7" i="19"/>
  <c r="F7" i="19"/>
  <c r="E8" i="19"/>
  <c r="F8" i="19"/>
  <c r="E9" i="19"/>
  <c r="F9" i="19"/>
  <c r="E10" i="19"/>
  <c r="F10" i="19"/>
  <c r="E11" i="19"/>
  <c r="F11" i="19"/>
  <c r="E12" i="19"/>
  <c r="F12" i="19"/>
  <c r="E13" i="19"/>
  <c r="F13" i="19"/>
  <c r="F14" i="19"/>
  <c r="E15" i="19"/>
  <c r="F15" i="19"/>
  <c r="F16" i="19"/>
  <c r="E17" i="19"/>
  <c r="F17" i="19"/>
  <c r="F18" i="19"/>
  <c r="E19" i="19"/>
  <c r="F19" i="19"/>
  <c r="E20" i="19"/>
  <c r="F20" i="19"/>
  <c r="E21" i="19"/>
  <c r="F21" i="19"/>
  <c r="F22" i="19"/>
  <c r="F23" i="19"/>
  <c r="E24" i="19"/>
  <c r="F24" i="19"/>
  <c r="E25" i="19"/>
  <c r="F25" i="19"/>
  <c r="E26" i="19"/>
  <c r="F26" i="19"/>
  <c r="E28" i="19"/>
  <c r="F28" i="19"/>
  <c r="F29" i="19"/>
  <c r="F30" i="19"/>
  <c r="E31" i="19"/>
  <c r="F31" i="19"/>
  <c r="E32" i="19"/>
  <c r="F32" i="19"/>
  <c r="F33" i="19"/>
  <c r="F34" i="19"/>
  <c r="P16" i="57"/>
  <c r="Q16" i="57"/>
  <c r="C81" i="5"/>
  <c r="C83" i="5"/>
  <c r="C84" i="5"/>
  <c r="C85" i="5"/>
  <c r="D6" i="10"/>
  <c r="J6" i="10"/>
  <c r="N6" i="10"/>
  <c r="Q6" i="10"/>
  <c r="L7" i="10"/>
  <c r="N7" i="10"/>
  <c r="Q7" i="10"/>
  <c r="N8" i="10"/>
  <c r="Q8" i="10"/>
  <c r="H9" i="10"/>
  <c r="I9" i="10"/>
  <c r="J9" i="10"/>
  <c r="L9" i="10"/>
  <c r="N9" i="10"/>
  <c r="Q9" i="10"/>
  <c r="J10" i="10"/>
  <c r="N10" i="10"/>
  <c r="Q10" i="10"/>
  <c r="L11" i="10"/>
  <c r="N11" i="10"/>
  <c r="Q11" i="10"/>
  <c r="J12" i="10"/>
  <c r="N12" i="10"/>
  <c r="Q12" i="10"/>
  <c r="J13" i="10"/>
  <c r="N13" i="10"/>
  <c r="Q13" i="10"/>
  <c r="L14" i="10"/>
  <c r="N14" i="10"/>
  <c r="Q14" i="10"/>
  <c r="J15" i="10"/>
  <c r="N15" i="10"/>
  <c r="Q15" i="10"/>
  <c r="N16" i="10"/>
  <c r="Q16" i="10"/>
  <c r="K17" i="10"/>
  <c r="L17" i="10"/>
  <c r="N17" i="10"/>
  <c r="Q17" i="10"/>
  <c r="J18" i="10"/>
  <c r="N18" i="10"/>
  <c r="Q18" i="10"/>
  <c r="J19" i="10"/>
  <c r="N19" i="10"/>
  <c r="Q19" i="10"/>
  <c r="I20" i="10"/>
  <c r="J20" i="10"/>
  <c r="L20" i="10"/>
  <c r="N20" i="10"/>
  <c r="Q20" i="10"/>
  <c r="N21" i="10"/>
  <c r="Q21" i="10"/>
  <c r="N22" i="10"/>
  <c r="Q22" i="10"/>
  <c r="N23" i="10"/>
  <c r="Q23" i="10"/>
  <c r="J24" i="10"/>
  <c r="L24" i="10"/>
  <c r="N24" i="10"/>
  <c r="Q24" i="10"/>
  <c r="N25" i="10"/>
  <c r="Q25" i="10"/>
  <c r="J26" i="10"/>
  <c r="N26" i="10"/>
  <c r="Q26" i="10"/>
  <c r="Q27" i="10"/>
  <c r="N28" i="10"/>
  <c r="Q28" i="10"/>
  <c r="N29" i="10"/>
  <c r="Q29" i="10"/>
  <c r="N30" i="10"/>
  <c r="Q30" i="10"/>
  <c r="N31" i="10"/>
  <c r="Q31" i="10"/>
  <c r="H32" i="10"/>
  <c r="J32" i="10"/>
  <c r="N32" i="10"/>
  <c r="Q32" i="10"/>
  <c r="K33" i="10"/>
  <c r="L33" i="10"/>
  <c r="N33" i="10"/>
  <c r="Q33" i="10"/>
  <c r="N34" i="10"/>
  <c r="Q34" i="10"/>
  <c r="S16" i="57"/>
  <c r="T16" i="57"/>
  <c r="U16" i="57"/>
  <c r="V16" i="57"/>
  <c r="G6" i="22"/>
  <c r="H6" i="22"/>
  <c r="D6" i="22"/>
  <c r="E6" i="22"/>
  <c r="F6" i="22"/>
  <c r="I6" i="22"/>
  <c r="G7" i="22"/>
  <c r="H7" i="22"/>
  <c r="D7" i="22"/>
  <c r="E7" i="22"/>
  <c r="F7" i="22"/>
  <c r="I7" i="22"/>
  <c r="G8" i="22"/>
  <c r="H8" i="22"/>
  <c r="D8" i="22"/>
  <c r="E8" i="22"/>
  <c r="F8" i="22"/>
  <c r="I8" i="22"/>
  <c r="G9" i="22"/>
  <c r="H9" i="22"/>
  <c r="D9" i="22"/>
  <c r="E9" i="22"/>
  <c r="F9" i="22"/>
  <c r="I9" i="22"/>
  <c r="H10" i="22"/>
  <c r="D10" i="22"/>
  <c r="E10" i="22"/>
  <c r="F10" i="22"/>
  <c r="I10" i="22"/>
  <c r="G11" i="22"/>
  <c r="H11" i="22"/>
  <c r="D11" i="22"/>
  <c r="E11" i="22"/>
  <c r="F11" i="22"/>
  <c r="I11" i="22"/>
  <c r="G12" i="22"/>
  <c r="H12" i="22"/>
  <c r="D12" i="22"/>
  <c r="E12" i="22"/>
  <c r="F12" i="22"/>
  <c r="I12" i="22"/>
  <c r="G13" i="22"/>
  <c r="H13" i="22"/>
  <c r="D13" i="22"/>
  <c r="C13" i="22"/>
  <c r="E13" i="22"/>
  <c r="F13" i="22"/>
  <c r="I13" i="22"/>
  <c r="G14" i="22"/>
  <c r="H14" i="22"/>
  <c r="D14" i="22"/>
  <c r="E14" i="22"/>
  <c r="F14" i="22"/>
  <c r="I14" i="22"/>
  <c r="G15" i="22"/>
  <c r="H15" i="22"/>
  <c r="D15" i="22"/>
  <c r="E15" i="22"/>
  <c r="F15" i="22"/>
  <c r="I15" i="22"/>
  <c r="G16" i="22"/>
  <c r="H16" i="22"/>
  <c r="D16" i="22"/>
  <c r="E16" i="22"/>
  <c r="F16" i="22"/>
  <c r="I16" i="22"/>
  <c r="G17" i="22"/>
  <c r="H17" i="22"/>
  <c r="D17" i="22"/>
  <c r="E17" i="22"/>
  <c r="F17" i="22"/>
  <c r="I17" i="22"/>
  <c r="G18" i="22"/>
  <c r="H18" i="22"/>
  <c r="D18" i="22"/>
  <c r="E18" i="22"/>
  <c r="F18" i="22"/>
  <c r="I18" i="22"/>
  <c r="G19" i="22"/>
  <c r="H19" i="22"/>
  <c r="D19" i="22"/>
  <c r="E19" i="22"/>
  <c r="F19" i="22"/>
  <c r="I19" i="22"/>
  <c r="H20" i="22"/>
  <c r="D20" i="22"/>
  <c r="E20" i="22"/>
  <c r="F20" i="22"/>
  <c r="I20" i="22"/>
  <c r="G21" i="22"/>
  <c r="H21" i="22"/>
  <c r="D21" i="22"/>
  <c r="E21" i="22"/>
  <c r="F21" i="22"/>
  <c r="I21" i="22"/>
  <c r="G22" i="22"/>
  <c r="H22" i="22"/>
  <c r="D22" i="22"/>
  <c r="E22" i="22"/>
  <c r="F22" i="22"/>
  <c r="I22" i="22"/>
  <c r="G23" i="22"/>
  <c r="H23" i="22"/>
  <c r="D23" i="22"/>
  <c r="E23" i="22"/>
  <c r="F23" i="22"/>
  <c r="I23" i="22"/>
  <c r="G24" i="22"/>
  <c r="H24" i="22"/>
  <c r="D24" i="22"/>
  <c r="E24" i="22"/>
  <c r="F24" i="22"/>
  <c r="I24" i="22"/>
  <c r="H25" i="22"/>
  <c r="D25" i="22"/>
  <c r="E25" i="22"/>
  <c r="F25" i="22"/>
  <c r="I25" i="22"/>
  <c r="G26" i="22"/>
  <c r="H26" i="22"/>
  <c r="D26" i="22"/>
  <c r="E26" i="22"/>
  <c r="F26" i="22"/>
  <c r="I26" i="22"/>
  <c r="G28" i="22"/>
  <c r="H28" i="22"/>
  <c r="D28" i="22"/>
  <c r="E28" i="22"/>
  <c r="F28" i="22"/>
  <c r="I28" i="22"/>
  <c r="H29" i="22"/>
  <c r="D29" i="22"/>
  <c r="E29" i="22"/>
  <c r="F29" i="22"/>
  <c r="I29" i="22"/>
  <c r="H30" i="22"/>
  <c r="D30" i="22"/>
  <c r="E30" i="22"/>
  <c r="F30" i="22"/>
  <c r="I30" i="22"/>
  <c r="G31" i="22"/>
  <c r="H31" i="22"/>
  <c r="D31" i="22"/>
  <c r="E31" i="22"/>
  <c r="F31" i="22"/>
  <c r="I31" i="22"/>
  <c r="G32" i="22"/>
  <c r="H32" i="22"/>
  <c r="D32" i="22"/>
  <c r="E32" i="22"/>
  <c r="F32" i="22"/>
  <c r="I32" i="22"/>
  <c r="G33" i="22"/>
  <c r="H33" i="22"/>
  <c r="D33" i="22"/>
  <c r="E33" i="22"/>
  <c r="F33" i="22"/>
  <c r="I33" i="22"/>
  <c r="G34" i="22"/>
  <c r="H34" i="22"/>
  <c r="D34" i="22"/>
  <c r="E34" i="22"/>
  <c r="F34" i="22"/>
  <c r="I34" i="22"/>
  <c r="W16" i="57"/>
  <c r="B16" i="57"/>
  <c r="B21" i="57"/>
  <c r="G17" i="13"/>
  <c r="H17" i="13"/>
  <c r="L17" i="13"/>
  <c r="O17" i="13"/>
  <c r="P17" i="13"/>
  <c r="R17" i="13"/>
  <c r="S17" i="13"/>
  <c r="L18" i="13"/>
  <c r="O18" i="13"/>
  <c r="P18" i="13"/>
  <c r="R18" i="13"/>
  <c r="S18" i="13"/>
  <c r="L19" i="13"/>
  <c r="O19" i="13"/>
  <c r="P19" i="13"/>
  <c r="R19" i="13"/>
  <c r="S19" i="13"/>
  <c r="L20" i="13"/>
  <c r="O20" i="13"/>
  <c r="P20" i="13"/>
  <c r="R20" i="13"/>
  <c r="S20" i="13"/>
  <c r="G21" i="13"/>
  <c r="H21" i="13"/>
  <c r="L21" i="13"/>
  <c r="O21" i="13"/>
  <c r="P21" i="13"/>
  <c r="R21" i="13"/>
  <c r="S21" i="13"/>
  <c r="L22" i="13"/>
  <c r="O22" i="13"/>
  <c r="P22" i="13"/>
  <c r="R22" i="13"/>
  <c r="S22" i="13"/>
  <c r="L23" i="13"/>
  <c r="O23" i="13"/>
  <c r="P23" i="13"/>
  <c r="R23" i="13"/>
  <c r="S23" i="13"/>
  <c r="L24" i="13"/>
  <c r="O24" i="13"/>
  <c r="P24" i="13"/>
  <c r="R24" i="13"/>
  <c r="S24" i="13"/>
  <c r="L25" i="13"/>
  <c r="O25" i="13"/>
  <c r="P25" i="13"/>
  <c r="R25" i="13"/>
  <c r="S25" i="13"/>
  <c r="L26" i="13"/>
  <c r="O26" i="13"/>
  <c r="P26" i="13"/>
  <c r="R26" i="13"/>
  <c r="S26" i="13"/>
  <c r="L28" i="13"/>
  <c r="O28" i="13"/>
  <c r="P28" i="13"/>
  <c r="R28" i="13"/>
  <c r="S28" i="13"/>
  <c r="L29" i="13"/>
  <c r="O29" i="13"/>
  <c r="P29" i="13"/>
  <c r="R29" i="13"/>
  <c r="S29" i="13"/>
  <c r="L30" i="13"/>
  <c r="O30" i="13"/>
  <c r="P30" i="13"/>
  <c r="R30" i="13"/>
  <c r="S30" i="13"/>
  <c r="L31" i="13"/>
  <c r="O31" i="13"/>
  <c r="P31" i="13"/>
  <c r="R31" i="13"/>
  <c r="S31" i="13"/>
  <c r="G32" i="13"/>
  <c r="H32" i="13"/>
  <c r="L32" i="13"/>
  <c r="O32" i="13"/>
  <c r="P32" i="13"/>
  <c r="R32" i="13"/>
  <c r="S32" i="13"/>
  <c r="G33" i="13"/>
  <c r="H33" i="13"/>
  <c r="L33" i="13"/>
  <c r="O33" i="13"/>
  <c r="P33" i="13"/>
  <c r="R33" i="13"/>
  <c r="S33" i="13"/>
  <c r="L34" i="13"/>
  <c r="O34" i="13"/>
  <c r="P34" i="13"/>
  <c r="R34" i="13"/>
  <c r="S34" i="13"/>
  <c r="L6" i="13"/>
  <c r="O6" i="13"/>
  <c r="P6" i="13"/>
  <c r="R6" i="13"/>
  <c r="S6" i="13"/>
  <c r="L7" i="13"/>
  <c r="O7" i="13"/>
  <c r="P7" i="13"/>
  <c r="R7" i="13"/>
  <c r="S7" i="13"/>
  <c r="L8" i="13"/>
  <c r="O8" i="13"/>
  <c r="P8" i="13"/>
  <c r="R8" i="13"/>
  <c r="S8" i="13"/>
  <c r="L9" i="13"/>
  <c r="O9" i="13"/>
  <c r="P9" i="13"/>
  <c r="R9" i="13"/>
  <c r="S9" i="13"/>
  <c r="L10" i="13"/>
  <c r="O10" i="13"/>
  <c r="P10" i="13"/>
  <c r="R10" i="13"/>
  <c r="S10" i="13"/>
  <c r="L11" i="13"/>
  <c r="O11" i="13"/>
  <c r="P11" i="13"/>
  <c r="R11" i="13"/>
  <c r="S11" i="13"/>
  <c r="L12" i="13"/>
  <c r="O12" i="13"/>
  <c r="P12" i="13"/>
  <c r="R12" i="13"/>
  <c r="S12" i="13"/>
  <c r="L13" i="13"/>
  <c r="O13" i="13"/>
  <c r="P13" i="13"/>
  <c r="R13" i="13"/>
  <c r="S13" i="13"/>
  <c r="L14" i="13"/>
  <c r="O14" i="13"/>
  <c r="P14" i="13"/>
  <c r="R14" i="13"/>
  <c r="S14" i="13"/>
  <c r="L15" i="13"/>
  <c r="O15" i="13"/>
  <c r="P15" i="13"/>
  <c r="R15" i="13"/>
  <c r="S15" i="13"/>
  <c r="L16" i="13"/>
  <c r="O16" i="13"/>
  <c r="P16" i="13"/>
  <c r="R16" i="13"/>
  <c r="S16" i="13"/>
  <c r="G22" i="57"/>
  <c r="E7" i="70"/>
  <c r="G7" i="70"/>
  <c r="K7" i="70"/>
  <c r="N7" i="70"/>
  <c r="O7" i="70"/>
  <c r="Q7" i="70"/>
  <c r="R7" i="70"/>
  <c r="E8" i="70"/>
  <c r="G8" i="70"/>
  <c r="K8" i="70"/>
  <c r="N8" i="70"/>
  <c r="O8" i="70"/>
  <c r="Q8" i="70"/>
  <c r="R8" i="70"/>
  <c r="E9" i="70"/>
  <c r="G9" i="70"/>
  <c r="K9" i="70"/>
  <c r="N9" i="70"/>
  <c r="O9" i="70"/>
  <c r="Q9" i="70"/>
  <c r="R9" i="70"/>
  <c r="E10" i="70"/>
  <c r="G10" i="70"/>
  <c r="K10" i="70"/>
  <c r="N10" i="70"/>
  <c r="O10" i="70"/>
  <c r="Q10" i="70"/>
  <c r="R10" i="70"/>
  <c r="E11" i="70"/>
  <c r="G11" i="70"/>
  <c r="K11" i="70"/>
  <c r="N11" i="70"/>
  <c r="O11" i="70"/>
  <c r="Q11" i="70"/>
  <c r="R11" i="70"/>
  <c r="E12" i="70"/>
  <c r="G12" i="70"/>
  <c r="K12" i="70"/>
  <c r="N12" i="70"/>
  <c r="O12" i="70"/>
  <c r="Q12" i="70"/>
  <c r="R12" i="70"/>
  <c r="C136" i="34"/>
  <c r="C127" i="34"/>
  <c r="U13" i="70"/>
  <c r="J13" i="70"/>
  <c r="E13" i="70"/>
  <c r="K13" i="70"/>
  <c r="N13" i="70"/>
  <c r="O13" i="70"/>
  <c r="Q13" i="70"/>
  <c r="R13" i="70"/>
  <c r="E14" i="70"/>
  <c r="G14" i="70"/>
  <c r="K14" i="70"/>
  <c r="N14" i="70"/>
  <c r="O14" i="70"/>
  <c r="Q14" i="70"/>
  <c r="R14" i="70"/>
  <c r="F15" i="70"/>
  <c r="E15" i="70"/>
  <c r="K15" i="70"/>
  <c r="N15" i="70"/>
  <c r="O15" i="70"/>
  <c r="Q15" i="70"/>
  <c r="R15" i="70"/>
  <c r="E16" i="70"/>
  <c r="G16" i="70"/>
  <c r="K16" i="70"/>
  <c r="N16" i="70"/>
  <c r="O16" i="70"/>
  <c r="Q16" i="70"/>
  <c r="R16" i="70"/>
  <c r="E17" i="70"/>
  <c r="G17" i="70"/>
  <c r="K17" i="70"/>
  <c r="N17" i="70"/>
  <c r="O17" i="70"/>
  <c r="Q17" i="70"/>
  <c r="R17" i="70"/>
  <c r="E18" i="70"/>
  <c r="G18" i="70"/>
  <c r="K18" i="70"/>
  <c r="N18" i="70"/>
  <c r="O18" i="70"/>
  <c r="Q18" i="70"/>
  <c r="R18" i="70"/>
  <c r="E19" i="70"/>
  <c r="G19" i="70"/>
  <c r="K19" i="70"/>
  <c r="N19" i="70"/>
  <c r="O19" i="70"/>
  <c r="Q19" i="70"/>
  <c r="R19" i="70"/>
  <c r="E20" i="70"/>
  <c r="G20" i="70"/>
  <c r="K20" i="70"/>
  <c r="N20" i="70"/>
  <c r="O20" i="70"/>
  <c r="Q20" i="70"/>
  <c r="R20" i="70"/>
  <c r="E21" i="70"/>
  <c r="G21" i="70"/>
  <c r="K21" i="70"/>
  <c r="N21" i="70"/>
  <c r="O21" i="70"/>
  <c r="Q21" i="70"/>
  <c r="R21" i="70"/>
  <c r="E22" i="70"/>
  <c r="G22" i="70"/>
  <c r="K22" i="70"/>
  <c r="N22" i="70"/>
  <c r="O22" i="70"/>
  <c r="Q22" i="70"/>
  <c r="R22" i="70"/>
  <c r="E23" i="70"/>
  <c r="G23" i="70"/>
  <c r="K23" i="70"/>
  <c r="N23" i="70"/>
  <c r="O23" i="70"/>
  <c r="Q23" i="70"/>
  <c r="R23" i="70"/>
  <c r="E24" i="70"/>
  <c r="G24" i="70"/>
  <c r="K24" i="70"/>
  <c r="N24" i="70"/>
  <c r="O24" i="70"/>
  <c r="Q24" i="70"/>
  <c r="R24" i="70"/>
  <c r="C196" i="34"/>
  <c r="C202" i="34"/>
  <c r="C195" i="34"/>
  <c r="U25" i="70"/>
  <c r="J25" i="70"/>
  <c r="E25" i="70"/>
  <c r="K25" i="70"/>
  <c r="N25" i="70"/>
  <c r="O25" i="70"/>
  <c r="Q25" i="70"/>
  <c r="R25" i="70"/>
  <c r="E26" i="70"/>
  <c r="G26" i="70"/>
  <c r="K26" i="70"/>
  <c r="N26" i="70"/>
  <c r="O26" i="70"/>
  <c r="Q26" i="70"/>
  <c r="R26" i="70"/>
  <c r="E28" i="70"/>
  <c r="G28" i="70"/>
  <c r="K28" i="70"/>
  <c r="N28" i="70"/>
  <c r="O28" i="70"/>
  <c r="Q28" i="70"/>
  <c r="R28" i="70"/>
  <c r="E29" i="70"/>
  <c r="G29" i="70"/>
  <c r="K29" i="70"/>
  <c r="N29" i="70"/>
  <c r="O29" i="70"/>
  <c r="Q29" i="70"/>
  <c r="R29" i="70"/>
  <c r="E30" i="70"/>
  <c r="G30" i="70"/>
  <c r="K30" i="70"/>
  <c r="N30" i="70"/>
  <c r="O30" i="70"/>
  <c r="Q30" i="70"/>
  <c r="R30" i="70"/>
  <c r="E31" i="70"/>
  <c r="G31" i="70"/>
  <c r="K31" i="70"/>
  <c r="N31" i="70"/>
  <c r="O31" i="70"/>
  <c r="Q31" i="70"/>
  <c r="R31" i="70"/>
  <c r="E32" i="70"/>
  <c r="G32" i="70"/>
  <c r="K32" i="70"/>
  <c r="N32" i="70"/>
  <c r="O32" i="70"/>
  <c r="Q32" i="70"/>
  <c r="R32" i="70"/>
  <c r="E33" i="70"/>
  <c r="G33" i="70"/>
  <c r="K33" i="70"/>
  <c r="N33" i="70"/>
  <c r="O33" i="70"/>
  <c r="Q33" i="70"/>
  <c r="R33" i="70"/>
  <c r="E34" i="70"/>
  <c r="G34" i="70"/>
  <c r="K34" i="70"/>
  <c r="N34" i="70"/>
  <c r="O34" i="70"/>
  <c r="Q34" i="70"/>
  <c r="R34" i="70"/>
  <c r="T22" i="57"/>
  <c r="C22" i="57"/>
  <c r="N6" i="2"/>
  <c r="P6" i="2"/>
  <c r="Q6" i="2"/>
  <c r="N7" i="2"/>
  <c r="P7" i="2"/>
  <c r="Q7" i="2"/>
  <c r="N8" i="2"/>
  <c r="P8" i="2"/>
  <c r="Q8" i="2"/>
  <c r="N9" i="2"/>
  <c r="P9" i="2"/>
  <c r="Q9" i="2"/>
  <c r="N10" i="2"/>
  <c r="P10" i="2"/>
  <c r="Q10" i="2"/>
  <c r="N11" i="2"/>
  <c r="P11" i="2"/>
  <c r="Q11" i="2"/>
  <c r="N12" i="2"/>
  <c r="P12" i="2"/>
  <c r="Q12" i="2"/>
  <c r="N13" i="2"/>
  <c r="P13" i="2"/>
  <c r="Q13" i="2"/>
  <c r="N14" i="2"/>
  <c r="P14" i="2"/>
  <c r="Q14" i="2"/>
  <c r="N15" i="2"/>
  <c r="P15" i="2"/>
  <c r="Q15" i="2"/>
  <c r="N16" i="2"/>
  <c r="P16" i="2"/>
  <c r="Q16" i="2"/>
  <c r="N17" i="2"/>
  <c r="P17" i="2"/>
  <c r="Q17" i="2"/>
  <c r="N18" i="2"/>
  <c r="P18" i="2"/>
  <c r="Q18" i="2"/>
  <c r="N19" i="2"/>
  <c r="P19" i="2"/>
  <c r="Q19" i="2"/>
  <c r="N20" i="2"/>
  <c r="P20" i="2"/>
  <c r="Q20" i="2"/>
  <c r="N21" i="2"/>
  <c r="P21" i="2"/>
  <c r="Q21" i="2"/>
  <c r="N22" i="2"/>
  <c r="P22" i="2"/>
  <c r="Q22" i="2"/>
  <c r="N23" i="2"/>
  <c r="P23" i="2"/>
  <c r="Q23" i="2"/>
  <c r="N24" i="2"/>
  <c r="P24" i="2"/>
  <c r="Q24" i="2"/>
  <c r="N25" i="2"/>
  <c r="P25" i="2"/>
  <c r="Q25" i="2"/>
  <c r="N26" i="2"/>
  <c r="P26" i="2"/>
  <c r="Q26" i="2"/>
  <c r="N28" i="2"/>
  <c r="P28" i="2"/>
  <c r="Q28" i="2"/>
  <c r="N29" i="2"/>
  <c r="P29" i="2"/>
  <c r="Q29" i="2"/>
  <c r="N30" i="2"/>
  <c r="P30" i="2"/>
  <c r="Q30" i="2"/>
  <c r="N31" i="2"/>
  <c r="P31" i="2"/>
  <c r="Q31" i="2"/>
  <c r="N32" i="2"/>
  <c r="P32" i="2"/>
  <c r="Q32" i="2"/>
  <c r="N33" i="2"/>
  <c r="P33" i="2"/>
  <c r="Q33" i="2"/>
  <c r="N34" i="2"/>
  <c r="P34" i="2"/>
  <c r="Q34" i="2"/>
  <c r="D22" i="57"/>
  <c r="J6" i="11"/>
  <c r="M6" i="11"/>
  <c r="N6" i="11"/>
  <c r="P6" i="11"/>
  <c r="Q6" i="11"/>
  <c r="J7" i="11"/>
  <c r="M7" i="11"/>
  <c r="N7" i="11"/>
  <c r="P7" i="11"/>
  <c r="Q7" i="11"/>
  <c r="J8" i="11"/>
  <c r="M8" i="11"/>
  <c r="N8" i="11"/>
  <c r="P8" i="11"/>
  <c r="Q8" i="11"/>
  <c r="J9" i="11"/>
  <c r="M9" i="11"/>
  <c r="N9" i="11"/>
  <c r="P9" i="11"/>
  <c r="Q9" i="11"/>
  <c r="J10" i="11"/>
  <c r="M10" i="11"/>
  <c r="N10" i="11"/>
  <c r="P10" i="11"/>
  <c r="Q10" i="11"/>
  <c r="J11" i="11"/>
  <c r="M11" i="11"/>
  <c r="N11" i="11"/>
  <c r="P11" i="11"/>
  <c r="Q11" i="11"/>
  <c r="J12" i="11"/>
  <c r="M12" i="11"/>
  <c r="N12" i="11"/>
  <c r="P12" i="11"/>
  <c r="Q12" i="11"/>
  <c r="J13" i="11"/>
  <c r="M13" i="11"/>
  <c r="N13" i="11"/>
  <c r="P13" i="11"/>
  <c r="Q13" i="11"/>
  <c r="J14" i="11"/>
  <c r="M14" i="11"/>
  <c r="N14" i="11"/>
  <c r="P14" i="11"/>
  <c r="Q14" i="11"/>
  <c r="J15" i="11"/>
  <c r="M15" i="11"/>
  <c r="N15" i="11"/>
  <c r="P15" i="11"/>
  <c r="Q15" i="11"/>
  <c r="J16" i="11"/>
  <c r="M16" i="11"/>
  <c r="N16" i="11"/>
  <c r="P16" i="11"/>
  <c r="Q16" i="11"/>
  <c r="J17" i="11"/>
  <c r="M17" i="11"/>
  <c r="N17" i="11"/>
  <c r="P17" i="11"/>
  <c r="Q17" i="11"/>
  <c r="J18" i="11"/>
  <c r="M18" i="11"/>
  <c r="N18" i="11"/>
  <c r="P18" i="11"/>
  <c r="Q18" i="11"/>
  <c r="J19" i="11"/>
  <c r="M19" i="11"/>
  <c r="N19" i="11"/>
  <c r="P19" i="11"/>
  <c r="Q19" i="11"/>
  <c r="J20" i="11"/>
  <c r="M20" i="11"/>
  <c r="N20" i="11"/>
  <c r="P20" i="11"/>
  <c r="Q20" i="11"/>
  <c r="J21" i="11"/>
  <c r="M21" i="11"/>
  <c r="N21" i="11"/>
  <c r="P21" i="11"/>
  <c r="Q21" i="11"/>
  <c r="J22" i="11"/>
  <c r="M22" i="11"/>
  <c r="N22" i="11"/>
  <c r="P22" i="11"/>
  <c r="Q22" i="11"/>
  <c r="E23" i="11"/>
  <c r="F23" i="11"/>
  <c r="J23" i="11"/>
  <c r="M23" i="11"/>
  <c r="N23" i="11"/>
  <c r="P23" i="11"/>
  <c r="Q23" i="11"/>
  <c r="J24" i="11"/>
  <c r="M24" i="11"/>
  <c r="N24" i="11"/>
  <c r="P24" i="11"/>
  <c r="Q24" i="11"/>
  <c r="E25" i="11"/>
  <c r="F25" i="11"/>
  <c r="J25" i="11"/>
  <c r="M25" i="11"/>
  <c r="N25" i="11"/>
  <c r="P25" i="11"/>
  <c r="Q25" i="11"/>
  <c r="J26" i="11"/>
  <c r="M26" i="11"/>
  <c r="N26" i="11"/>
  <c r="P26" i="11"/>
  <c r="Q26" i="11"/>
  <c r="J28" i="11"/>
  <c r="M28" i="11"/>
  <c r="N28" i="11"/>
  <c r="P28" i="11"/>
  <c r="Q28" i="11"/>
  <c r="J29" i="11"/>
  <c r="M29" i="11"/>
  <c r="N29" i="11"/>
  <c r="P29" i="11"/>
  <c r="Q29" i="11"/>
  <c r="J30" i="11"/>
  <c r="M30" i="11"/>
  <c r="N30" i="11"/>
  <c r="P30" i="11"/>
  <c r="Q30" i="11"/>
  <c r="J31" i="11"/>
  <c r="M31" i="11"/>
  <c r="N31" i="11"/>
  <c r="P31" i="11"/>
  <c r="Q31" i="11"/>
  <c r="J32" i="11"/>
  <c r="M32" i="11"/>
  <c r="N32" i="11"/>
  <c r="P32" i="11"/>
  <c r="Q32" i="11"/>
  <c r="E33" i="11"/>
  <c r="F33" i="11"/>
  <c r="J33" i="11"/>
  <c r="M33" i="11"/>
  <c r="N33" i="11"/>
  <c r="P33" i="11"/>
  <c r="Q33" i="11"/>
  <c r="E34" i="11"/>
  <c r="F34" i="11"/>
  <c r="J34" i="11"/>
  <c r="M34" i="11"/>
  <c r="N34" i="11"/>
  <c r="P34" i="11"/>
  <c r="Q34" i="11"/>
  <c r="E22" i="57"/>
  <c r="I6" i="41"/>
  <c r="J6" i="41"/>
  <c r="M6" i="41"/>
  <c r="N6" i="41"/>
  <c r="P6" i="41"/>
  <c r="Q6" i="41"/>
  <c r="I7" i="41"/>
  <c r="J7" i="41"/>
  <c r="M7" i="41"/>
  <c r="N7" i="41"/>
  <c r="P7" i="41"/>
  <c r="Q7" i="41"/>
  <c r="I8" i="41"/>
  <c r="J8" i="41"/>
  <c r="M8" i="41"/>
  <c r="N8" i="41"/>
  <c r="P8" i="41"/>
  <c r="Q8" i="41"/>
  <c r="F9" i="41"/>
  <c r="E9" i="41"/>
  <c r="I9" i="41"/>
  <c r="J9" i="41"/>
  <c r="M9" i="41"/>
  <c r="N9" i="41"/>
  <c r="P9" i="41"/>
  <c r="Q9" i="41"/>
  <c r="I10" i="41"/>
  <c r="J10" i="41"/>
  <c r="M10" i="41"/>
  <c r="N10" i="41"/>
  <c r="P10" i="41"/>
  <c r="Q10" i="41"/>
  <c r="I11" i="41"/>
  <c r="J11" i="41"/>
  <c r="M11" i="41"/>
  <c r="N11" i="41"/>
  <c r="P11" i="41"/>
  <c r="Q11" i="41"/>
  <c r="N12" i="41"/>
  <c r="P12" i="41"/>
  <c r="Q12" i="41"/>
  <c r="I13" i="41"/>
  <c r="J13" i="41"/>
  <c r="M13" i="41"/>
  <c r="N13" i="41"/>
  <c r="P13" i="41"/>
  <c r="Q13" i="41"/>
  <c r="I14" i="41"/>
  <c r="J14" i="41"/>
  <c r="M14" i="41"/>
  <c r="N14" i="41"/>
  <c r="P14" i="41"/>
  <c r="Q14" i="41"/>
  <c r="I15" i="41"/>
  <c r="J15" i="41"/>
  <c r="M15" i="41"/>
  <c r="N15" i="41"/>
  <c r="P15" i="41"/>
  <c r="Q15" i="41"/>
  <c r="I16" i="41"/>
  <c r="J16" i="41"/>
  <c r="M16" i="41"/>
  <c r="N16" i="41"/>
  <c r="P16" i="41"/>
  <c r="Q16" i="41"/>
  <c r="F17" i="41"/>
  <c r="E17" i="41"/>
  <c r="J17" i="41"/>
  <c r="M17" i="41"/>
  <c r="N17" i="41"/>
  <c r="P17" i="41"/>
  <c r="Q17" i="41"/>
  <c r="I18" i="41"/>
  <c r="J18" i="41"/>
  <c r="M18" i="41"/>
  <c r="N18" i="41"/>
  <c r="P18" i="41"/>
  <c r="Q18" i="41"/>
  <c r="I19" i="41"/>
  <c r="J19" i="41"/>
  <c r="M19" i="41"/>
  <c r="N19" i="41"/>
  <c r="P19" i="41"/>
  <c r="Q19" i="41"/>
  <c r="I20" i="41"/>
  <c r="J20" i="41"/>
  <c r="M20" i="41"/>
  <c r="N20" i="41"/>
  <c r="P20" i="41"/>
  <c r="Q20" i="41"/>
  <c r="F21" i="41"/>
  <c r="E21" i="41"/>
  <c r="J21" i="41"/>
  <c r="M21" i="41"/>
  <c r="N21" i="41"/>
  <c r="P21" i="41"/>
  <c r="Q21" i="41"/>
  <c r="N22" i="41"/>
  <c r="P22" i="41"/>
  <c r="Q22" i="41"/>
  <c r="J23" i="41"/>
  <c r="M23" i="41"/>
  <c r="N23" i="41"/>
  <c r="P23" i="41"/>
  <c r="Q23" i="41"/>
  <c r="I24" i="41"/>
  <c r="J24" i="41"/>
  <c r="M24" i="41"/>
  <c r="N24" i="41"/>
  <c r="P24" i="41"/>
  <c r="Q24" i="41"/>
  <c r="I25" i="41"/>
  <c r="J25" i="41"/>
  <c r="M25" i="41"/>
  <c r="N25" i="41"/>
  <c r="P25" i="41"/>
  <c r="Q25" i="41"/>
  <c r="I26" i="41"/>
  <c r="J26" i="41"/>
  <c r="M26" i="41"/>
  <c r="N26" i="41"/>
  <c r="P26" i="41"/>
  <c r="Q26" i="41"/>
  <c r="I28" i="41"/>
  <c r="J28" i="41"/>
  <c r="M28" i="41"/>
  <c r="N28" i="41"/>
  <c r="P28" i="41"/>
  <c r="Q28" i="41"/>
  <c r="I29" i="41"/>
  <c r="J29" i="41"/>
  <c r="M29" i="41"/>
  <c r="N29" i="41"/>
  <c r="P29" i="41"/>
  <c r="Q29" i="41"/>
  <c r="I30" i="41"/>
  <c r="J30" i="41"/>
  <c r="M30" i="41"/>
  <c r="N30" i="41"/>
  <c r="P30" i="41"/>
  <c r="Q30" i="41"/>
  <c r="I31" i="41"/>
  <c r="J31" i="41"/>
  <c r="M31" i="41"/>
  <c r="N31" i="41"/>
  <c r="P31" i="41"/>
  <c r="Q31" i="41"/>
  <c r="F32" i="41"/>
  <c r="E32" i="41"/>
  <c r="I32" i="41"/>
  <c r="J32" i="41"/>
  <c r="M32" i="41"/>
  <c r="N32" i="41"/>
  <c r="P32" i="41"/>
  <c r="Q32" i="41"/>
  <c r="N33" i="41"/>
  <c r="P33" i="41"/>
  <c r="Q33" i="41"/>
  <c r="J34" i="41"/>
  <c r="M34" i="41"/>
  <c r="N34" i="41"/>
  <c r="P34" i="41"/>
  <c r="Q34" i="41"/>
  <c r="F22" i="57"/>
  <c r="K6" i="14"/>
  <c r="N6" i="14"/>
  <c r="O6" i="14"/>
  <c r="Q6" i="14"/>
  <c r="R6" i="14"/>
  <c r="F6" i="14"/>
  <c r="F7" i="14"/>
  <c r="K7" i="14"/>
  <c r="N7" i="14"/>
  <c r="O7" i="14"/>
  <c r="Q7" i="14"/>
  <c r="R7" i="14"/>
  <c r="F8" i="14"/>
  <c r="E8" i="14"/>
  <c r="K8" i="14"/>
  <c r="N8" i="14"/>
  <c r="O8" i="14"/>
  <c r="Q8" i="14"/>
  <c r="R8" i="14"/>
  <c r="F9" i="14"/>
  <c r="K9" i="14"/>
  <c r="N9" i="14"/>
  <c r="O9" i="14"/>
  <c r="Q9" i="14"/>
  <c r="R9" i="14"/>
  <c r="F10" i="14"/>
  <c r="K10" i="14"/>
  <c r="N10" i="14"/>
  <c r="O10" i="14"/>
  <c r="Q10" i="14"/>
  <c r="R10" i="14"/>
  <c r="F11" i="14"/>
  <c r="E11" i="14"/>
  <c r="K11" i="14"/>
  <c r="N11" i="14"/>
  <c r="O11" i="14"/>
  <c r="Q11" i="14"/>
  <c r="R11" i="14"/>
  <c r="F12" i="14"/>
  <c r="K12" i="14"/>
  <c r="N12" i="14"/>
  <c r="O12" i="14"/>
  <c r="Q12" i="14"/>
  <c r="R12" i="14"/>
  <c r="F13" i="14"/>
  <c r="K13" i="14"/>
  <c r="N13" i="14"/>
  <c r="O13" i="14"/>
  <c r="Q13" i="14"/>
  <c r="R13" i="14"/>
  <c r="F14" i="14"/>
  <c r="E14" i="14"/>
  <c r="K14" i="14"/>
  <c r="N14" i="14"/>
  <c r="O14" i="14"/>
  <c r="Q14" i="14"/>
  <c r="R14" i="14"/>
  <c r="F15" i="14"/>
  <c r="K15" i="14"/>
  <c r="N15" i="14"/>
  <c r="O15" i="14"/>
  <c r="Q15" i="14"/>
  <c r="R15" i="14"/>
  <c r="F16" i="14"/>
  <c r="K16" i="14"/>
  <c r="N16" i="14"/>
  <c r="O16" i="14"/>
  <c r="Q16" i="14"/>
  <c r="R16" i="14"/>
  <c r="F17" i="14"/>
  <c r="K17" i="14"/>
  <c r="N17" i="14"/>
  <c r="O17" i="14"/>
  <c r="Q17" i="14"/>
  <c r="R17" i="14"/>
  <c r="F18" i="14"/>
  <c r="K18" i="14"/>
  <c r="N18" i="14"/>
  <c r="O18" i="14"/>
  <c r="Q18" i="14"/>
  <c r="R18" i="14"/>
  <c r="F19" i="14"/>
  <c r="K19" i="14"/>
  <c r="N19" i="14"/>
  <c r="O19" i="14"/>
  <c r="Q19" i="14"/>
  <c r="R19" i="14"/>
  <c r="F20" i="14"/>
  <c r="K20" i="14"/>
  <c r="N20" i="14"/>
  <c r="O20" i="14"/>
  <c r="Q20" i="14"/>
  <c r="R20" i="14"/>
  <c r="F21" i="14"/>
  <c r="K21" i="14"/>
  <c r="N21" i="14"/>
  <c r="O21" i="14"/>
  <c r="Q21" i="14"/>
  <c r="R21" i="14"/>
  <c r="F22" i="14"/>
  <c r="K22" i="14"/>
  <c r="N22" i="14"/>
  <c r="O22" i="14"/>
  <c r="Q22" i="14"/>
  <c r="R22" i="14"/>
  <c r="F23" i="14"/>
  <c r="K23" i="14"/>
  <c r="N23" i="14"/>
  <c r="O23" i="14"/>
  <c r="Q23" i="14"/>
  <c r="R23" i="14"/>
  <c r="F24" i="14"/>
  <c r="E24" i="14"/>
  <c r="K24" i="14"/>
  <c r="N24" i="14"/>
  <c r="O24" i="14"/>
  <c r="Q24" i="14"/>
  <c r="R24" i="14"/>
  <c r="F25" i="14"/>
  <c r="E25" i="14"/>
  <c r="K25" i="14"/>
  <c r="N25" i="14"/>
  <c r="O25" i="14"/>
  <c r="Q25" i="14"/>
  <c r="R25" i="14"/>
  <c r="F26" i="14"/>
  <c r="E26" i="14"/>
  <c r="K26" i="14"/>
  <c r="N26" i="14"/>
  <c r="O26" i="14"/>
  <c r="Q26" i="14"/>
  <c r="R26" i="14"/>
  <c r="K28" i="14"/>
  <c r="N28" i="14"/>
  <c r="O28" i="14"/>
  <c r="Q28" i="14"/>
  <c r="R28" i="14"/>
  <c r="G29" i="14"/>
  <c r="E29" i="14"/>
  <c r="K29" i="14"/>
  <c r="N29" i="14"/>
  <c r="O29" i="14"/>
  <c r="Q29" i="14"/>
  <c r="R29" i="14"/>
  <c r="G30" i="14"/>
  <c r="E30" i="14"/>
  <c r="K30" i="14"/>
  <c r="N30" i="14"/>
  <c r="O30" i="14"/>
  <c r="Q30" i="14"/>
  <c r="R30" i="14"/>
  <c r="K31" i="14"/>
  <c r="N31" i="14"/>
  <c r="O31" i="14"/>
  <c r="Q31" i="14"/>
  <c r="R31" i="14"/>
  <c r="K32" i="14"/>
  <c r="N32" i="14"/>
  <c r="O32" i="14"/>
  <c r="Q32" i="14"/>
  <c r="R32" i="14"/>
  <c r="K33" i="14"/>
  <c r="N33" i="14"/>
  <c r="O33" i="14"/>
  <c r="Q33" i="14"/>
  <c r="R33" i="14"/>
  <c r="G34" i="14"/>
  <c r="E34" i="14"/>
  <c r="K34" i="14"/>
  <c r="N34" i="14"/>
  <c r="O34" i="14"/>
  <c r="Q34" i="14"/>
  <c r="R34" i="14"/>
  <c r="H22" i="57"/>
  <c r="F6" i="15"/>
  <c r="E6" i="15"/>
  <c r="K6" i="15"/>
  <c r="N6" i="15"/>
  <c r="O6" i="15"/>
  <c r="Q6" i="15"/>
  <c r="R6" i="15"/>
  <c r="F7" i="15"/>
  <c r="E7" i="15"/>
  <c r="K7" i="15"/>
  <c r="N7" i="15"/>
  <c r="O7" i="15"/>
  <c r="Q7" i="15"/>
  <c r="R7" i="15"/>
  <c r="F8" i="15"/>
  <c r="E8" i="15"/>
  <c r="K8" i="15"/>
  <c r="N8" i="15"/>
  <c r="O8" i="15"/>
  <c r="Q8" i="15"/>
  <c r="R8" i="15"/>
  <c r="F9" i="15"/>
  <c r="E9" i="15"/>
  <c r="K9" i="15"/>
  <c r="N9" i="15"/>
  <c r="O9" i="15"/>
  <c r="Q9" i="15"/>
  <c r="R9" i="15"/>
  <c r="F10" i="15"/>
  <c r="E10" i="15"/>
  <c r="K10" i="15"/>
  <c r="N10" i="15"/>
  <c r="O10" i="15"/>
  <c r="Q10" i="15"/>
  <c r="R10" i="15"/>
  <c r="F11" i="15"/>
  <c r="E11" i="15"/>
  <c r="K11" i="15"/>
  <c r="N11" i="15"/>
  <c r="O11" i="15"/>
  <c r="Q11" i="15"/>
  <c r="R11" i="15"/>
  <c r="F12" i="15"/>
  <c r="E12" i="15"/>
  <c r="K12" i="15"/>
  <c r="N12" i="15"/>
  <c r="O12" i="15"/>
  <c r="Q12" i="15"/>
  <c r="R12" i="15"/>
  <c r="F13" i="15"/>
  <c r="E13" i="15"/>
  <c r="K13" i="15"/>
  <c r="N13" i="15"/>
  <c r="O13" i="15"/>
  <c r="Q13" i="15"/>
  <c r="R13" i="15"/>
  <c r="F14" i="15"/>
  <c r="E14" i="15"/>
  <c r="K14" i="15"/>
  <c r="N14" i="15"/>
  <c r="O14" i="15"/>
  <c r="Q14" i="15"/>
  <c r="R14" i="15"/>
  <c r="F15" i="15"/>
  <c r="E15" i="15"/>
  <c r="K15" i="15"/>
  <c r="N15" i="15"/>
  <c r="O15" i="15"/>
  <c r="Q15" i="15"/>
  <c r="R15" i="15"/>
  <c r="F16" i="15"/>
  <c r="E16" i="15"/>
  <c r="K16" i="15"/>
  <c r="N16" i="15"/>
  <c r="O16" i="15"/>
  <c r="Q16" i="15"/>
  <c r="R16" i="15"/>
  <c r="F17" i="15"/>
  <c r="E17" i="15"/>
  <c r="K17" i="15"/>
  <c r="N17" i="15"/>
  <c r="O17" i="15"/>
  <c r="Q17" i="15"/>
  <c r="R17" i="15"/>
  <c r="F18" i="15"/>
  <c r="E18" i="15"/>
  <c r="K18" i="15"/>
  <c r="N18" i="15"/>
  <c r="O18" i="15"/>
  <c r="Q18" i="15"/>
  <c r="R18" i="15"/>
  <c r="F19" i="15"/>
  <c r="E19" i="15"/>
  <c r="K19" i="15"/>
  <c r="N19" i="15"/>
  <c r="O19" i="15"/>
  <c r="Q19" i="15"/>
  <c r="R19" i="15"/>
  <c r="F20" i="15"/>
  <c r="E20" i="15"/>
  <c r="K20" i="15"/>
  <c r="N20" i="15"/>
  <c r="O20" i="15"/>
  <c r="Q20" i="15"/>
  <c r="R20" i="15"/>
  <c r="F21" i="15"/>
  <c r="E21" i="15"/>
  <c r="K21" i="15"/>
  <c r="N21" i="15"/>
  <c r="O21" i="15"/>
  <c r="Q21" i="15"/>
  <c r="R21" i="15"/>
  <c r="F22" i="15"/>
  <c r="E22" i="15"/>
  <c r="K22" i="15"/>
  <c r="N22" i="15"/>
  <c r="O22" i="15"/>
  <c r="Q22" i="15"/>
  <c r="R22" i="15"/>
  <c r="F23" i="15"/>
  <c r="E23" i="15"/>
  <c r="K23" i="15"/>
  <c r="N23" i="15"/>
  <c r="O23" i="15"/>
  <c r="Q23" i="15"/>
  <c r="R23" i="15"/>
  <c r="F24" i="15"/>
  <c r="E24" i="15"/>
  <c r="K24" i="15"/>
  <c r="N24" i="15"/>
  <c r="O24" i="15"/>
  <c r="Q24" i="15"/>
  <c r="R24" i="15"/>
  <c r="F25" i="15"/>
  <c r="E25" i="15"/>
  <c r="K25" i="15"/>
  <c r="N25" i="15"/>
  <c r="O25" i="15"/>
  <c r="Q25" i="15"/>
  <c r="R25" i="15"/>
  <c r="F26" i="15"/>
  <c r="E26" i="15"/>
  <c r="K26" i="15"/>
  <c r="N26" i="15"/>
  <c r="O26" i="15"/>
  <c r="Q26" i="15"/>
  <c r="R26" i="15"/>
  <c r="G28" i="15"/>
  <c r="E28" i="15"/>
  <c r="K28" i="15"/>
  <c r="N28" i="15"/>
  <c r="O28" i="15"/>
  <c r="Q28" i="15"/>
  <c r="R28" i="15"/>
  <c r="G29" i="15"/>
  <c r="J29" i="15"/>
  <c r="E29" i="15"/>
  <c r="K29" i="15"/>
  <c r="N29" i="15"/>
  <c r="O29" i="15"/>
  <c r="Q29" i="15"/>
  <c r="R29" i="15"/>
  <c r="G30" i="15"/>
  <c r="E30" i="15"/>
  <c r="K30" i="15"/>
  <c r="N30" i="15"/>
  <c r="O30" i="15"/>
  <c r="Q30" i="15"/>
  <c r="R30" i="15"/>
  <c r="G31" i="15"/>
  <c r="E31" i="15"/>
  <c r="K31" i="15"/>
  <c r="N31" i="15"/>
  <c r="O31" i="15"/>
  <c r="Q31" i="15"/>
  <c r="R31" i="15"/>
  <c r="G32" i="15"/>
  <c r="E32" i="15"/>
  <c r="K32" i="15"/>
  <c r="N32" i="15"/>
  <c r="O32" i="15"/>
  <c r="Q32" i="15"/>
  <c r="R32" i="15"/>
  <c r="G33" i="15"/>
  <c r="E33" i="15"/>
  <c r="K33" i="15"/>
  <c r="N33" i="15"/>
  <c r="O33" i="15"/>
  <c r="Q33" i="15"/>
  <c r="R33" i="15"/>
  <c r="G34" i="15"/>
  <c r="E34" i="15"/>
  <c r="K34" i="15"/>
  <c r="N34" i="15"/>
  <c r="O34" i="15"/>
  <c r="Q34" i="15"/>
  <c r="R34" i="15"/>
  <c r="I22" i="57"/>
  <c r="F6" i="45"/>
  <c r="E6" i="45"/>
  <c r="K6" i="45"/>
  <c r="N6" i="45"/>
  <c r="O6" i="45"/>
  <c r="Q6" i="45"/>
  <c r="R6" i="45"/>
  <c r="F7" i="45"/>
  <c r="E7" i="45"/>
  <c r="K7" i="45"/>
  <c r="N7" i="45"/>
  <c r="O7" i="45"/>
  <c r="Q7" i="45"/>
  <c r="R7" i="45"/>
  <c r="F8" i="45"/>
  <c r="E8" i="45"/>
  <c r="K8" i="45"/>
  <c r="N8" i="45"/>
  <c r="O8" i="45"/>
  <c r="Q8" i="45"/>
  <c r="R8" i="45"/>
  <c r="F9" i="45"/>
  <c r="E9" i="45"/>
  <c r="K9" i="45"/>
  <c r="N9" i="45"/>
  <c r="O9" i="45"/>
  <c r="Q9" i="45"/>
  <c r="R9" i="45"/>
  <c r="F10" i="45"/>
  <c r="E10" i="45"/>
  <c r="K10" i="45"/>
  <c r="N10" i="45"/>
  <c r="O10" i="45"/>
  <c r="Q10" i="45"/>
  <c r="R10" i="45"/>
  <c r="F11" i="45"/>
  <c r="E11" i="45"/>
  <c r="K11" i="45"/>
  <c r="N11" i="45"/>
  <c r="O11" i="45"/>
  <c r="Q11" i="45"/>
  <c r="R11" i="45"/>
  <c r="F12" i="45"/>
  <c r="E12" i="45"/>
  <c r="K12" i="45"/>
  <c r="N12" i="45"/>
  <c r="O12" i="45"/>
  <c r="Q12" i="45"/>
  <c r="R12" i="45"/>
  <c r="F13" i="45"/>
  <c r="E13" i="45"/>
  <c r="K13" i="45"/>
  <c r="N13" i="45"/>
  <c r="O13" i="45"/>
  <c r="Q13" i="45"/>
  <c r="R13" i="45"/>
  <c r="F14" i="45"/>
  <c r="E14" i="45"/>
  <c r="K14" i="45"/>
  <c r="N14" i="45"/>
  <c r="O14" i="45"/>
  <c r="Q14" i="45"/>
  <c r="R14" i="45"/>
  <c r="F15" i="45"/>
  <c r="E15" i="45"/>
  <c r="K15" i="45"/>
  <c r="N15" i="45"/>
  <c r="O15" i="45"/>
  <c r="Q15" i="45"/>
  <c r="R15" i="45"/>
  <c r="F16" i="45"/>
  <c r="E16" i="45"/>
  <c r="K16" i="45"/>
  <c r="N16" i="45"/>
  <c r="O16" i="45"/>
  <c r="Q16" i="45"/>
  <c r="R16" i="45"/>
  <c r="F17" i="45"/>
  <c r="E17" i="45"/>
  <c r="K17" i="45"/>
  <c r="N17" i="45"/>
  <c r="O17" i="45"/>
  <c r="Q17" i="45"/>
  <c r="R17" i="45"/>
  <c r="F18" i="45"/>
  <c r="E18" i="45"/>
  <c r="K18" i="45"/>
  <c r="N18" i="45"/>
  <c r="O18" i="45"/>
  <c r="Q18" i="45"/>
  <c r="R18" i="45"/>
  <c r="F19" i="45"/>
  <c r="E19" i="45"/>
  <c r="K19" i="45"/>
  <c r="N19" i="45"/>
  <c r="O19" i="45"/>
  <c r="Q19" i="45"/>
  <c r="R19" i="45"/>
  <c r="F20" i="45"/>
  <c r="E20" i="45"/>
  <c r="K20" i="45"/>
  <c r="N20" i="45"/>
  <c r="O20" i="45"/>
  <c r="Q20" i="45"/>
  <c r="R20" i="45"/>
  <c r="F21" i="45"/>
  <c r="E21" i="45"/>
  <c r="K21" i="45"/>
  <c r="N21" i="45"/>
  <c r="O21" i="45"/>
  <c r="Q21" i="45"/>
  <c r="R21" i="45"/>
  <c r="F22" i="45"/>
  <c r="E22" i="45"/>
  <c r="K22" i="45"/>
  <c r="N22" i="45"/>
  <c r="O22" i="45"/>
  <c r="Q22" i="45"/>
  <c r="R22" i="45"/>
  <c r="F23" i="45"/>
  <c r="E23" i="45"/>
  <c r="K23" i="45"/>
  <c r="N23" i="45"/>
  <c r="O23" i="45"/>
  <c r="Q23" i="45"/>
  <c r="R23" i="45"/>
  <c r="F24" i="45"/>
  <c r="E24" i="45"/>
  <c r="K24" i="45"/>
  <c r="N24" i="45"/>
  <c r="O24" i="45"/>
  <c r="Q24" i="45"/>
  <c r="R24" i="45"/>
  <c r="F25" i="45"/>
  <c r="E25" i="45"/>
  <c r="K25" i="45"/>
  <c r="N25" i="45"/>
  <c r="O25" i="45"/>
  <c r="Q25" i="45"/>
  <c r="R25" i="45"/>
  <c r="F26" i="45"/>
  <c r="E26" i="45"/>
  <c r="K26" i="45"/>
  <c r="N26" i="45"/>
  <c r="O26" i="45"/>
  <c r="Q26" i="45"/>
  <c r="R26" i="45"/>
  <c r="G28" i="45"/>
  <c r="E28" i="45"/>
  <c r="K28" i="45"/>
  <c r="N28" i="45"/>
  <c r="O28" i="45"/>
  <c r="Q28" i="45"/>
  <c r="R28" i="45"/>
  <c r="G29" i="45"/>
  <c r="J29" i="45"/>
  <c r="E29" i="45"/>
  <c r="K29" i="45"/>
  <c r="N29" i="45"/>
  <c r="O29" i="45"/>
  <c r="Q29" i="45"/>
  <c r="R29" i="45"/>
  <c r="G30" i="45"/>
  <c r="E30" i="45"/>
  <c r="K30" i="45"/>
  <c r="N30" i="45"/>
  <c r="O30" i="45"/>
  <c r="Q30" i="45"/>
  <c r="R30" i="45"/>
  <c r="E31" i="45"/>
  <c r="F31" i="45"/>
  <c r="K31" i="45"/>
  <c r="N31" i="45"/>
  <c r="O31" i="45"/>
  <c r="Q31" i="45"/>
  <c r="R31" i="45"/>
  <c r="G32" i="45"/>
  <c r="E32" i="45"/>
  <c r="K32" i="45"/>
  <c r="N32" i="45"/>
  <c r="O32" i="45"/>
  <c r="Q32" i="45"/>
  <c r="R32" i="45"/>
  <c r="G33" i="45"/>
  <c r="E33" i="45"/>
  <c r="K33" i="45"/>
  <c r="N33" i="45"/>
  <c r="O33" i="45"/>
  <c r="Q33" i="45"/>
  <c r="R33" i="45"/>
  <c r="G34" i="45"/>
  <c r="E34" i="45"/>
  <c r="K34" i="45"/>
  <c r="N34" i="45"/>
  <c r="O34" i="45"/>
  <c r="Q34" i="45"/>
  <c r="R34" i="45"/>
  <c r="J22" i="57"/>
  <c r="R6" i="16"/>
  <c r="S6" i="16"/>
  <c r="R7" i="16"/>
  <c r="S7" i="16"/>
  <c r="R8" i="16"/>
  <c r="S8" i="16"/>
  <c r="R9" i="16"/>
  <c r="S9" i="16"/>
  <c r="R10" i="16"/>
  <c r="S10" i="16"/>
  <c r="R11" i="16"/>
  <c r="S11" i="16"/>
  <c r="R12" i="16"/>
  <c r="S12" i="16"/>
  <c r="R13" i="16"/>
  <c r="S13" i="16"/>
  <c r="R14" i="16"/>
  <c r="S14" i="16"/>
  <c r="R15" i="16"/>
  <c r="S15" i="16"/>
  <c r="R16" i="16"/>
  <c r="S16" i="16"/>
  <c r="R17" i="16"/>
  <c r="S17" i="16"/>
  <c r="R18" i="16"/>
  <c r="S18" i="16"/>
  <c r="R19" i="16"/>
  <c r="S19" i="16"/>
  <c r="R20" i="16"/>
  <c r="S20" i="16"/>
  <c r="R21" i="16"/>
  <c r="S21" i="16"/>
  <c r="R22" i="16"/>
  <c r="S22" i="16"/>
  <c r="R23" i="16"/>
  <c r="S23" i="16"/>
  <c r="R24" i="16"/>
  <c r="S24" i="16"/>
  <c r="R25" i="16"/>
  <c r="S25" i="16"/>
  <c r="R26" i="16"/>
  <c r="S26" i="16"/>
  <c r="R28" i="16"/>
  <c r="S28" i="16"/>
  <c r="R29" i="16"/>
  <c r="S29" i="16"/>
  <c r="R30" i="16"/>
  <c r="S30" i="16"/>
  <c r="R31" i="16"/>
  <c r="S31" i="16"/>
  <c r="R32" i="16"/>
  <c r="S32" i="16"/>
  <c r="R33" i="16"/>
  <c r="S33" i="16"/>
  <c r="R34" i="16"/>
  <c r="S34" i="16"/>
  <c r="K22" i="57"/>
  <c r="N6" i="12"/>
  <c r="P6" i="12"/>
  <c r="Q6" i="12"/>
  <c r="N7" i="12"/>
  <c r="P7" i="12"/>
  <c r="Q7" i="12"/>
  <c r="N8" i="12"/>
  <c r="P8" i="12"/>
  <c r="Q8" i="12"/>
  <c r="N9" i="12"/>
  <c r="P9" i="12"/>
  <c r="Q9" i="12"/>
  <c r="N10" i="12"/>
  <c r="P10" i="12"/>
  <c r="Q10" i="12"/>
  <c r="N11" i="12"/>
  <c r="P11" i="12"/>
  <c r="Q11" i="12"/>
  <c r="N12" i="12"/>
  <c r="P12" i="12"/>
  <c r="Q12" i="12"/>
  <c r="N13" i="12"/>
  <c r="P13" i="12"/>
  <c r="Q13" i="12"/>
  <c r="N14" i="12"/>
  <c r="P14" i="12"/>
  <c r="Q14" i="12"/>
  <c r="N15" i="12"/>
  <c r="P15" i="12"/>
  <c r="Q15" i="12"/>
  <c r="N16" i="12"/>
  <c r="P16" i="12"/>
  <c r="Q16" i="12"/>
  <c r="N17" i="12"/>
  <c r="P17" i="12"/>
  <c r="Q17" i="12"/>
  <c r="N18" i="12"/>
  <c r="P18" i="12"/>
  <c r="Q18" i="12"/>
  <c r="E19" i="12"/>
  <c r="J19" i="12"/>
  <c r="M19" i="12"/>
  <c r="N19" i="12"/>
  <c r="P19" i="12"/>
  <c r="Q19" i="12"/>
  <c r="N20" i="12"/>
  <c r="P20" i="12"/>
  <c r="Q20" i="12"/>
  <c r="N21" i="12"/>
  <c r="P21" i="12"/>
  <c r="Q21" i="12"/>
  <c r="N22" i="12"/>
  <c r="P22" i="12"/>
  <c r="Q22" i="12"/>
  <c r="N23" i="12"/>
  <c r="P23" i="12"/>
  <c r="Q23" i="12"/>
  <c r="N24" i="12"/>
  <c r="P24" i="12"/>
  <c r="Q24" i="12"/>
  <c r="N25" i="12"/>
  <c r="P25" i="12"/>
  <c r="Q25" i="12"/>
  <c r="N26" i="12"/>
  <c r="P26" i="12"/>
  <c r="Q26" i="12"/>
  <c r="N28" i="12"/>
  <c r="P28" i="12"/>
  <c r="Q28" i="12"/>
  <c r="N29" i="12"/>
  <c r="P29" i="12"/>
  <c r="Q29" i="12"/>
  <c r="E30" i="12"/>
  <c r="I30" i="12"/>
  <c r="J30" i="12"/>
  <c r="M30" i="12"/>
  <c r="N30" i="12"/>
  <c r="P30" i="12"/>
  <c r="Q30" i="12"/>
  <c r="N31" i="12"/>
  <c r="P31" i="12"/>
  <c r="Q31" i="12"/>
  <c r="N32" i="12"/>
  <c r="P32" i="12"/>
  <c r="Q32" i="12"/>
  <c r="N33" i="12"/>
  <c r="P33" i="12"/>
  <c r="Q33" i="12"/>
  <c r="J34" i="12"/>
  <c r="M34" i="12"/>
  <c r="N34" i="12"/>
  <c r="P34" i="12"/>
  <c r="Q34" i="12"/>
  <c r="L22" i="57"/>
  <c r="M6" i="18"/>
  <c r="N6" i="18"/>
  <c r="P6" i="18"/>
  <c r="Q6" i="18"/>
  <c r="M7" i="18"/>
  <c r="N7" i="18"/>
  <c r="P7" i="18"/>
  <c r="Q7" i="18"/>
  <c r="M8" i="18"/>
  <c r="N8" i="18"/>
  <c r="P8" i="18"/>
  <c r="Q8" i="18"/>
  <c r="N9" i="18"/>
  <c r="P9" i="18"/>
  <c r="Q9" i="18"/>
  <c r="M10" i="18"/>
  <c r="N10" i="18"/>
  <c r="P10" i="18"/>
  <c r="Q10" i="18"/>
  <c r="N11" i="18"/>
  <c r="P11" i="18"/>
  <c r="Q11" i="18"/>
  <c r="M12" i="18"/>
  <c r="N12" i="18"/>
  <c r="P12" i="18"/>
  <c r="Q12" i="18"/>
  <c r="N13" i="18"/>
  <c r="P13" i="18"/>
  <c r="Q13" i="18"/>
  <c r="M14" i="18"/>
  <c r="N14" i="18"/>
  <c r="P14" i="18"/>
  <c r="Q14" i="18"/>
  <c r="N15" i="18"/>
  <c r="P15" i="18"/>
  <c r="Q15" i="18"/>
  <c r="N16" i="18"/>
  <c r="P16" i="18"/>
  <c r="Q16" i="18"/>
  <c r="M17" i="18"/>
  <c r="N17" i="18"/>
  <c r="P17" i="18"/>
  <c r="Q17" i="18"/>
  <c r="N18" i="18"/>
  <c r="P18" i="18"/>
  <c r="Q18" i="18"/>
  <c r="M19" i="18"/>
  <c r="N19" i="18"/>
  <c r="P19" i="18"/>
  <c r="Q19" i="18"/>
  <c r="M20" i="18"/>
  <c r="N20" i="18"/>
  <c r="P20" i="18"/>
  <c r="Q20" i="18"/>
  <c r="M21" i="18"/>
  <c r="N21" i="18"/>
  <c r="P21" i="18"/>
  <c r="Q21" i="18"/>
  <c r="M22" i="18"/>
  <c r="N22" i="18"/>
  <c r="P22" i="18"/>
  <c r="Q22" i="18"/>
  <c r="M23" i="18"/>
  <c r="N23" i="18"/>
  <c r="P23" i="18"/>
  <c r="Q23" i="18"/>
  <c r="M24" i="18"/>
  <c r="N24" i="18"/>
  <c r="P24" i="18"/>
  <c r="Q24" i="18"/>
  <c r="M25" i="18"/>
  <c r="N25" i="18"/>
  <c r="P25" i="18"/>
  <c r="Q25" i="18"/>
  <c r="M26" i="18"/>
  <c r="N26" i="18"/>
  <c r="P26" i="18"/>
  <c r="Q26" i="18"/>
  <c r="M28" i="18"/>
  <c r="N28" i="18"/>
  <c r="P28" i="18"/>
  <c r="Q28" i="18"/>
  <c r="N29" i="18"/>
  <c r="P29" i="18"/>
  <c r="Q29" i="18"/>
  <c r="M30" i="18"/>
  <c r="N30" i="18"/>
  <c r="P30" i="18"/>
  <c r="Q30" i="18"/>
  <c r="M31" i="18"/>
  <c r="N31" i="18"/>
  <c r="P31" i="18"/>
  <c r="Q31" i="18"/>
  <c r="N32" i="18"/>
  <c r="P32" i="18"/>
  <c r="Q32" i="18"/>
  <c r="M33" i="18"/>
  <c r="N33" i="18"/>
  <c r="P33" i="18"/>
  <c r="Q33" i="18"/>
  <c r="M34" i="18"/>
  <c r="N34" i="18"/>
  <c r="P34" i="18"/>
  <c r="Q34" i="18"/>
  <c r="M22" i="57"/>
  <c r="F6" i="58"/>
  <c r="E6" i="58"/>
  <c r="I6" i="58"/>
  <c r="J6" i="58"/>
  <c r="M6" i="58"/>
  <c r="N6" i="58"/>
  <c r="P6" i="58"/>
  <c r="Q6" i="58"/>
  <c r="F7" i="58"/>
  <c r="E7" i="58"/>
  <c r="J7" i="58"/>
  <c r="M7" i="58"/>
  <c r="N7" i="58"/>
  <c r="P7" i="58"/>
  <c r="Q7" i="58"/>
  <c r="F8" i="58"/>
  <c r="E8" i="58"/>
  <c r="J8" i="58"/>
  <c r="M8" i="58"/>
  <c r="N8" i="58"/>
  <c r="P8" i="58"/>
  <c r="Q8" i="58"/>
  <c r="F9" i="58"/>
  <c r="E9" i="58"/>
  <c r="J9" i="58"/>
  <c r="M9" i="58"/>
  <c r="N9" i="58"/>
  <c r="P9" i="58"/>
  <c r="Q9" i="58"/>
  <c r="F10" i="58"/>
  <c r="E10" i="58"/>
  <c r="J10" i="58"/>
  <c r="M10" i="58"/>
  <c r="N10" i="58"/>
  <c r="P10" i="58"/>
  <c r="Q10" i="58"/>
  <c r="F11" i="58"/>
  <c r="E11" i="58"/>
  <c r="J11" i="58"/>
  <c r="M11" i="58"/>
  <c r="N11" i="58"/>
  <c r="P11" i="58"/>
  <c r="Q11" i="58"/>
  <c r="F12" i="58"/>
  <c r="E12" i="58"/>
  <c r="J12" i="58"/>
  <c r="M12" i="58"/>
  <c r="N12" i="58"/>
  <c r="P12" i="58"/>
  <c r="Q12" i="58"/>
  <c r="F13" i="58"/>
  <c r="E13" i="58"/>
  <c r="J13" i="58"/>
  <c r="M13" i="58"/>
  <c r="N13" i="58"/>
  <c r="P13" i="58"/>
  <c r="Q13" i="58"/>
  <c r="F14" i="58"/>
  <c r="E14" i="58"/>
  <c r="J14" i="58"/>
  <c r="M14" i="58"/>
  <c r="N14" i="58"/>
  <c r="P14" i="58"/>
  <c r="Q14" i="58"/>
  <c r="F15" i="58"/>
  <c r="E15" i="58"/>
  <c r="J15" i="58"/>
  <c r="M15" i="58"/>
  <c r="N15" i="58"/>
  <c r="P15" i="58"/>
  <c r="Q15" i="58"/>
  <c r="F16" i="58"/>
  <c r="E16" i="58"/>
  <c r="J16" i="58"/>
  <c r="M16" i="58"/>
  <c r="N16" i="58"/>
  <c r="P16" i="58"/>
  <c r="Q16" i="58"/>
  <c r="F17" i="58"/>
  <c r="E17" i="58"/>
  <c r="J17" i="58"/>
  <c r="M17" i="58"/>
  <c r="N17" i="58"/>
  <c r="P17" i="58"/>
  <c r="Q17" i="58"/>
  <c r="F18" i="58"/>
  <c r="E18" i="58"/>
  <c r="J18" i="58"/>
  <c r="M18" i="58"/>
  <c r="N18" i="58"/>
  <c r="P18" i="58"/>
  <c r="Q18" i="58"/>
  <c r="F19" i="58"/>
  <c r="E19" i="58"/>
  <c r="I19" i="58"/>
  <c r="J19" i="58"/>
  <c r="M19" i="58"/>
  <c r="N19" i="58"/>
  <c r="P19" i="58"/>
  <c r="Q19" i="58"/>
  <c r="F20" i="58"/>
  <c r="E20" i="58"/>
  <c r="J20" i="58"/>
  <c r="M20" i="58"/>
  <c r="N20" i="58"/>
  <c r="P20" i="58"/>
  <c r="Q20" i="58"/>
  <c r="F21" i="58"/>
  <c r="E21" i="58"/>
  <c r="J21" i="58"/>
  <c r="M21" i="58"/>
  <c r="N21" i="58"/>
  <c r="P21" i="58"/>
  <c r="Q21" i="58"/>
  <c r="F22" i="58"/>
  <c r="E22" i="58"/>
  <c r="J22" i="58"/>
  <c r="M22" i="58"/>
  <c r="N22" i="58"/>
  <c r="P22" i="58"/>
  <c r="Q22" i="58"/>
  <c r="F23" i="58"/>
  <c r="E23" i="58"/>
  <c r="J23" i="58"/>
  <c r="M23" i="58"/>
  <c r="N23" i="58"/>
  <c r="P23" i="58"/>
  <c r="Q23" i="58"/>
  <c r="F24" i="58"/>
  <c r="E24" i="58"/>
  <c r="J24" i="58"/>
  <c r="M24" i="58"/>
  <c r="N24" i="58"/>
  <c r="P24" i="58"/>
  <c r="Q24" i="58"/>
  <c r="F25" i="58"/>
  <c r="E25" i="58"/>
  <c r="J25" i="58"/>
  <c r="M25" i="58"/>
  <c r="N25" i="58"/>
  <c r="P25" i="58"/>
  <c r="Q25" i="58"/>
  <c r="F26" i="58"/>
  <c r="E26" i="58"/>
  <c r="I26" i="58"/>
  <c r="J26" i="58"/>
  <c r="M26" i="58"/>
  <c r="N26" i="58"/>
  <c r="P26" i="58"/>
  <c r="Q26" i="58"/>
  <c r="F28" i="58"/>
  <c r="E28" i="58"/>
  <c r="J28" i="58"/>
  <c r="M28" i="58"/>
  <c r="N28" i="58"/>
  <c r="P28" i="58"/>
  <c r="Q28" i="58"/>
  <c r="F29" i="58"/>
  <c r="E29" i="58"/>
  <c r="J29" i="58"/>
  <c r="M29" i="58"/>
  <c r="N29" i="58"/>
  <c r="P29" i="58"/>
  <c r="Q29" i="58"/>
  <c r="F30" i="58"/>
  <c r="E30" i="58"/>
  <c r="J30" i="58"/>
  <c r="M30" i="58"/>
  <c r="N30" i="58"/>
  <c r="P30" i="58"/>
  <c r="Q30" i="58"/>
  <c r="J31" i="58"/>
  <c r="M31" i="58"/>
  <c r="N31" i="58"/>
  <c r="P31" i="58"/>
  <c r="Q31" i="58"/>
  <c r="F32" i="58"/>
  <c r="E32" i="58"/>
  <c r="J32" i="58"/>
  <c r="M32" i="58"/>
  <c r="N32" i="58"/>
  <c r="P32" i="58"/>
  <c r="Q32" i="58"/>
  <c r="F33" i="58"/>
  <c r="E33" i="58"/>
  <c r="J33" i="58"/>
  <c r="M33" i="58"/>
  <c r="N33" i="58"/>
  <c r="P33" i="58"/>
  <c r="Q33" i="58"/>
  <c r="F34" i="58"/>
  <c r="E34" i="58"/>
  <c r="J34" i="58"/>
  <c r="M34" i="58"/>
  <c r="N34" i="58"/>
  <c r="P34" i="58"/>
  <c r="Q34" i="58"/>
  <c r="N22" i="57"/>
  <c r="Q6" i="42"/>
  <c r="R6" i="42"/>
  <c r="Q7" i="42"/>
  <c r="R7" i="42"/>
  <c r="Q8" i="42"/>
  <c r="R8" i="42"/>
  <c r="Q9" i="42"/>
  <c r="R9" i="42"/>
  <c r="Q10" i="42"/>
  <c r="R10" i="42"/>
  <c r="Q11" i="42"/>
  <c r="R11" i="42"/>
  <c r="Q12" i="42"/>
  <c r="R12" i="42"/>
  <c r="Q13" i="42"/>
  <c r="R13" i="42"/>
  <c r="Q14" i="42"/>
  <c r="R14" i="42"/>
  <c r="Q15" i="42"/>
  <c r="R15" i="42"/>
  <c r="Q16" i="42"/>
  <c r="R16" i="42"/>
  <c r="Q17" i="42"/>
  <c r="R17" i="42"/>
  <c r="Q18" i="42"/>
  <c r="R18" i="42"/>
  <c r="Q19" i="42"/>
  <c r="R19" i="42"/>
  <c r="Q20" i="42"/>
  <c r="R20" i="42"/>
  <c r="Q21" i="42"/>
  <c r="R21" i="42"/>
  <c r="Q22" i="42"/>
  <c r="R22" i="42"/>
  <c r="Q23" i="42"/>
  <c r="R23" i="42"/>
  <c r="Q24" i="42"/>
  <c r="R24" i="42"/>
  <c r="Q25" i="42"/>
  <c r="R25" i="42"/>
  <c r="Q26" i="42"/>
  <c r="R26" i="42"/>
  <c r="Q28" i="42"/>
  <c r="R28" i="42"/>
  <c r="Q29" i="42"/>
  <c r="R29" i="42"/>
  <c r="Q30" i="42"/>
  <c r="R30" i="42"/>
  <c r="Q31" i="42"/>
  <c r="R31" i="42"/>
  <c r="Q32" i="42"/>
  <c r="R32" i="42"/>
  <c r="Q33" i="42"/>
  <c r="R33" i="42"/>
  <c r="Q34" i="42"/>
  <c r="R34" i="42"/>
  <c r="O22" i="57"/>
  <c r="G6" i="19"/>
  <c r="H6" i="19"/>
  <c r="L6" i="19"/>
  <c r="R6" i="19"/>
  <c r="S6" i="19"/>
  <c r="G7" i="19"/>
  <c r="H7" i="19"/>
  <c r="L7" i="19"/>
  <c r="R7" i="19"/>
  <c r="S7" i="19"/>
  <c r="G8" i="19"/>
  <c r="H8" i="19"/>
  <c r="L8" i="19"/>
  <c r="R8" i="19"/>
  <c r="S8" i="19"/>
  <c r="G9" i="19"/>
  <c r="H9" i="19"/>
  <c r="L9" i="19"/>
  <c r="R9" i="19"/>
  <c r="S9" i="19"/>
  <c r="G10" i="19"/>
  <c r="H10" i="19"/>
  <c r="L10" i="19"/>
  <c r="R10" i="19"/>
  <c r="S10" i="19"/>
  <c r="G11" i="19"/>
  <c r="H11" i="19"/>
  <c r="L11" i="19"/>
  <c r="R11" i="19"/>
  <c r="S11" i="19"/>
  <c r="G12" i="19"/>
  <c r="H12" i="19"/>
  <c r="L12" i="19"/>
  <c r="R12" i="19"/>
  <c r="S12" i="19"/>
  <c r="G13" i="19"/>
  <c r="H13" i="19"/>
  <c r="L13" i="19"/>
  <c r="R13" i="19"/>
  <c r="S13" i="19"/>
  <c r="G14" i="19"/>
  <c r="H14" i="19"/>
  <c r="L14" i="19"/>
  <c r="R14" i="19"/>
  <c r="S14" i="19"/>
  <c r="G15" i="19"/>
  <c r="H15" i="19"/>
  <c r="L15" i="19"/>
  <c r="R15" i="19"/>
  <c r="S15" i="19"/>
  <c r="G16" i="19"/>
  <c r="H16" i="19"/>
  <c r="L16" i="19"/>
  <c r="R16" i="19"/>
  <c r="S16" i="19"/>
  <c r="G17" i="19"/>
  <c r="H17" i="19"/>
  <c r="L17" i="19"/>
  <c r="R17" i="19"/>
  <c r="S17" i="19"/>
  <c r="G18" i="19"/>
  <c r="H18" i="19"/>
  <c r="L18" i="19"/>
  <c r="R18" i="19"/>
  <c r="S18" i="19"/>
  <c r="G19" i="19"/>
  <c r="H19" i="19"/>
  <c r="L19" i="19"/>
  <c r="R19" i="19"/>
  <c r="S19" i="19"/>
  <c r="G20" i="19"/>
  <c r="H20" i="19"/>
  <c r="L20" i="19"/>
  <c r="R20" i="19"/>
  <c r="S20" i="19"/>
  <c r="G21" i="19"/>
  <c r="H21" i="19"/>
  <c r="L21" i="19"/>
  <c r="R21" i="19"/>
  <c r="S21" i="19"/>
  <c r="G22" i="19"/>
  <c r="H22" i="19"/>
  <c r="L22" i="19"/>
  <c r="R22" i="19"/>
  <c r="S22" i="19"/>
  <c r="G23" i="19"/>
  <c r="H23" i="19"/>
  <c r="L23" i="19"/>
  <c r="R23" i="19"/>
  <c r="S23" i="19"/>
  <c r="G24" i="19"/>
  <c r="H24" i="19"/>
  <c r="L24" i="19"/>
  <c r="R24" i="19"/>
  <c r="S24" i="19"/>
  <c r="G25" i="19"/>
  <c r="H25" i="19"/>
  <c r="L25" i="19"/>
  <c r="R25" i="19"/>
  <c r="S25" i="19"/>
  <c r="G26" i="19"/>
  <c r="H26" i="19"/>
  <c r="L26" i="19"/>
  <c r="R26" i="19"/>
  <c r="S26" i="19"/>
  <c r="H28" i="19"/>
  <c r="K28" i="19"/>
  <c r="G28" i="19"/>
  <c r="L28" i="19"/>
  <c r="R28" i="19"/>
  <c r="S28" i="19"/>
  <c r="K29" i="19"/>
  <c r="G29" i="19"/>
  <c r="L29" i="19"/>
  <c r="R29" i="19"/>
  <c r="S29" i="19"/>
  <c r="G30" i="19"/>
  <c r="H30" i="19"/>
  <c r="L30" i="19"/>
  <c r="R30" i="19"/>
  <c r="S30" i="19"/>
  <c r="G31" i="19"/>
  <c r="H31" i="19"/>
  <c r="L31" i="19"/>
  <c r="R31" i="19"/>
  <c r="S31" i="19"/>
  <c r="H32" i="19"/>
  <c r="K32" i="19"/>
  <c r="G32" i="19"/>
  <c r="L32" i="19"/>
  <c r="R32" i="19"/>
  <c r="S32" i="19"/>
  <c r="G33" i="19"/>
  <c r="H33" i="19"/>
  <c r="L33" i="19"/>
  <c r="R33" i="19"/>
  <c r="S33" i="19"/>
  <c r="G34" i="19"/>
  <c r="H34" i="19"/>
  <c r="L34" i="19"/>
  <c r="R34" i="19"/>
  <c r="S34" i="19"/>
  <c r="P22" i="57"/>
  <c r="AB6" i="10"/>
  <c r="S6" i="10"/>
  <c r="R6" i="10"/>
  <c r="W6" i="10"/>
  <c r="AC6" i="10"/>
  <c r="AD6" i="10"/>
  <c r="AB7" i="10"/>
  <c r="S7" i="10"/>
  <c r="R7" i="10"/>
  <c r="W7" i="10"/>
  <c r="AC7" i="10"/>
  <c r="AD7" i="10"/>
  <c r="AB8" i="10"/>
  <c r="S8" i="10"/>
  <c r="R8" i="10"/>
  <c r="W8" i="10"/>
  <c r="AC8" i="10"/>
  <c r="AD8" i="10"/>
  <c r="AB9" i="10"/>
  <c r="S9" i="10"/>
  <c r="R9" i="10"/>
  <c r="W9" i="10"/>
  <c r="AC9" i="10"/>
  <c r="AD9" i="10"/>
  <c r="AB10" i="10"/>
  <c r="S10" i="10"/>
  <c r="R10" i="10"/>
  <c r="W10" i="10"/>
  <c r="AC10" i="10"/>
  <c r="AD10" i="10"/>
  <c r="AB11" i="10"/>
  <c r="S11" i="10"/>
  <c r="R11" i="10"/>
  <c r="W11" i="10"/>
  <c r="AC11" i="10"/>
  <c r="AD11" i="10"/>
  <c r="AB12" i="10"/>
  <c r="S12" i="10"/>
  <c r="R12" i="10"/>
  <c r="W12" i="10"/>
  <c r="AC12" i="10"/>
  <c r="AD12" i="10"/>
  <c r="AB13" i="10"/>
  <c r="S13" i="10"/>
  <c r="R13" i="10"/>
  <c r="W13" i="10"/>
  <c r="AC13" i="10"/>
  <c r="AD13" i="10"/>
  <c r="AB14" i="10"/>
  <c r="S14" i="10"/>
  <c r="R14" i="10"/>
  <c r="W14" i="10"/>
  <c r="AC14" i="10"/>
  <c r="AD14" i="10"/>
  <c r="AB15" i="10"/>
  <c r="S15" i="10"/>
  <c r="R15" i="10"/>
  <c r="W15" i="10"/>
  <c r="AC15" i="10"/>
  <c r="AD15" i="10"/>
  <c r="AB16" i="10"/>
  <c r="S16" i="10"/>
  <c r="R16" i="10"/>
  <c r="W16" i="10"/>
  <c r="AC16" i="10"/>
  <c r="AD16" i="10"/>
  <c r="AB17" i="10"/>
  <c r="S17" i="10"/>
  <c r="R17" i="10"/>
  <c r="W17" i="10"/>
  <c r="AC17" i="10"/>
  <c r="AD17" i="10"/>
  <c r="AB18" i="10"/>
  <c r="S18" i="10"/>
  <c r="R18" i="10"/>
  <c r="W18" i="10"/>
  <c r="AC18" i="10"/>
  <c r="AD18" i="10"/>
  <c r="AB19" i="10"/>
  <c r="O19" i="10"/>
  <c r="P19" i="10"/>
  <c r="R19" i="10"/>
  <c r="W19" i="10"/>
  <c r="AC19" i="10"/>
  <c r="AD19" i="10"/>
  <c r="AB20" i="10"/>
  <c r="S20" i="10"/>
  <c r="R20" i="10"/>
  <c r="W20" i="10"/>
  <c r="AC20" i="10"/>
  <c r="AD20" i="10"/>
  <c r="AB21" i="10"/>
  <c r="S21" i="10"/>
  <c r="R21" i="10"/>
  <c r="W21" i="10"/>
  <c r="AC21" i="10"/>
  <c r="AD21" i="10"/>
  <c r="AB22" i="10"/>
  <c r="S22" i="10"/>
  <c r="R22" i="10"/>
  <c r="W22" i="10"/>
  <c r="AC22" i="10"/>
  <c r="AD22" i="10"/>
  <c r="AB23" i="10"/>
  <c r="S23" i="10"/>
  <c r="R23" i="10"/>
  <c r="W23" i="10"/>
  <c r="AC23" i="10"/>
  <c r="AD23" i="10"/>
  <c r="AB24" i="10"/>
  <c r="O24" i="10"/>
  <c r="P24" i="10"/>
  <c r="R24" i="10"/>
  <c r="W24" i="10"/>
  <c r="AC24" i="10"/>
  <c r="AD24" i="10"/>
  <c r="AB25" i="10"/>
  <c r="S25" i="10"/>
  <c r="R25" i="10"/>
  <c r="W25" i="10"/>
  <c r="AC25" i="10"/>
  <c r="AD25" i="10"/>
  <c r="AB26" i="10"/>
  <c r="O26" i="10"/>
  <c r="P26" i="10"/>
  <c r="R26" i="10"/>
  <c r="W26" i="10"/>
  <c r="AC26" i="10"/>
  <c r="AD26" i="10"/>
  <c r="E109" i="5"/>
  <c r="G109" i="5"/>
  <c r="U28" i="10"/>
  <c r="Y28" i="10"/>
  <c r="AB28" i="10"/>
  <c r="O28" i="10"/>
  <c r="P28" i="10"/>
  <c r="R28" i="10"/>
  <c r="W28" i="10"/>
  <c r="AC28" i="10"/>
  <c r="AD28" i="10"/>
  <c r="E106" i="5"/>
  <c r="G106" i="5"/>
  <c r="U29" i="10"/>
  <c r="Y29" i="10"/>
  <c r="AB29" i="10"/>
  <c r="R29" i="10"/>
  <c r="U81" i="10"/>
  <c r="U82" i="10"/>
  <c r="U83" i="10"/>
  <c r="W29" i="10"/>
  <c r="AC29" i="10"/>
  <c r="AD29" i="10"/>
  <c r="O30" i="10"/>
  <c r="P30" i="10"/>
  <c r="R30" i="10"/>
  <c r="U30" i="10"/>
  <c r="Y30" i="10"/>
  <c r="AB30" i="10"/>
  <c r="U72" i="10"/>
  <c r="U73" i="10"/>
  <c r="U74" i="10"/>
  <c r="U75" i="10"/>
  <c r="W30" i="10"/>
  <c r="AC30" i="10"/>
  <c r="AD30" i="10"/>
  <c r="T31" i="10"/>
  <c r="O31" i="10"/>
  <c r="P31" i="10"/>
  <c r="R31" i="10"/>
  <c r="U31" i="10"/>
  <c r="Y31" i="10"/>
  <c r="AB31" i="10"/>
  <c r="W31" i="10"/>
  <c r="AC31" i="10"/>
  <c r="AD31" i="10"/>
  <c r="U32" i="10"/>
  <c r="Y32" i="10"/>
  <c r="AB32" i="10"/>
  <c r="O32" i="10"/>
  <c r="P32" i="10"/>
  <c r="R32" i="10"/>
  <c r="W32" i="10"/>
  <c r="AC32" i="10"/>
  <c r="AD32" i="10"/>
  <c r="C112" i="5"/>
  <c r="U33" i="10"/>
  <c r="Y33" i="10"/>
  <c r="AB33" i="10"/>
  <c r="O33" i="10"/>
  <c r="P33" i="10"/>
  <c r="R33" i="10"/>
  <c r="W33" i="10"/>
  <c r="AC33" i="10"/>
  <c r="AD33" i="10"/>
  <c r="U34" i="10"/>
  <c r="Y34" i="10"/>
  <c r="AB34" i="10"/>
  <c r="O34" i="10"/>
  <c r="P34" i="10"/>
  <c r="R34" i="10"/>
  <c r="W34" i="10"/>
  <c r="AC34" i="10"/>
  <c r="AD34" i="10"/>
  <c r="S22" i="57"/>
  <c r="F6" i="21"/>
  <c r="K6" i="21"/>
  <c r="N6" i="21"/>
  <c r="O6" i="21"/>
  <c r="Q6" i="21"/>
  <c r="R6" i="21"/>
  <c r="F7" i="21"/>
  <c r="K7" i="21"/>
  <c r="N7" i="21"/>
  <c r="O7" i="21"/>
  <c r="Q7" i="21"/>
  <c r="R7" i="21"/>
  <c r="F8" i="21"/>
  <c r="K8" i="21"/>
  <c r="N8" i="21"/>
  <c r="O8" i="21"/>
  <c r="Q8" i="21"/>
  <c r="R8" i="21"/>
  <c r="F9" i="21"/>
  <c r="K9" i="21"/>
  <c r="N9" i="21"/>
  <c r="O9" i="21"/>
  <c r="Q9" i="21"/>
  <c r="R9" i="21"/>
  <c r="F10" i="21"/>
  <c r="K10" i="21"/>
  <c r="N10" i="21"/>
  <c r="O10" i="21"/>
  <c r="Q10" i="21"/>
  <c r="R10" i="21"/>
  <c r="F11" i="21"/>
  <c r="K11" i="21"/>
  <c r="N11" i="21"/>
  <c r="O11" i="21"/>
  <c r="Q11" i="21"/>
  <c r="R11" i="21"/>
  <c r="F12" i="21"/>
  <c r="K12" i="21"/>
  <c r="N12" i="21"/>
  <c r="O12" i="21"/>
  <c r="Q12" i="21"/>
  <c r="R12" i="21"/>
  <c r="F13" i="21"/>
  <c r="K13" i="21"/>
  <c r="N13" i="21"/>
  <c r="O13" i="21"/>
  <c r="Q13" i="21"/>
  <c r="R13" i="21"/>
  <c r="F14" i="21"/>
  <c r="K14" i="21"/>
  <c r="N14" i="21"/>
  <c r="O14" i="21"/>
  <c r="Q14" i="21"/>
  <c r="R14" i="21"/>
  <c r="F15" i="21"/>
  <c r="K15" i="21"/>
  <c r="N15" i="21"/>
  <c r="O15" i="21"/>
  <c r="Q15" i="21"/>
  <c r="R15" i="21"/>
  <c r="F16" i="21"/>
  <c r="K16" i="21"/>
  <c r="N16" i="21"/>
  <c r="O16" i="21"/>
  <c r="Q16" i="21"/>
  <c r="R16" i="21"/>
  <c r="F17" i="21"/>
  <c r="K17" i="21"/>
  <c r="N17" i="21"/>
  <c r="O17" i="21"/>
  <c r="Q17" i="21"/>
  <c r="R17" i="21"/>
  <c r="F18" i="21"/>
  <c r="K18" i="21"/>
  <c r="N18" i="21"/>
  <c r="O18" i="21"/>
  <c r="Q18" i="21"/>
  <c r="R18" i="21"/>
  <c r="F19" i="21"/>
  <c r="K19" i="21"/>
  <c r="N19" i="21"/>
  <c r="O19" i="21"/>
  <c r="Q19" i="21"/>
  <c r="R19" i="21"/>
  <c r="F20" i="21"/>
  <c r="K20" i="21"/>
  <c r="N20" i="21"/>
  <c r="O20" i="21"/>
  <c r="Q20" i="21"/>
  <c r="R20" i="21"/>
  <c r="F21" i="21"/>
  <c r="K21" i="21"/>
  <c r="N21" i="21"/>
  <c r="O21" i="21"/>
  <c r="Q21" i="21"/>
  <c r="R21" i="21"/>
  <c r="F22" i="21"/>
  <c r="K22" i="21"/>
  <c r="N22" i="21"/>
  <c r="O22" i="21"/>
  <c r="Q22" i="21"/>
  <c r="R22" i="21"/>
  <c r="F23" i="21"/>
  <c r="K23" i="21"/>
  <c r="N23" i="21"/>
  <c r="O23" i="21"/>
  <c r="Q23" i="21"/>
  <c r="R23" i="21"/>
  <c r="E24" i="21"/>
  <c r="F24" i="21"/>
  <c r="K24" i="21"/>
  <c r="N24" i="21"/>
  <c r="O24" i="21"/>
  <c r="Q24" i="21"/>
  <c r="R24" i="21"/>
  <c r="F25" i="21"/>
  <c r="K25" i="21"/>
  <c r="N25" i="21"/>
  <c r="O25" i="21"/>
  <c r="Q25" i="21"/>
  <c r="R25" i="21"/>
  <c r="K26" i="21"/>
  <c r="N26" i="21"/>
  <c r="O26" i="21"/>
  <c r="Q26" i="21"/>
  <c r="R26" i="21"/>
  <c r="K28" i="21"/>
  <c r="N28" i="21"/>
  <c r="O28" i="21"/>
  <c r="Q28" i="21"/>
  <c r="R28" i="21"/>
  <c r="I81" i="21"/>
  <c r="I79" i="21"/>
  <c r="I82" i="21"/>
  <c r="I83" i="21"/>
  <c r="I84" i="21"/>
  <c r="J29" i="21"/>
  <c r="E29" i="21"/>
  <c r="K29" i="21"/>
  <c r="N29" i="21"/>
  <c r="O29" i="21"/>
  <c r="Q29" i="21"/>
  <c r="R29" i="21"/>
  <c r="K30" i="21"/>
  <c r="N30" i="21"/>
  <c r="O30" i="21"/>
  <c r="Q30" i="21"/>
  <c r="R30" i="21"/>
  <c r="K31" i="21"/>
  <c r="N31" i="21"/>
  <c r="O31" i="21"/>
  <c r="Q31" i="21"/>
  <c r="R31" i="21"/>
  <c r="E32" i="21"/>
  <c r="G32" i="21"/>
  <c r="K32" i="21"/>
  <c r="N32" i="21"/>
  <c r="O32" i="21"/>
  <c r="Q32" i="21"/>
  <c r="R32" i="21"/>
  <c r="G33" i="21"/>
  <c r="K33" i="21"/>
  <c r="N33" i="21"/>
  <c r="O33" i="21"/>
  <c r="Q33" i="21"/>
  <c r="R33" i="21"/>
  <c r="K34" i="21"/>
  <c r="N34" i="21"/>
  <c r="O34" i="21"/>
  <c r="Q34" i="21"/>
  <c r="R34" i="21"/>
  <c r="U22" i="57"/>
  <c r="K6" i="7"/>
  <c r="N6" i="7"/>
  <c r="O6" i="7"/>
  <c r="Q6" i="7"/>
  <c r="R6" i="7"/>
  <c r="K7" i="7"/>
  <c r="N7" i="7"/>
  <c r="O7" i="7"/>
  <c r="Q7" i="7"/>
  <c r="R7" i="7"/>
  <c r="K8" i="7"/>
  <c r="N8" i="7"/>
  <c r="O8" i="7"/>
  <c r="Q8" i="7"/>
  <c r="R8" i="7"/>
  <c r="K9" i="7"/>
  <c r="N9" i="7"/>
  <c r="O9" i="7"/>
  <c r="Q9" i="7"/>
  <c r="R9" i="7"/>
  <c r="K10" i="7"/>
  <c r="N10" i="7"/>
  <c r="O10" i="7"/>
  <c r="Q10" i="7"/>
  <c r="R10" i="7"/>
  <c r="K11" i="7"/>
  <c r="N11" i="7"/>
  <c r="O11" i="7"/>
  <c r="Q11" i="7"/>
  <c r="R11" i="7"/>
  <c r="K12" i="7"/>
  <c r="N12" i="7"/>
  <c r="O12" i="7"/>
  <c r="Q12" i="7"/>
  <c r="R12" i="7"/>
  <c r="K13" i="7"/>
  <c r="N13" i="7"/>
  <c r="O13" i="7"/>
  <c r="Q13" i="7"/>
  <c r="R13" i="7"/>
  <c r="K14" i="7"/>
  <c r="N14" i="7"/>
  <c r="O14" i="7"/>
  <c r="Q14" i="7"/>
  <c r="R14" i="7"/>
  <c r="G15" i="7"/>
  <c r="K15" i="7"/>
  <c r="N15" i="7"/>
  <c r="O15" i="7"/>
  <c r="Q15" i="7"/>
  <c r="R15" i="7"/>
  <c r="K16" i="7"/>
  <c r="N16" i="7"/>
  <c r="O16" i="7"/>
  <c r="Q16" i="7"/>
  <c r="R16" i="7"/>
  <c r="K17" i="7"/>
  <c r="N17" i="7"/>
  <c r="O17" i="7"/>
  <c r="Q17" i="7"/>
  <c r="R17" i="7"/>
  <c r="K18" i="7"/>
  <c r="N18" i="7"/>
  <c r="O18" i="7"/>
  <c r="Q18" i="7"/>
  <c r="R18" i="7"/>
  <c r="K19" i="7"/>
  <c r="N19" i="7"/>
  <c r="O19" i="7"/>
  <c r="Q19" i="7"/>
  <c r="R19" i="7"/>
  <c r="K20" i="7"/>
  <c r="N20" i="7"/>
  <c r="O20" i="7"/>
  <c r="Q20" i="7"/>
  <c r="R20" i="7"/>
  <c r="K21" i="7"/>
  <c r="N21" i="7"/>
  <c r="O21" i="7"/>
  <c r="Q21" i="7"/>
  <c r="R21" i="7"/>
  <c r="K22" i="7"/>
  <c r="N22" i="7"/>
  <c r="O22" i="7"/>
  <c r="Q22" i="7"/>
  <c r="R22" i="7"/>
  <c r="K23" i="7"/>
  <c r="N23" i="7"/>
  <c r="O23" i="7"/>
  <c r="Q23" i="7"/>
  <c r="R23" i="7"/>
  <c r="E24" i="7"/>
  <c r="G24" i="7"/>
  <c r="K24" i="7"/>
  <c r="N24" i="7"/>
  <c r="O24" i="7"/>
  <c r="Q24" i="7"/>
  <c r="R24" i="7"/>
  <c r="K25" i="7"/>
  <c r="N25" i="7"/>
  <c r="O25" i="7"/>
  <c r="Q25" i="7"/>
  <c r="R25" i="7"/>
  <c r="K26" i="7"/>
  <c r="N26" i="7"/>
  <c r="O26" i="7"/>
  <c r="Q26" i="7"/>
  <c r="R26" i="7"/>
  <c r="K28" i="7"/>
  <c r="N28" i="7"/>
  <c r="O28" i="7"/>
  <c r="Q28" i="7"/>
  <c r="R28" i="7"/>
  <c r="J29" i="7"/>
  <c r="E29" i="7"/>
  <c r="K29" i="7"/>
  <c r="N29" i="7"/>
  <c r="O29" i="7"/>
  <c r="Q29" i="7"/>
  <c r="R29" i="7"/>
  <c r="K30" i="7"/>
  <c r="N30" i="7"/>
  <c r="O30" i="7"/>
  <c r="Q30" i="7"/>
  <c r="R30" i="7"/>
  <c r="K31" i="7"/>
  <c r="N31" i="7"/>
  <c r="O31" i="7"/>
  <c r="Q31" i="7"/>
  <c r="R31" i="7"/>
  <c r="E32" i="7"/>
  <c r="G32" i="7"/>
  <c r="K32" i="7"/>
  <c r="N32" i="7"/>
  <c r="O32" i="7"/>
  <c r="Q32" i="7"/>
  <c r="R32" i="7"/>
  <c r="G33" i="7"/>
  <c r="K33" i="7"/>
  <c r="N33" i="7"/>
  <c r="O33" i="7"/>
  <c r="Q33" i="7"/>
  <c r="R33" i="7"/>
  <c r="K34" i="7"/>
  <c r="N34" i="7"/>
  <c r="O34" i="7"/>
  <c r="Q34" i="7"/>
  <c r="R34" i="7"/>
  <c r="V22" i="57"/>
  <c r="J6" i="22"/>
  <c r="L6" i="22"/>
  <c r="P6" i="22"/>
  <c r="S6" i="22"/>
  <c r="N6" i="22"/>
  <c r="R6" i="22"/>
  <c r="T6" i="22"/>
  <c r="V6" i="22"/>
  <c r="W6" i="22"/>
  <c r="J7" i="22"/>
  <c r="L7" i="22"/>
  <c r="P7" i="22"/>
  <c r="S7" i="22"/>
  <c r="N7" i="22"/>
  <c r="R7" i="22"/>
  <c r="T7" i="22"/>
  <c r="V7" i="22"/>
  <c r="W7" i="22"/>
  <c r="J8" i="22"/>
  <c r="L8" i="22"/>
  <c r="P8" i="22"/>
  <c r="S8" i="22"/>
  <c r="N8" i="22"/>
  <c r="R8" i="22"/>
  <c r="T8" i="22"/>
  <c r="V8" i="22"/>
  <c r="W8" i="22"/>
  <c r="J9" i="22"/>
  <c r="L9" i="22"/>
  <c r="P9" i="22"/>
  <c r="S9" i="22"/>
  <c r="N9" i="22"/>
  <c r="R9" i="22"/>
  <c r="T9" i="22"/>
  <c r="V9" i="22"/>
  <c r="W9" i="22"/>
  <c r="J10" i="22"/>
  <c r="L10" i="22"/>
  <c r="P10" i="22"/>
  <c r="S10" i="22"/>
  <c r="N10" i="22"/>
  <c r="R10" i="22"/>
  <c r="T10" i="22"/>
  <c r="V10" i="22"/>
  <c r="W10" i="22"/>
  <c r="J11" i="22"/>
  <c r="L11" i="22"/>
  <c r="P11" i="22"/>
  <c r="S11" i="22"/>
  <c r="N11" i="22"/>
  <c r="R11" i="22"/>
  <c r="T11" i="22"/>
  <c r="V11" i="22"/>
  <c r="W11" i="22"/>
  <c r="J12" i="22"/>
  <c r="L12" i="22"/>
  <c r="P12" i="22"/>
  <c r="S12" i="22"/>
  <c r="N12" i="22"/>
  <c r="R12" i="22"/>
  <c r="T12" i="22"/>
  <c r="V12" i="22"/>
  <c r="W12" i="22"/>
  <c r="J13" i="22"/>
  <c r="L13" i="22"/>
  <c r="P13" i="22"/>
  <c r="S13" i="22"/>
  <c r="N13" i="22"/>
  <c r="R13" i="22"/>
  <c r="T13" i="22"/>
  <c r="V13" i="22"/>
  <c r="W13" i="22"/>
  <c r="J14" i="22"/>
  <c r="L14" i="22"/>
  <c r="P14" i="22"/>
  <c r="S14" i="22"/>
  <c r="N14" i="22"/>
  <c r="R14" i="22"/>
  <c r="T14" i="22"/>
  <c r="V14" i="22"/>
  <c r="W14" i="22"/>
  <c r="J15" i="22"/>
  <c r="L15" i="22"/>
  <c r="P15" i="22"/>
  <c r="S15" i="22"/>
  <c r="N15" i="22"/>
  <c r="R15" i="22"/>
  <c r="T15" i="22"/>
  <c r="V15" i="22"/>
  <c r="W15" i="22"/>
  <c r="J16" i="22"/>
  <c r="L16" i="22"/>
  <c r="P16" i="22"/>
  <c r="S16" i="22"/>
  <c r="N16" i="22"/>
  <c r="R16" i="22"/>
  <c r="T16" i="22"/>
  <c r="V16" i="22"/>
  <c r="W16" i="22"/>
  <c r="J17" i="22"/>
  <c r="L17" i="22"/>
  <c r="P17" i="22"/>
  <c r="S17" i="22"/>
  <c r="N17" i="22"/>
  <c r="R17" i="22"/>
  <c r="T17" i="22"/>
  <c r="V17" i="22"/>
  <c r="W17" i="22"/>
  <c r="J18" i="22"/>
  <c r="L18" i="22"/>
  <c r="P18" i="22"/>
  <c r="S18" i="22"/>
  <c r="N18" i="22"/>
  <c r="R18" i="22"/>
  <c r="T18" i="22"/>
  <c r="V18" i="22"/>
  <c r="W18" i="22"/>
  <c r="J19" i="22"/>
  <c r="L19" i="22"/>
  <c r="P19" i="22"/>
  <c r="S19" i="22"/>
  <c r="N19" i="22"/>
  <c r="R19" i="22"/>
  <c r="T19" i="22"/>
  <c r="V19" i="22"/>
  <c r="W19" i="22"/>
  <c r="J20" i="22"/>
  <c r="L20" i="22"/>
  <c r="P20" i="22"/>
  <c r="S20" i="22"/>
  <c r="N20" i="22"/>
  <c r="R20" i="22"/>
  <c r="T20" i="22"/>
  <c r="V20" i="22"/>
  <c r="W20" i="22"/>
  <c r="J21" i="22"/>
  <c r="L21" i="22"/>
  <c r="P21" i="22"/>
  <c r="S21" i="22"/>
  <c r="N21" i="22"/>
  <c r="R21" i="22"/>
  <c r="T21" i="22"/>
  <c r="V21" i="22"/>
  <c r="W21" i="22"/>
  <c r="J22" i="22"/>
  <c r="L22" i="22"/>
  <c r="P22" i="22"/>
  <c r="S22" i="22"/>
  <c r="N22" i="22"/>
  <c r="R22" i="22"/>
  <c r="T22" i="22"/>
  <c r="V22" i="22"/>
  <c r="W22" i="22"/>
  <c r="J23" i="22"/>
  <c r="L23" i="22"/>
  <c r="P23" i="22"/>
  <c r="S23" i="22"/>
  <c r="N23" i="22"/>
  <c r="R23" i="22"/>
  <c r="T23" i="22"/>
  <c r="V23" i="22"/>
  <c r="W23" i="22"/>
  <c r="J24" i="22"/>
  <c r="L24" i="22"/>
  <c r="P24" i="22"/>
  <c r="S24" i="22"/>
  <c r="N24" i="22"/>
  <c r="R24" i="22"/>
  <c r="T24" i="22"/>
  <c r="V24" i="22"/>
  <c r="W24" i="22"/>
  <c r="J25" i="22"/>
  <c r="L25" i="22"/>
  <c r="P25" i="22"/>
  <c r="S25" i="22"/>
  <c r="N25" i="22"/>
  <c r="R25" i="22"/>
  <c r="T25" i="22"/>
  <c r="V25" i="22"/>
  <c r="W25" i="22"/>
  <c r="J26" i="22"/>
  <c r="L26" i="22"/>
  <c r="P26" i="22"/>
  <c r="S26" i="22"/>
  <c r="N26" i="22"/>
  <c r="R26" i="22"/>
  <c r="T26" i="22"/>
  <c r="V26" i="22"/>
  <c r="W26" i="22"/>
  <c r="J28" i="22"/>
  <c r="L28" i="22"/>
  <c r="P28" i="22"/>
  <c r="S28" i="22"/>
  <c r="N28" i="22"/>
  <c r="R28" i="22"/>
  <c r="T28" i="22"/>
  <c r="V28" i="22"/>
  <c r="W28" i="22"/>
  <c r="K93" i="22"/>
  <c r="K91" i="22"/>
  <c r="K94" i="22"/>
  <c r="K95" i="22"/>
  <c r="K96" i="22"/>
  <c r="O29" i="22"/>
  <c r="J29" i="22"/>
  <c r="P29" i="22"/>
  <c r="S29" i="22"/>
  <c r="N29" i="22"/>
  <c r="R29" i="22"/>
  <c r="T29" i="22"/>
  <c r="V29" i="22"/>
  <c r="W29" i="22"/>
  <c r="J30" i="22"/>
  <c r="L30" i="22"/>
  <c r="P30" i="22"/>
  <c r="S30" i="22"/>
  <c r="N30" i="22"/>
  <c r="R30" i="22"/>
  <c r="T30" i="22"/>
  <c r="V30" i="22"/>
  <c r="W30" i="22"/>
  <c r="J31" i="22"/>
  <c r="L31" i="22"/>
  <c r="P31" i="22"/>
  <c r="S31" i="22"/>
  <c r="N31" i="22"/>
  <c r="R31" i="22"/>
  <c r="T31" i="22"/>
  <c r="V31" i="22"/>
  <c r="W31" i="22"/>
  <c r="J32" i="22"/>
  <c r="L32" i="22"/>
  <c r="P32" i="22"/>
  <c r="S32" i="22"/>
  <c r="N32" i="22"/>
  <c r="R32" i="22"/>
  <c r="T32" i="22"/>
  <c r="V32" i="22"/>
  <c r="W32" i="22"/>
  <c r="J33" i="22"/>
  <c r="K33" i="22"/>
  <c r="P33" i="22"/>
  <c r="S33" i="22"/>
  <c r="N33" i="22"/>
  <c r="R33" i="22"/>
  <c r="T33" i="22"/>
  <c r="V33" i="22"/>
  <c r="W33" i="22"/>
  <c r="J34" i="22"/>
  <c r="L34" i="22"/>
  <c r="P34" i="22"/>
  <c r="S34" i="22"/>
  <c r="N34" i="22"/>
  <c r="R34" i="22"/>
  <c r="T34" i="22"/>
  <c r="V34" i="22"/>
  <c r="W34" i="22"/>
  <c r="W22" i="57"/>
  <c r="B22" i="57"/>
  <c r="G43" i="36"/>
  <c r="W4" i="38"/>
  <c r="W5" i="38"/>
  <c r="W6" i="38"/>
  <c r="W7" i="38"/>
  <c r="W8" i="38"/>
  <c r="W9" i="38"/>
  <c r="W10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9" i="38"/>
  <c r="X4" i="38"/>
  <c r="X5" i="38"/>
  <c r="X6" i="38"/>
  <c r="X7" i="38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9" i="38"/>
  <c r="I59" i="30"/>
  <c r="I56" i="30"/>
  <c r="I60" i="30"/>
  <c r="F25" i="25"/>
  <c r="H25" i="25"/>
  <c r="F26" i="25"/>
  <c r="H26" i="25"/>
  <c r="F27" i="25"/>
  <c r="H27" i="25"/>
  <c r="F28" i="25"/>
  <c r="H28" i="25"/>
  <c r="F29" i="25"/>
  <c r="H29" i="25"/>
  <c r="F30" i="25"/>
  <c r="H30" i="25"/>
  <c r="F31" i="25"/>
  <c r="H31" i="25"/>
  <c r="F32" i="25"/>
  <c r="H32" i="25"/>
  <c r="F33" i="25"/>
  <c r="H33" i="25"/>
  <c r="F34" i="25"/>
  <c r="H34" i="25"/>
  <c r="F35" i="25"/>
  <c r="H35" i="25"/>
  <c r="F36" i="25"/>
  <c r="H36" i="25"/>
  <c r="F37" i="25"/>
  <c r="H37" i="25"/>
  <c r="F38" i="25"/>
  <c r="H38" i="25"/>
  <c r="F39" i="25"/>
  <c r="H39" i="25"/>
  <c r="F40" i="25"/>
  <c r="H40" i="25"/>
  <c r="F41" i="25"/>
  <c r="H41" i="25"/>
  <c r="F42" i="25"/>
  <c r="H42" i="25"/>
  <c r="F43" i="25"/>
  <c r="H43" i="25"/>
  <c r="F44" i="25"/>
  <c r="H44" i="25"/>
  <c r="F45" i="25"/>
  <c r="H45" i="25"/>
  <c r="F46" i="25"/>
  <c r="H46" i="25"/>
  <c r="F47" i="25"/>
  <c r="H47" i="25"/>
  <c r="F48" i="25"/>
  <c r="H48" i="25"/>
  <c r="F49" i="25"/>
  <c r="H49" i="25"/>
  <c r="F50" i="25"/>
  <c r="H50" i="25"/>
  <c r="F51" i="25"/>
  <c r="H51" i="25"/>
  <c r="F52" i="25"/>
  <c r="H52" i="25"/>
  <c r="F53" i="25"/>
  <c r="H53" i="25"/>
  <c r="F54" i="25"/>
  <c r="H54" i="25"/>
  <c r="F5" i="25"/>
  <c r="H5" i="25"/>
  <c r="F6" i="25"/>
  <c r="H6" i="25"/>
  <c r="F7" i="25"/>
  <c r="H7" i="25"/>
  <c r="F8" i="25"/>
  <c r="H8" i="25"/>
  <c r="F9" i="25"/>
  <c r="H9" i="25"/>
  <c r="F10" i="25"/>
  <c r="H10" i="25"/>
  <c r="F11" i="25"/>
  <c r="H11" i="25"/>
  <c r="F12" i="25"/>
  <c r="H12" i="25"/>
  <c r="F13" i="25"/>
  <c r="H13" i="25"/>
  <c r="F14" i="25"/>
  <c r="H14" i="25"/>
  <c r="F15" i="25"/>
  <c r="H15" i="25"/>
  <c r="F16" i="25"/>
  <c r="H16" i="25"/>
  <c r="F17" i="25"/>
  <c r="H17" i="25"/>
  <c r="F18" i="25"/>
  <c r="H18" i="25"/>
  <c r="F19" i="25"/>
  <c r="H19" i="25"/>
  <c r="F20" i="25"/>
  <c r="H20" i="25"/>
  <c r="F21" i="25"/>
  <c r="H21" i="25"/>
  <c r="F22" i="25"/>
  <c r="H22" i="25"/>
  <c r="F23" i="25"/>
  <c r="H23" i="25"/>
  <c r="F24" i="25"/>
  <c r="H24" i="25"/>
  <c r="F4" i="25"/>
  <c r="H4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J4" i="54"/>
  <c r="F4" i="54"/>
  <c r="J5" i="54"/>
  <c r="F5" i="54"/>
  <c r="J6" i="54"/>
  <c r="F6" i="54"/>
  <c r="J7" i="54"/>
  <c r="F7" i="54"/>
  <c r="F8" i="54"/>
  <c r="J9" i="54"/>
  <c r="F9" i="54"/>
  <c r="F13" i="54"/>
  <c r="J18" i="54"/>
  <c r="F18" i="54"/>
  <c r="J20" i="54"/>
  <c r="F20" i="54"/>
  <c r="J21" i="54"/>
  <c r="F21" i="54"/>
  <c r="J22" i="54"/>
  <c r="F22" i="54"/>
  <c r="F26" i="54"/>
  <c r="J28" i="54"/>
  <c r="F28" i="54"/>
  <c r="J29" i="54"/>
  <c r="F29" i="54"/>
  <c r="J30" i="54"/>
  <c r="F30" i="54"/>
  <c r="F31" i="54"/>
  <c r="F32" i="54"/>
  <c r="J35" i="54"/>
  <c r="F35" i="54"/>
  <c r="J38" i="54"/>
  <c r="F38" i="54"/>
  <c r="J39" i="54"/>
  <c r="F39" i="54"/>
  <c r="J40" i="54"/>
  <c r="F40" i="54"/>
  <c r="F41" i="54"/>
  <c r="F45" i="54"/>
  <c r="J46" i="54"/>
  <c r="F46" i="54"/>
  <c r="J47" i="54"/>
  <c r="F47" i="54"/>
  <c r="J48" i="54"/>
  <c r="F48" i="54"/>
  <c r="J50" i="54"/>
  <c r="F50" i="54"/>
  <c r="J52" i="54"/>
  <c r="F52" i="54"/>
  <c r="J54" i="54"/>
  <c r="F54" i="54"/>
  <c r="F56" i="54"/>
  <c r="AD4" i="10"/>
  <c r="S8" i="57"/>
  <c r="S10" i="57"/>
  <c r="AC8" i="57"/>
  <c r="N4" i="54"/>
  <c r="H4" i="54"/>
  <c r="N5" i="54"/>
  <c r="H5" i="54"/>
  <c r="N6" i="54"/>
  <c r="H6" i="54"/>
  <c r="N7" i="54"/>
  <c r="H7" i="54"/>
  <c r="N8" i="54"/>
  <c r="H8" i="54"/>
  <c r="N9" i="54"/>
  <c r="H9" i="54"/>
  <c r="N13" i="54"/>
  <c r="H13" i="54"/>
  <c r="N18" i="54"/>
  <c r="H18" i="54"/>
  <c r="N20" i="54"/>
  <c r="H20" i="54"/>
  <c r="N21" i="54"/>
  <c r="H21" i="54"/>
  <c r="N22" i="54"/>
  <c r="H22" i="54"/>
  <c r="N26" i="54"/>
  <c r="H26" i="54"/>
  <c r="N28" i="54"/>
  <c r="H28" i="54"/>
  <c r="N29" i="54"/>
  <c r="H29" i="54"/>
  <c r="N30" i="54"/>
  <c r="H30" i="54"/>
  <c r="N31" i="54"/>
  <c r="H31" i="54"/>
  <c r="N32" i="54"/>
  <c r="H32" i="54"/>
  <c r="N35" i="54"/>
  <c r="H35" i="54"/>
  <c r="N38" i="54"/>
  <c r="H38" i="54"/>
  <c r="N39" i="54"/>
  <c r="H39" i="54"/>
  <c r="N40" i="54"/>
  <c r="H40" i="54"/>
  <c r="H41" i="54"/>
  <c r="N45" i="54"/>
  <c r="H45" i="54"/>
  <c r="N46" i="54"/>
  <c r="H46" i="54"/>
  <c r="N47" i="54"/>
  <c r="H47" i="54"/>
  <c r="N48" i="54"/>
  <c r="H48" i="54"/>
  <c r="N50" i="54"/>
  <c r="H50" i="54"/>
  <c r="N52" i="54"/>
  <c r="H52" i="54"/>
  <c r="N54" i="54"/>
  <c r="H54" i="54"/>
  <c r="H56" i="54"/>
  <c r="R4" i="20"/>
  <c r="R8" i="57"/>
  <c r="F6" i="40"/>
  <c r="F7" i="40"/>
  <c r="F9" i="40"/>
  <c r="F13" i="40"/>
  <c r="I8" i="40"/>
  <c r="G84" i="57"/>
  <c r="I7" i="40"/>
  <c r="F84" i="57"/>
  <c r="I6" i="40"/>
  <c r="E84" i="57"/>
  <c r="I5" i="40"/>
  <c r="C84" i="57"/>
  <c r="G8" i="34"/>
  <c r="G14" i="34"/>
  <c r="G15" i="34"/>
  <c r="G61" i="34"/>
  <c r="G64" i="34"/>
  <c r="G65" i="34"/>
  <c r="G66" i="34"/>
  <c r="G74" i="34"/>
  <c r="J8" i="34"/>
  <c r="G83" i="57"/>
  <c r="J7" i="34"/>
  <c r="F83" i="57"/>
  <c r="J6" i="34"/>
  <c r="E83" i="57"/>
  <c r="J5" i="34"/>
  <c r="C83" i="57"/>
  <c r="G8" i="37"/>
  <c r="G82" i="57"/>
  <c r="G7" i="37"/>
  <c r="F82" i="57"/>
  <c r="G6" i="37"/>
  <c r="E82" i="57"/>
  <c r="G5" i="37"/>
  <c r="C82" i="57"/>
  <c r="G8" i="47"/>
  <c r="G81" i="57"/>
  <c r="G7" i="47"/>
  <c r="F81" i="57"/>
  <c r="G6" i="47"/>
  <c r="E81" i="57"/>
  <c r="G5" i="47"/>
  <c r="C81" i="57"/>
  <c r="F7" i="63"/>
  <c r="G80" i="57"/>
  <c r="F6" i="63"/>
  <c r="F80" i="57"/>
  <c r="E80" i="57"/>
  <c r="F4" i="63"/>
  <c r="C80" i="57"/>
  <c r="N7" i="46"/>
  <c r="G79" i="57"/>
  <c r="N6" i="46"/>
  <c r="F79" i="57"/>
  <c r="E79" i="57"/>
  <c r="N4" i="46"/>
  <c r="C79" i="57"/>
  <c r="G78" i="57"/>
  <c r="F78" i="57"/>
  <c r="E78" i="57"/>
  <c r="C78" i="57"/>
  <c r="G7" i="61"/>
  <c r="G77" i="57"/>
  <c r="G6" i="61"/>
  <c r="F77" i="57"/>
  <c r="G5" i="61"/>
  <c r="E77" i="57"/>
  <c r="G4" i="61"/>
  <c r="C77" i="57"/>
  <c r="G6" i="44"/>
  <c r="G7" i="44"/>
  <c r="G8" i="44"/>
  <c r="G9" i="44"/>
  <c r="G10" i="44"/>
  <c r="J7" i="44"/>
  <c r="G76" i="57"/>
  <c r="J6" i="44"/>
  <c r="F76" i="57"/>
  <c r="J5" i="44"/>
  <c r="E76" i="57"/>
  <c r="J4" i="44"/>
  <c r="C76" i="57"/>
  <c r="G7" i="35"/>
  <c r="F74" i="57"/>
  <c r="J6" i="36"/>
  <c r="F75" i="57"/>
  <c r="F86" i="57"/>
  <c r="G21" i="36"/>
  <c r="J7" i="36"/>
  <c r="G75" i="57"/>
  <c r="D21" i="35"/>
  <c r="D22" i="35"/>
  <c r="D23" i="35"/>
  <c r="D24" i="35"/>
  <c r="G8" i="35"/>
  <c r="G74" i="57"/>
  <c r="G86" i="57"/>
  <c r="J5" i="36"/>
  <c r="E75" i="57"/>
  <c r="J4" i="36"/>
  <c r="C75" i="57"/>
  <c r="D75" i="57"/>
  <c r="D76" i="57"/>
  <c r="D77" i="57"/>
  <c r="D78" i="57"/>
  <c r="D79" i="57"/>
  <c r="D80" i="57"/>
  <c r="D81" i="57"/>
  <c r="D82" i="57"/>
  <c r="D83" i="57"/>
  <c r="D84" i="57"/>
  <c r="G5" i="35"/>
  <c r="C74" i="57"/>
  <c r="E74" i="57"/>
  <c r="D74" i="57"/>
  <c r="E86" i="57"/>
  <c r="D86" i="57"/>
  <c r="C86" i="57"/>
  <c r="G56" i="29"/>
  <c r="D56" i="29"/>
  <c r="B3" i="40"/>
  <c r="C124" i="40"/>
  <c r="C132" i="40"/>
  <c r="E68" i="57"/>
  <c r="C125" i="40"/>
  <c r="C126" i="40"/>
  <c r="C131" i="40"/>
  <c r="D68" i="57"/>
  <c r="B3" i="34"/>
  <c r="B333" i="34"/>
  <c r="C363" i="34"/>
  <c r="C371" i="34"/>
  <c r="E67" i="57"/>
  <c r="C364" i="34"/>
  <c r="C370" i="34"/>
  <c r="D67" i="57"/>
  <c r="C3" i="37"/>
  <c r="C591" i="37"/>
  <c r="C655" i="37"/>
  <c r="C663" i="37"/>
  <c r="E66" i="57"/>
  <c r="C656" i="37"/>
  <c r="C662" i="37"/>
  <c r="D66" i="57"/>
  <c r="C3" i="47"/>
  <c r="B344" i="47"/>
  <c r="B352" i="47"/>
  <c r="E65" i="57"/>
  <c r="B345" i="47"/>
  <c r="B346" i="47"/>
  <c r="B351" i="47"/>
  <c r="D65" i="57"/>
  <c r="B2" i="63"/>
  <c r="B130" i="63"/>
  <c r="B142" i="63"/>
  <c r="B150" i="63"/>
  <c r="E64" i="57"/>
  <c r="B143" i="63"/>
  <c r="B144" i="63"/>
  <c r="B149" i="63"/>
  <c r="D64" i="57"/>
  <c r="B2" i="46"/>
  <c r="B123" i="46"/>
  <c r="B125" i="46"/>
  <c r="B9" i="46"/>
  <c r="B130" i="46"/>
  <c r="B138" i="46"/>
  <c r="E63" i="57"/>
  <c r="B131" i="46"/>
  <c r="B132" i="46"/>
  <c r="B137" i="46"/>
  <c r="D63" i="57"/>
  <c r="E62" i="57"/>
  <c r="D62" i="57"/>
  <c r="B2" i="61"/>
  <c r="B75" i="61"/>
  <c r="B78" i="61"/>
  <c r="B80" i="61"/>
  <c r="B82" i="61"/>
  <c r="B86" i="61"/>
  <c r="B94" i="61"/>
  <c r="E61" i="57"/>
  <c r="B87" i="61"/>
  <c r="B88" i="61"/>
  <c r="B93" i="61"/>
  <c r="D61" i="57"/>
  <c r="E60" i="57"/>
  <c r="D60" i="57"/>
  <c r="C60" i="57"/>
  <c r="B2" i="36"/>
  <c r="B293" i="36"/>
  <c r="B298" i="36"/>
  <c r="B300" i="36"/>
  <c r="B311" i="36"/>
  <c r="B319" i="36"/>
  <c r="E59" i="57"/>
  <c r="B312" i="36"/>
  <c r="B313" i="36"/>
  <c r="B318" i="36"/>
  <c r="D59" i="57"/>
  <c r="C59" i="57"/>
  <c r="B3" i="35"/>
  <c r="B131" i="35"/>
  <c r="B137" i="35"/>
  <c r="B145" i="35"/>
  <c r="B146" i="35"/>
  <c r="B151" i="35"/>
  <c r="D58" i="57"/>
  <c r="D70" i="57"/>
  <c r="B144" i="35"/>
  <c r="B152" i="35"/>
  <c r="E58" i="57"/>
  <c r="E70" i="57"/>
  <c r="C61" i="57"/>
  <c r="C62" i="57"/>
  <c r="C63" i="57"/>
  <c r="C64" i="57"/>
  <c r="C65" i="57"/>
  <c r="C66" i="57"/>
  <c r="C67" i="57"/>
  <c r="C68" i="57"/>
  <c r="C58" i="57"/>
  <c r="C70" i="57"/>
  <c r="C135" i="40"/>
  <c r="C133" i="40"/>
  <c r="C128" i="40"/>
  <c r="B355" i="47"/>
  <c r="B353" i="47"/>
  <c r="B348" i="47"/>
  <c r="B153" i="63"/>
  <c r="B151" i="63"/>
  <c r="B146" i="63"/>
  <c r="B141" i="46"/>
  <c r="B139" i="46"/>
  <c r="B134" i="46"/>
  <c r="B97" i="61"/>
  <c r="B95" i="61"/>
  <c r="B90" i="61"/>
  <c r="B315" i="36"/>
  <c r="B322" i="36"/>
  <c r="B320" i="36"/>
  <c r="B155" i="35"/>
  <c r="C144" i="35"/>
  <c r="B153" i="35"/>
  <c r="B148" i="35"/>
  <c r="D29" i="60"/>
  <c r="AC46" i="57"/>
  <c r="C29" i="60"/>
  <c r="AB46" i="57"/>
  <c r="B29" i="60"/>
  <c r="AA46" i="57"/>
  <c r="U4" i="10"/>
  <c r="AH4" i="10"/>
  <c r="H4" i="10"/>
  <c r="J4" i="10"/>
  <c r="K4" i="10"/>
  <c r="L4" i="10"/>
  <c r="N4" i="10"/>
  <c r="Q4" i="10"/>
  <c r="AE4" i="10"/>
  <c r="AF4" i="10"/>
  <c r="AI4" i="10"/>
  <c r="S13" i="57"/>
  <c r="AC13" i="57"/>
  <c r="S11" i="57"/>
  <c r="AC11" i="57"/>
  <c r="AC10" i="57"/>
  <c r="S6" i="57"/>
  <c r="U4" i="70"/>
  <c r="V4" i="70"/>
  <c r="D4" i="70"/>
  <c r="T4" i="70"/>
  <c r="W4" i="70"/>
  <c r="I4" i="70"/>
  <c r="K4" i="70"/>
  <c r="X4" i="70"/>
  <c r="Y4" i="70"/>
  <c r="T13" i="57"/>
  <c r="D85" i="34"/>
  <c r="D90" i="34"/>
  <c r="D3" i="34"/>
  <c r="U4" i="21"/>
  <c r="V4" i="21"/>
  <c r="P7" i="49"/>
  <c r="P9" i="49"/>
  <c r="P14" i="49"/>
  <c r="P19" i="49"/>
  <c r="P23" i="49"/>
  <c r="P24" i="49"/>
  <c r="P27" i="49"/>
  <c r="P31" i="49"/>
  <c r="P34" i="49"/>
  <c r="P37" i="49"/>
  <c r="P38" i="49"/>
  <c r="P45" i="49"/>
  <c r="P53" i="49"/>
  <c r="P54" i="49"/>
  <c r="P4" i="49"/>
  <c r="P5" i="49"/>
  <c r="P6" i="49"/>
  <c r="P8" i="49"/>
  <c r="P10" i="49"/>
  <c r="P11" i="49"/>
  <c r="P12" i="49"/>
  <c r="P13" i="49"/>
  <c r="P15" i="49"/>
  <c r="P16" i="49"/>
  <c r="P17" i="49"/>
  <c r="P18" i="49"/>
  <c r="P20" i="49"/>
  <c r="P21" i="49"/>
  <c r="P22" i="49"/>
  <c r="P25" i="49"/>
  <c r="P26" i="49"/>
  <c r="P28" i="49"/>
  <c r="P29" i="49"/>
  <c r="P30" i="49"/>
  <c r="P32" i="49"/>
  <c r="P33" i="49"/>
  <c r="P35" i="49"/>
  <c r="P36" i="49"/>
  <c r="P39" i="49"/>
  <c r="P40" i="49"/>
  <c r="P41" i="49"/>
  <c r="P42" i="49"/>
  <c r="P43" i="49"/>
  <c r="P44" i="49"/>
  <c r="P46" i="49"/>
  <c r="P47" i="49"/>
  <c r="P48" i="49"/>
  <c r="P49" i="49"/>
  <c r="P50" i="49"/>
  <c r="P51" i="49"/>
  <c r="P52" i="49"/>
  <c r="P56" i="49"/>
  <c r="O56" i="49"/>
  <c r="Q60" i="49"/>
  <c r="Q56" i="49"/>
  <c r="Q61" i="49"/>
  <c r="Q62" i="49"/>
  <c r="H56" i="49"/>
  <c r="R62" i="49"/>
  <c r="S4" i="21"/>
  <c r="D4" i="21"/>
  <c r="T4" i="21"/>
  <c r="W4" i="21"/>
  <c r="R65" i="49"/>
  <c r="X4" i="21"/>
  <c r="Y4" i="21"/>
  <c r="U13" i="57"/>
  <c r="U4" i="7"/>
  <c r="V4" i="7"/>
  <c r="O7" i="50"/>
  <c r="O9" i="50"/>
  <c r="O10" i="50"/>
  <c r="O11" i="50"/>
  <c r="O12" i="50"/>
  <c r="O14" i="50"/>
  <c r="O19" i="50"/>
  <c r="O21" i="50"/>
  <c r="O22" i="50"/>
  <c r="O23" i="50"/>
  <c r="O24" i="50"/>
  <c r="O25" i="50"/>
  <c r="O26" i="50"/>
  <c r="O27" i="50"/>
  <c r="O28" i="50"/>
  <c r="O29" i="50"/>
  <c r="O31" i="50"/>
  <c r="O34" i="50"/>
  <c r="O37" i="50"/>
  <c r="O38" i="50"/>
  <c r="O40" i="50"/>
  <c r="O42" i="50"/>
  <c r="O44" i="50"/>
  <c r="O45" i="50"/>
  <c r="O46" i="50"/>
  <c r="O47" i="50"/>
  <c r="O49" i="50"/>
  <c r="O50" i="50"/>
  <c r="O51" i="50"/>
  <c r="O52" i="50"/>
  <c r="O53" i="50"/>
  <c r="O54" i="50"/>
  <c r="O4" i="50"/>
  <c r="O5" i="50"/>
  <c r="O6" i="50"/>
  <c r="O8" i="50"/>
  <c r="O13" i="50"/>
  <c r="O15" i="50"/>
  <c r="O16" i="50"/>
  <c r="O17" i="50"/>
  <c r="O18" i="50"/>
  <c r="O20" i="50"/>
  <c r="O30" i="50"/>
  <c r="O32" i="50"/>
  <c r="O33" i="50"/>
  <c r="O35" i="50"/>
  <c r="O36" i="50"/>
  <c r="O39" i="50"/>
  <c r="O41" i="50"/>
  <c r="O43" i="50"/>
  <c r="O48" i="50"/>
  <c r="O56" i="50"/>
  <c r="N56" i="50"/>
  <c r="P60" i="50"/>
  <c r="P56" i="50"/>
  <c r="P61" i="50"/>
  <c r="P62" i="50"/>
  <c r="G56" i="50"/>
  <c r="Q62" i="50"/>
  <c r="S4" i="7"/>
  <c r="D4" i="7"/>
  <c r="T4" i="7"/>
  <c r="W4" i="7"/>
  <c r="Q65" i="50"/>
  <c r="X4" i="7"/>
  <c r="Y4" i="7"/>
  <c r="V13" i="57"/>
  <c r="F4" i="34"/>
  <c r="F5" i="34"/>
  <c r="F6" i="34"/>
  <c r="F7" i="34"/>
  <c r="F9" i="34"/>
  <c r="F10" i="34"/>
  <c r="F11" i="34"/>
  <c r="F18" i="34"/>
  <c r="F22" i="34"/>
  <c r="F34" i="34"/>
  <c r="F37" i="34"/>
  <c r="F45" i="34"/>
  <c r="F52" i="34"/>
  <c r="F55" i="34"/>
  <c r="F56" i="34"/>
  <c r="F57" i="34"/>
  <c r="F58" i="34"/>
  <c r="F62" i="34"/>
  <c r="F63" i="34"/>
  <c r="F67" i="34"/>
  <c r="F68" i="34"/>
  <c r="F69" i="34"/>
  <c r="F70" i="34"/>
  <c r="F71" i="34"/>
  <c r="F72" i="34"/>
  <c r="F75" i="34"/>
  <c r="F76" i="34"/>
  <c r="F78" i="34"/>
  <c r="F79" i="34"/>
  <c r="F80" i="34"/>
  <c r="F81" i="34"/>
  <c r="F82" i="34"/>
  <c r="F83" i="34"/>
  <c r="F84" i="34"/>
  <c r="F87" i="34"/>
  <c r="F88" i="34"/>
  <c r="F89" i="34"/>
  <c r="F91" i="34"/>
  <c r="F93" i="34"/>
  <c r="F3" i="34"/>
  <c r="Z4" i="22"/>
  <c r="AA4" i="22"/>
  <c r="AD4" i="22"/>
  <c r="W13" i="57"/>
  <c r="AB13" i="57"/>
  <c r="R64" i="49"/>
  <c r="I4" i="21"/>
  <c r="U6" i="57"/>
  <c r="Q64" i="50"/>
  <c r="I4" i="7"/>
  <c r="V6" i="57"/>
  <c r="T6" i="57"/>
  <c r="W6" i="57"/>
  <c r="AB6" i="57"/>
  <c r="T4" i="57"/>
  <c r="U4" i="57"/>
  <c r="V4" i="57"/>
  <c r="W4" i="57"/>
  <c r="AB4" i="57"/>
  <c r="P19" i="57"/>
  <c r="AC6" i="57"/>
  <c r="S4" i="57"/>
  <c r="AC4" i="57"/>
  <c r="R61" i="49"/>
  <c r="P4" i="21"/>
  <c r="U9" i="57"/>
  <c r="Q61" i="50"/>
  <c r="P4" i="7"/>
  <c r="V9" i="57"/>
  <c r="AB9" i="57"/>
  <c r="U10" i="57"/>
  <c r="V10" i="57"/>
  <c r="AB10" i="57"/>
  <c r="T11" i="57"/>
  <c r="U11" i="57"/>
  <c r="V11" i="57"/>
  <c r="W11" i="57"/>
  <c r="AB11" i="57"/>
  <c r="T12" i="57"/>
  <c r="U12" i="57"/>
  <c r="V12" i="57"/>
  <c r="AB4" i="22"/>
  <c r="W12" i="57"/>
  <c r="AB12" i="57"/>
  <c r="R60" i="49"/>
  <c r="Q4" i="21"/>
  <c r="R4" i="21"/>
  <c r="U8" i="57"/>
  <c r="Q60" i="50"/>
  <c r="Q4" i="7"/>
  <c r="R4" i="7"/>
  <c r="V8" i="57"/>
  <c r="AB8" i="57"/>
  <c r="AC5" i="57"/>
  <c r="AB5" i="57"/>
  <c r="F86" i="40"/>
  <c r="F71" i="40"/>
  <c r="F55" i="40"/>
  <c r="F53" i="40"/>
  <c r="F41" i="40"/>
  <c r="F32" i="40"/>
  <c r="F29" i="40"/>
  <c r="F27" i="40"/>
  <c r="F14" i="40"/>
  <c r="P41" i="24"/>
  <c r="S42" i="24"/>
  <c r="O42" i="24"/>
  <c r="P42" i="24"/>
  <c r="S43" i="24"/>
  <c r="O43" i="24"/>
  <c r="P43" i="24"/>
  <c r="S44" i="24"/>
  <c r="O44" i="24"/>
  <c r="P44" i="24"/>
  <c r="S45" i="24"/>
  <c r="O45" i="24"/>
  <c r="P45" i="24"/>
  <c r="S46" i="24"/>
  <c r="O46" i="24"/>
  <c r="P46" i="24"/>
  <c r="S47" i="24"/>
  <c r="O47" i="24"/>
  <c r="P47" i="24"/>
  <c r="S48" i="24"/>
  <c r="O48" i="24"/>
  <c r="P48" i="24"/>
  <c r="S49" i="24"/>
  <c r="O49" i="24"/>
  <c r="P49" i="24"/>
  <c r="S50" i="24"/>
  <c r="O50" i="24"/>
  <c r="P50" i="24"/>
  <c r="S51" i="24"/>
  <c r="O51" i="24"/>
  <c r="P51" i="24"/>
  <c r="S52" i="24"/>
  <c r="O52" i="24"/>
  <c r="P52" i="24"/>
  <c r="S53" i="24"/>
  <c r="O53" i="24"/>
  <c r="P53" i="24"/>
  <c r="S54" i="24"/>
  <c r="O54" i="24"/>
  <c r="P54" i="24"/>
  <c r="S55" i="24"/>
  <c r="O55" i="24"/>
  <c r="P55" i="24"/>
  <c r="S56" i="24"/>
  <c r="O56" i="24"/>
  <c r="P56" i="24"/>
  <c r="S57" i="24"/>
  <c r="O57" i="24"/>
  <c r="P57" i="24"/>
  <c r="S58" i="24"/>
  <c r="O58" i="24"/>
  <c r="P58" i="24"/>
  <c r="S59" i="24"/>
  <c r="O59" i="24"/>
  <c r="P59" i="24"/>
  <c r="S60" i="24"/>
  <c r="O60" i="24"/>
  <c r="P60" i="24"/>
  <c r="S61" i="24"/>
  <c r="O61" i="24"/>
  <c r="P61" i="24"/>
  <c r="S62" i="24"/>
  <c r="O62" i="24"/>
  <c r="P62" i="24"/>
  <c r="S63" i="24"/>
  <c r="O63" i="24"/>
  <c r="P63" i="24"/>
  <c r="S64" i="24"/>
  <c r="O64" i="24"/>
  <c r="P64" i="24"/>
  <c r="S65" i="24"/>
  <c r="O65" i="24"/>
  <c r="P65" i="24"/>
  <c r="Z45" i="57"/>
  <c r="W36" i="24"/>
  <c r="W37" i="24"/>
  <c r="W38" i="24"/>
  <c r="W39" i="24"/>
  <c r="Z37" i="57"/>
  <c r="Z33" i="57"/>
  <c r="Z28" i="57"/>
  <c r="Z21" i="57"/>
  <c r="Z17" i="57"/>
  <c r="Z5" i="57"/>
  <c r="H66" i="24"/>
  <c r="H67" i="24"/>
  <c r="H68" i="24"/>
  <c r="G66" i="24"/>
  <c r="G68" i="24"/>
  <c r="F66" i="24"/>
  <c r="F67" i="24"/>
  <c r="F68" i="24"/>
  <c r="E66" i="24"/>
  <c r="E68" i="24"/>
  <c r="D66" i="24"/>
  <c r="D68" i="24"/>
  <c r="C66" i="24"/>
  <c r="C68" i="24"/>
  <c r="I67" i="24"/>
  <c r="K66" i="24"/>
  <c r="T65" i="24"/>
  <c r="V65" i="24"/>
  <c r="AA65" i="24"/>
  <c r="Y65" i="24"/>
  <c r="W65" i="24"/>
  <c r="M65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8" i="24"/>
  <c r="A29" i="24"/>
  <c r="A30" i="24"/>
  <c r="A31" i="24"/>
  <c r="A32" i="24"/>
  <c r="A33" i="24"/>
  <c r="A34" i="24"/>
  <c r="A36" i="24"/>
  <c r="A37" i="24"/>
  <c r="A38" i="24"/>
  <c r="A39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M64" i="24"/>
  <c r="T64" i="24"/>
  <c r="V64" i="24"/>
  <c r="AA64" i="24"/>
  <c r="Y64" i="24"/>
  <c r="W64" i="24"/>
  <c r="M63" i="24"/>
  <c r="T63" i="24"/>
  <c r="V63" i="24"/>
  <c r="AA63" i="24"/>
  <c r="Y63" i="24"/>
  <c r="W63" i="24"/>
  <c r="L63" i="24"/>
  <c r="T62" i="24"/>
  <c r="V62" i="24"/>
  <c r="AA62" i="24"/>
  <c r="Y62" i="24"/>
  <c r="W62" i="24"/>
  <c r="M62" i="24"/>
  <c r="M61" i="24"/>
  <c r="T61" i="24"/>
  <c r="V61" i="24"/>
  <c r="AA61" i="24"/>
  <c r="Y61" i="24"/>
  <c r="W61" i="24"/>
  <c r="M60" i="24"/>
  <c r="T60" i="24"/>
  <c r="V60" i="24"/>
  <c r="AA60" i="24"/>
  <c r="Y60" i="24"/>
  <c r="W60" i="24"/>
  <c r="L60" i="24"/>
  <c r="M59" i="24"/>
  <c r="T59" i="24"/>
  <c r="V59" i="24"/>
  <c r="AA59" i="24"/>
  <c r="Y59" i="24"/>
  <c r="W59" i="24"/>
  <c r="M58" i="24"/>
  <c r="Y58" i="24"/>
  <c r="T58" i="24"/>
  <c r="W58" i="24"/>
  <c r="V58" i="24"/>
  <c r="M57" i="24"/>
  <c r="T57" i="24"/>
  <c r="V57" i="24"/>
  <c r="AA57" i="24"/>
  <c r="Y57" i="24"/>
  <c r="W57" i="24"/>
  <c r="M56" i="24"/>
  <c r="T56" i="24"/>
  <c r="V56" i="24"/>
  <c r="AA56" i="24"/>
  <c r="Y56" i="24"/>
  <c r="W56" i="24"/>
  <c r="L56" i="24"/>
  <c r="M55" i="24"/>
  <c r="T55" i="24"/>
  <c r="V55" i="24"/>
  <c r="AA55" i="24"/>
  <c r="Y55" i="24"/>
  <c r="W55" i="24"/>
  <c r="M54" i="24"/>
  <c r="T54" i="24"/>
  <c r="V54" i="24"/>
  <c r="AA54" i="24"/>
  <c r="Y54" i="24"/>
  <c r="W54" i="24"/>
  <c r="M53" i="24"/>
  <c r="T53" i="24"/>
  <c r="V53" i="24"/>
  <c r="AA53" i="24"/>
  <c r="Y53" i="24"/>
  <c r="W53" i="24"/>
  <c r="M52" i="24"/>
  <c r="T52" i="24"/>
  <c r="V52" i="24"/>
  <c r="AA52" i="24"/>
  <c r="Y52" i="24"/>
  <c r="W52" i="24"/>
  <c r="L52" i="24"/>
  <c r="M51" i="24"/>
  <c r="T51" i="24"/>
  <c r="V51" i="24"/>
  <c r="AA51" i="24"/>
  <c r="Y51" i="24"/>
  <c r="W51" i="24"/>
  <c r="M50" i="24"/>
  <c r="T50" i="24"/>
  <c r="V50" i="24"/>
  <c r="AA50" i="24"/>
  <c r="Y50" i="24"/>
  <c r="W50" i="24"/>
  <c r="L50" i="24"/>
  <c r="M49" i="24"/>
  <c r="T49" i="24"/>
  <c r="V49" i="24"/>
  <c r="AA49" i="24"/>
  <c r="Y49" i="24"/>
  <c r="W49" i="24"/>
  <c r="M48" i="24"/>
  <c r="T48" i="24"/>
  <c r="V48" i="24"/>
  <c r="AA48" i="24"/>
  <c r="Y48" i="24"/>
  <c r="W48" i="24"/>
  <c r="L48" i="24"/>
  <c r="M47" i="24"/>
  <c r="T47" i="24"/>
  <c r="V47" i="24"/>
  <c r="AA47" i="24"/>
  <c r="Y47" i="24"/>
  <c r="W47" i="24"/>
  <c r="M46" i="24"/>
  <c r="T46" i="24"/>
  <c r="V46" i="24"/>
  <c r="AA46" i="24"/>
  <c r="Y46" i="24"/>
  <c r="W46" i="24"/>
  <c r="M45" i="24"/>
  <c r="T45" i="24"/>
  <c r="V45" i="24"/>
  <c r="AA45" i="24"/>
  <c r="Y45" i="24"/>
  <c r="W45" i="24"/>
  <c r="M44" i="24"/>
  <c r="T44" i="24"/>
  <c r="V44" i="24"/>
  <c r="AA44" i="24"/>
  <c r="Y44" i="24"/>
  <c r="W44" i="24"/>
  <c r="M43" i="24"/>
  <c r="T43" i="24"/>
  <c r="V43" i="24"/>
  <c r="AA43" i="24"/>
  <c r="Y43" i="24"/>
  <c r="W43" i="24"/>
  <c r="M42" i="24"/>
  <c r="T42" i="24"/>
  <c r="V42" i="24"/>
  <c r="AA42" i="24"/>
  <c r="Y42" i="24"/>
  <c r="W42" i="24"/>
  <c r="T41" i="24"/>
  <c r="V41" i="24"/>
  <c r="AA41" i="24"/>
  <c r="X41" i="24"/>
  <c r="Y41" i="24"/>
  <c r="W41" i="24"/>
  <c r="AA35" i="24"/>
  <c r="W35" i="24"/>
  <c r="M35" i="24"/>
  <c r="N32" i="24"/>
  <c r="I5" i="24"/>
  <c r="M4" i="24"/>
  <c r="C11" i="57"/>
  <c r="C10" i="57"/>
  <c r="C12" i="57"/>
  <c r="C3" i="36"/>
  <c r="C4" i="36"/>
  <c r="C8" i="36"/>
  <c r="C9" i="36"/>
  <c r="C13" i="36"/>
  <c r="C16" i="36"/>
  <c r="C17" i="36"/>
  <c r="C20" i="36"/>
  <c r="C28" i="36"/>
  <c r="C33" i="36"/>
  <c r="C38" i="36"/>
  <c r="C40" i="36"/>
  <c r="C2" i="36"/>
  <c r="T4" i="2"/>
  <c r="U4" i="2"/>
  <c r="D11" i="57"/>
  <c r="F4" i="29"/>
  <c r="E4" i="29"/>
  <c r="I4" i="29"/>
  <c r="J4" i="29"/>
  <c r="N4" i="29"/>
  <c r="F5" i="29"/>
  <c r="C5" i="29"/>
  <c r="E5" i="29"/>
  <c r="I5" i="29"/>
  <c r="J5" i="29"/>
  <c r="N5" i="29"/>
  <c r="F6" i="29"/>
  <c r="C6" i="29"/>
  <c r="E6" i="29"/>
  <c r="I6" i="29"/>
  <c r="J6" i="29"/>
  <c r="N6" i="29"/>
  <c r="F7" i="29"/>
  <c r="C7" i="29"/>
  <c r="E7" i="29"/>
  <c r="I7" i="29"/>
  <c r="J7" i="29"/>
  <c r="N7" i="29"/>
  <c r="F8" i="29"/>
  <c r="C8" i="29"/>
  <c r="E8" i="29"/>
  <c r="I8" i="29"/>
  <c r="J8" i="29"/>
  <c r="N8" i="29"/>
  <c r="F9" i="29"/>
  <c r="C9" i="29"/>
  <c r="E9" i="29"/>
  <c r="I9" i="29"/>
  <c r="J9" i="29"/>
  <c r="N9" i="29"/>
  <c r="F10" i="29"/>
  <c r="C10" i="29"/>
  <c r="E10" i="29"/>
  <c r="I10" i="29"/>
  <c r="J10" i="29"/>
  <c r="N10" i="29"/>
  <c r="F11" i="29"/>
  <c r="C11" i="29"/>
  <c r="E11" i="29"/>
  <c r="I11" i="29"/>
  <c r="J11" i="29"/>
  <c r="N11" i="29"/>
  <c r="F12" i="29"/>
  <c r="C12" i="29"/>
  <c r="E12" i="29"/>
  <c r="I12" i="29"/>
  <c r="J12" i="29"/>
  <c r="N12" i="29"/>
  <c r="F13" i="29"/>
  <c r="C13" i="29"/>
  <c r="E13" i="29"/>
  <c r="I13" i="29"/>
  <c r="J13" i="29"/>
  <c r="N13" i="29"/>
  <c r="F14" i="29"/>
  <c r="C14" i="29"/>
  <c r="E14" i="29"/>
  <c r="I14" i="29"/>
  <c r="J14" i="29"/>
  <c r="N14" i="29"/>
  <c r="F15" i="29"/>
  <c r="C15" i="29"/>
  <c r="E15" i="29"/>
  <c r="I15" i="29"/>
  <c r="J15" i="29"/>
  <c r="N15" i="29"/>
  <c r="F16" i="29"/>
  <c r="C16" i="29"/>
  <c r="E16" i="29"/>
  <c r="I16" i="29"/>
  <c r="J16" i="29"/>
  <c r="N16" i="29"/>
  <c r="F17" i="29"/>
  <c r="C17" i="29"/>
  <c r="E17" i="29"/>
  <c r="I17" i="29"/>
  <c r="J17" i="29"/>
  <c r="N17" i="29"/>
  <c r="F18" i="29"/>
  <c r="C18" i="29"/>
  <c r="E18" i="29"/>
  <c r="I18" i="29"/>
  <c r="J18" i="29"/>
  <c r="N18" i="29"/>
  <c r="F19" i="29"/>
  <c r="C19" i="29"/>
  <c r="E19" i="29"/>
  <c r="I19" i="29"/>
  <c r="J19" i="29"/>
  <c r="N19" i="29"/>
  <c r="F20" i="29"/>
  <c r="C20" i="29"/>
  <c r="E20" i="29"/>
  <c r="I20" i="29"/>
  <c r="J20" i="29"/>
  <c r="N20" i="29"/>
  <c r="F21" i="29"/>
  <c r="C21" i="29"/>
  <c r="E21" i="29"/>
  <c r="I21" i="29"/>
  <c r="J21" i="29"/>
  <c r="N21" i="29"/>
  <c r="F22" i="29"/>
  <c r="C22" i="29"/>
  <c r="E22" i="29"/>
  <c r="I22" i="29"/>
  <c r="J22" i="29"/>
  <c r="N22" i="29"/>
  <c r="F23" i="29"/>
  <c r="C23" i="29"/>
  <c r="E23" i="29"/>
  <c r="I23" i="29"/>
  <c r="J23" i="29"/>
  <c r="N23" i="29"/>
  <c r="F24" i="29"/>
  <c r="C24" i="29"/>
  <c r="E24" i="29"/>
  <c r="I24" i="29"/>
  <c r="J24" i="29"/>
  <c r="N24" i="29"/>
  <c r="F25" i="29"/>
  <c r="C25" i="29"/>
  <c r="E25" i="29"/>
  <c r="I25" i="29"/>
  <c r="J25" i="29"/>
  <c r="N25" i="29"/>
  <c r="F26" i="29"/>
  <c r="C26" i="29"/>
  <c r="E26" i="29"/>
  <c r="I26" i="29"/>
  <c r="J26" i="29"/>
  <c r="N26" i="29"/>
  <c r="F27" i="29"/>
  <c r="C27" i="29"/>
  <c r="E27" i="29"/>
  <c r="I27" i="29"/>
  <c r="J27" i="29"/>
  <c r="N27" i="29"/>
  <c r="F28" i="29"/>
  <c r="C28" i="29"/>
  <c r="E28" i="29"/>
  <c r="I28" i="29"/>
  <c r="J28" i="29"/>
  <c r="N28" i="29"/>
  <c r="F29" i="29"/>
  <c r="C29" i="29"/>
  <c r="E29" i="29"/>
  <c r="I29" i="29"/>
  <c r="J29" i="29"/>
  <c r="N29" i="29"/>
  <c r="F30" i="29"/>
  <c r="C30" i="29"/>
  <c r="E30" i="29"/>
  <c r="I30" i="29"/>
  <c r="J30" i="29"/>
  <c r="N30" i="29"/>
  <c r="F31" i="29"/>
  <c r="C31" i="29"/>
  <c r="E31" i="29"/>
  <c r="I31" i="29"/>
  <c r="J31" i="29"/>
  <c r="N31" i="29"/>
  <c r="F32" i="29"/>
  <c r="C32" i="29"/>
  <c r="E32" i="29"/>
  <c r="I32" i="29"/>
  <c r="J32" i="29"/>
  <c r="N32" i="29"/>
  <c r="F33" i="29"/>
  <c r="C33" i="29"/>
  <c r="E33" i="29"/>
  <c r="I33" i="29"/>
  <c r="J33" i="29"/>
  <c r="N33" i="29"/>
  <c r="F34" i="29"/>
  <c r="C34" i="29"/>
  <c r="E34" i="29"/>
  <c r="I34" i="29"/>
  <c r="J34" i="29"/>
  <c r="N34" i="29"/>
  <c r="F35" i="29"/>
  <c r="C35" i="29"/>
  <c r="E35" i="29"/>
  <c r="I35" i="29"/>
  <c r="J35" i="29"/>
  <c r="N35" i="29"/>
  <c r="F36" i="29"/>
  <c r="C36" i="29"/>
  <c r="E36" i="29"/>
  <c r="I36" i="29"/>
  <c r="J36" i="29"/>
  <c r="N36" i="29"/>
  <c r="F37" i="29"/>
  <c r="C37" i="29"/>
  <c r="E37" i="29"/>
  <c r="I37" i="29"/>
  <c r="J37" i="29"/>
  <c r="N37" i="29"/>
  <c r="F38" i="29"/>
  <c r="C38" i="29"/>
  <c r="E38" i="29"/>
  <c r="I38" i="29"/>
  <c r="J38" i="29"/>
  <c r="N38" i="29"/>
  <c r="F39" i="29"/>
  <c r="C39" i="29"/>
  <c r="E39" i="29"/>
  <c r="I39" i="29"/>
  <c r="J39" i="29"/>
  <c r="N39" i="29"/>
  <c r="F40" i="29"/>
  <c r="C40" i="29"/>
  <c r="E40" i="29"/>
  <c r="I40" i="29"/>
  <c r="J40" i="29"/>
  <c r="N40" i="29"/>
  <c r="F41" i="29"/>
  <c r="C41" i="29"/>
  <c r="E41" i="29"/>
  <c r="I41" i="29"/>
  <c r="J41" i="29"/>
  <c r="N41" i="29"/>
  <c r="F42" i="29"/>
  <c r="C42" i="29"/>
  <c r="E42" i="29"/>
  <c r="I42" i="29"/>
  <c r="J42" i="29"/>
  <c r="N42" i="29"/>
  <c r="F43" i="29"/>
  <c r="C43" i="29"/>
  <c r="E43" i="29"/>
  <c r="I43" i="29"/>
  <c r="J43" i="29"/>
  <c r="N43" i="29"/>
  <c r="F44" i="29"/>
  <c r="C44" i="29"/>
  <c r="E44" i="29"/>
  <c r="I44" i="29"/>
  <c r="J44" i="29"/>
  <c r="N44" i="29"/>
  <c r="F45" i="29"/>
  <c r="C45" i="29"/>
  <c r="E45" i="29"/>
  <c r="I45" i="29"/>
  <c r="J45" i="29"/>
  <c r="N45" i="29"/>
  <c r="F46" i="29"/>
  <c r="C46" i="29"/>
  <c r="E46" i="29"/>
  <c r="I46" i="29"/>
  <c r="J46" i="29"/>
  <c r="N46" i="29"/>
  <c r="F47" i="29"/>
  <c r="C47" i="29"/>
  <c r="E47" i="29"/>
  <c r="I47" i="29"/>
  <c r="J47" i="29"/>
  <c r="N47" i="29"/>
  <c r="F48" i="29"/>
  <c r="C48" i="29"/>
  <c r="E48" i="29"/>
  <c r="I48" i="29"/>
  <c r="J48" i="29"/>
  <c r="N48" i="29"/>
  <c r="F49" i="29"/>
  <c r="C49" i="29"/>
  <c r="E49" i="29"/>
  <c r="I49" i="29"/>
  <c r="J49" i="29"/>
  <c r="N49" i="29"/>
  <c r="F50" i="29"/>
  <c r="C50" i="29"/>
  <c r="E50" i="29"/>
  <c r="I50" i="29"/>
  <c r="J50" i="29"/>
  <c r="N50" i="29"/>
  <c r="F51" i="29"/>
  <c r="C51" i="29"/>
  <c r="E51" i="29"/>
  <c r="I51" i="29"/>
  <c r="J51" i="29"/>
  <c r="N51" i="29"/>
  <c r="F52" i="29"/>
  <c r="C52" i="29"/>
  <c r="E52" i="29"/>
  <c r="I52" i="29"/>
  <c r="J52" i="29"/>
  <c r="N52" i="29"/>
  <c r="F53" i="29"/>
  <c r="C53" i="29"/>
  <c r="E53" i="29"/>
  <c r="I53" i="29"/>
  <c r="J53" i="29"/>
  <c r="N53" i="29"/>
  <c r="F54" i="29"/>
  <c r="C54" i="29"/>
  <c r="E54" i="29"/>
  <c r="I54" i="29"/>
  <c r="J54" i="29"/>
  <c r="N54" i="29"/>
  <c r="N56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6" i="29"/>
  <c r="N61" i="29"/>
  <c r="O61" i="29"/>
  <c r="D4" i="2"/>
  <c r="O4" i="2"/>
  <c r="L4" i="29"/>
  <c r="L5" i="29"/>
  <c r="L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6" i="29"/>
  <c r="N60" i="29"/>
  <c r="O60" i="29"/>
  <c r="Q4" i="2"/>
  <c r="S4" i="2"/>
  <c r="D10" i="57"/>
  <c r="D12" i="57"/>
  <c r="D7" i="36"/>
  <c r="D39" i="36"/>
  <c r="D46" i="36"/>
  <c r="D47" i="36"/>
  <c r="D48" i="36"/>
  <c r="D2" i="36"/>
  <c r="T4" i="11"/>
  <c r="U4" i="11"/>
  <c r="E11" i="57"/>
  <c r="O10" i="30"/>
  <c r="O23" i="30"/>
  <c r="O24" i="30"/>
  <c r="O25" i="30"/>
  <c r="O33" i="30"/>
  <c r="O34" i="30"/>
  <c r="O42" i="30"/>
  <c r="O43" i="30"/>
  <c r="O50" i="30"/>
  <c r="O4" i="30"/>
  <c r="O5" i="30"/>
  <c r="O6" i="30"/>
  <c r="O7" i="30"/>
  <c r="O8" i="30"/>
  <c r="O9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6" i="30"/>
  <c r="O27" i="30"/>
  <c r="O28" i="30"/>
  <c r="O29" i="30"/>
  <c r="O30" i="30"/>
  <c r="O31" i="30"/>
  <c r="O32" i="30"/>
  <c r="O35" i="30"/>
  <c r="O36" i="30"/>
  <c r="O37" i="30"/>
  <c r="O38" i="30"/>
  <c r="O39" i="30"/>
  <c r="O40" i="30"/>
  <c r="O41" i="30"/>
  <c r="O44" i="30"/>
  <c r="O45" i="30"/>
  <c r="O46" i="30"/>
  <c r="O47" i="30"/>
  <c r="O48" i="30"/>
  <c r="O49" i="30"/>
  <c r="O51" i="30"/>
  <c r="O52" i="30"/>
  <c r="O53" i="30"/>
  <c r="O54" i="30"/>
  <c r="O56" i="30"/>
  <c r="N56" i="30"/>
  <c r="P60" i="30"/>
  <c r="Q60" i="30"/>
  <c r="J4" i="11"/>
  <c r="P4" i="11"/>
  <c r="D4" i="11"/>
  <c r="Q4" i="11"/>
  <c r="P56" i="30"/>
  <c r="P61" i="30"/>
  <c r="Q61" i="30"/>
  <c r="O4" i="11"/>
  <c r="S4" i="11"/>
  <c r="E10" i="57"/>
  <c r="E12" i="57"/>
  <c r="E6" i="36"/>
  <c r="E18" i="36"/>
  <c r="E19" i="36"/>
  <c r="E25" i="36"/>
  <c r="E26" i="36"/>
  <c r="E31" i="36"/>
  <c r="E2" i="36"/>
  <c r="T4" i="41"/>
  <c r="U4" i="41"/>
  <c r="F11" i="57"/>
  <c r="F4" i="43"/>
  <c r="E4" i="43"/>
  <c r="J4" i="43"/>
  <c r="N4" i="43"/>
  <c r="F5" i="43"/>
  <c r="I5" i="43"/>
  <c r="C5" i="43"/>
  <c r="E5" i="43"/>
  <c r="J5" i="43"/>
  <c r="N5" i="43"/>
  <c r="F6" i="43"/>
  <c r="I6" i="43"/>
  <c r="C6" i="43"/>
  <c r="E6" i="43"/>
  <c r="J6" i="43"/>
  <c r="N6" i="43"/>
  <c r="F7" i="43"/>
  <c r="I7" i="43"/>
  <c r="C7" i="43"/>
  <c r="E7" i="43"/>
  <c r="J7" i="43"/>
  <c r="N7" i="43"/>
  <c r="F8" i="43"/>
  <c r="I8" i="43"/>
  <c r="C8" i="43"/>
  <c r="E8" i="43"/>
  <c r="J8" i="43"/>
  <c r="N8" i="43"/>
  <c r="F9" i="43"/>
  <c r="I9" i="43"/>
  <c r="C9" i="43"/>
  <c r="E9" i="43"/>
  <c r="J9" i="43"/>
  <c r="N9" i="43"/>
  <c r="F10" i="43"/>
  <c r="I10" i="43"/>
  <c r="C10" i="43"/>
  <c r="E10" i="43"/>
  <c r="J10" i="43"/>
  <c r="N10" i="43"/>
  <c r="F11" i="43"/>
  <c r="I11" i="43"/>
  <c r="C11" i="43"/>
  <c r="E11" i="43"/>
  <c r="J11" i="43"/>
  <c r="N11" i="43"/>
  <c r="F12" i="43"/>
  <c r="I12" i="43"/>
  <c r="H12" i="43"/>
  <c r="C12" i="43"/>
  <c r="E12" i="43"/>
  <c r="J12" i="43"/>
  <c r="N12" i="43"/>
  <c r="F13" i="43"/>
  <c r="I13" i="43"/>
  <c r="C13" i="43"/>
  <c r="E13" i="43"/>
  <c r="J13" i="43"/>
  <c r="N13" i="43"/>
  <c r="F14" i="43"/>
  <c r="I14" i="43"/>
  <c r="C14" i="43"/>
  <c r="E14" i="43"/>
  <c r="J14" i="43"/>
  <c r="N14" i="43"/>
  <c r="F15" i="43"/>
  <c r="I15" i="43"/>
  <c r="C15" i="43"/>
  <c r="E15" i="43"/>
  <c r="J15" i="43"/>
  <c r="N15" i="43"/>
  <c r="F16" i="43"/>
  <c r="I16" i="43"/>
  <c r="C16" i="43"/>
  <c r="E16" i="43"/>
  <c r="J16" i="43"/>
  <c r="N16" i="43"/>
  <c r="F17" i="43"/>
  <c r="I17" i="43"/>
  <c r="C17" i="43"/>
  <c r="E17" i="43"/>
  <c r="J17" i="43"/>
  <c r="N17" i="43"/>
  <c r="F18" i="43"/>
  <c r="I18" i="43"/>
  <c r="C18" i="43"/>
  <c r="E18" i="43"/>
  <c r="J18" i="43"/>
  <c r="N18" i="43"/>
  <c r="F19" i="43"/>
  <c r="I19" i="43"/>
  <c r="C19" i="43"/>
  <c r="E19" i="43"/>
  <c r="J19" i="43"/>
  <c r="N19" i="43"/>
  <c r="F20" i="43"/>
  <c r="I20" i="43"/>
  <c r="C20" i="43"/>
  <c r="E20" i="43"/>
  <c r="J20" i="43"/>
  <c r="N20" i="43"/>
  <c r="F21" i="43"/>
  <c r="I21" i="43"/>
  <c r="C21" i="43"/>
  <c r="E21" i="43"/>
  <c r="J21" i="43"/>
  <c r="N21" i="43"/>
  <c r="F22" i="43"/>
  <c r="I22" i="43"/>
  <c r="C22" i="43"/>
  <c r="E22" i="43"/>
  <c r="J22" i="43"/>
  <c r="N22" i="43"/>
  <c r="F23" i="43"/>
  <c r="I23" i="43"/>
  <c r="C23" i="43"/>
  <c r="E23" i="43"/>
  <c r="J23" i="43"/>
  <c r="N23" i="43"/>
  <c r="F24" i="43"/>
  <c r="I24" i="43"/>
  <c r="C24" i="43"/>
  <c r="E24" i="43"/>
  <c r="J24" i="43"/>
  <c r="N24" i="43"/>
  <c r="F25" i="43"/>
  <c r="I25" i="43"/>
  <c r="C25" i="43"/>
  <c r="E25" i="43"/>
  <c r="J25" i="43"/>
  <c r="N25" i="43"/>
  <c r="F26" i="43"/>
  <c r="I26" i="43"/>
  <c r="C26" i="43"/>
  <c r="E26" i="43"/>
  <c r="J26" i="43"/>
  <c r="N26" i="43"/>
  <c r="F27" i="43"/>
  <c r="I27" i="43"/>
  <c r="C27" i="43"/>
  <c r="E27" i="43"/>
  <c r="J27" i="43"/>
  <c r="N27" i="43"/>
  <c r="F28" i="43"/>
  <c r="I28" i="43"/>
  <c r="C28" i="43"/>
  <c r="E28" i="43"/>
  <c r="J28" i="43"/>
  <c r="N28" i="43"/>
  <c r="F29" i="43"/>
  <c r="I29" i="43"/>
  <c r="C29" i="43"/>
  <c r="E29" i="43"/>
  <c r="J29" i="43"/>
  <c r="N29" i="43"/>
  <c r="F30" i="43"/>
  <c r="I30" i="43"/>
  <c r="C30" i="43"/>
  <c r="E30" i="43"/>
  <c r="J30" i="43"/>
  <c r="N30" i="43"/>
  <c r="F31" i="43"/>
  <c r="I31" i="43"/>
  <c r="C31" i="43"/>
  <c r="E31" i="43"/>
  <c r="J31" i="43"/>
  <c r="N31" i="43"/>
  <c r="F32" i="43"/>
  <c r="I32" i="43"/>
  <c r="C32" i="43"/>
  <c r="E32" i="43"/>
  <c r="J32" i="43"/>
  <c r="N32" i="43"/>
  <c r="F33" i="43"/>
  <c r="I33" i="43"/>
  <c r="H33" i="43"/>
  <c r="C33" i="43"/>
  <c r="E33" i="43"/>
  <c r="J33" i="43"/>
  <c r="N33" i="43"/>
  <c r="F34" i="43"/>
  <c r="I34" i="43"/>
  <c r="C34" i="43"/>
  <c r="E34" i="43"/>
  <c r="J34" i="43"/>
  <c r="N34" i="43"/>
  <c r="F35" i="43"/>
  <c r="I35" i="43"/>
  <c r="C35" i="43"/>
  <c r="E35" i="43"/>
  <c r="J35" i="43"/>
  <c r="N35" i="43"/>
  <c r="F36" i="43"/>
  <c r="I36" i="43"/>
  <c r="C36" i="43"/>
  <c r="E36" i="43"/>
  <c r="J36" i="43"/>
  <c r="N36" i="43"/>
  <c r="F37" i="43"/>
  <c r="I37" i="43"/>
  <c r="C37" i="43"/>
  <c r="E37" i="43"/>
  <c r="J37" i="43"/>
  <c r="N37" i="43"/>
  <c r="F38" i="43"/>
  <c r="I38" i="43"/>
  <c r="C38" i="43"/>
  <c r="E38" i="43"/>
  <c r="J38" i="43"/>
  <c r="N38" i="43"/>
  <c r="F39" i="43"/>
  <c r="I39" i="43"/>
  <c r="C39" i="43"/>
  <c r="E39" i="43"/>
  <c r="J39" i="43"/>
  <c r="N39" i="43"/>
  <c r="F40" i="43"/>
  <c r="I40" i="43"/>
  <c r="C40" i="43"/>
  <c r="E40" i="43"/>
  <c r="J40" i="43"/>
  <c r="N40" i="43"/>
  <c r="F41" i="43"/>
  <c r="I41" i="43"/>
  <c r="C41" i="43"/>
  <c r="E41" i="43"/>
  <c r="J41" i="43"/>
  <c r="N41" i="43"/>
  <c r="F42" i="43"/>
  <c r="I42" i="43"/>
  <c r="C42" i="43"/>
  <c r="E42" i="43"/>
  <c r="J42" i="43"/>
  <c r="N42" i="43"/>
  <c r="F43" i="43"/>
  <c r="I43" i="43"/>
  <c r="H43" i="43"/>
  <c r="C43" i="43"/>
  <c r="E43" i="43"/>
  <c r="J43" i="43"/>
  <c r="N43" i="43"/>
  <c r="F44" i="43"/>
  <c r="I44" i="43"/>
  <c r="C44" i="43"/>
  <c r="E44" i="43"/>
  <c r="J44" i="43"/>
  <c r="N44" i="43"/>
  <c r="F45" i="43"/>
  <c r="I45" i="43"/>
  <c r="C45" i="43"/>
  <c r="E45" i="43"/>
  <c r="J45" i="43"/>
  <c r="N45" i="43"/>
  <c r="F46" i="43"/>
  <c r="I46" i="43"/>
  <c r="C46" i="43"/>
  <c r="E46" i="43"/>
  <c r="J46" i="43"/>
  <c r="N46" i="43"/>
  <c r="F47" i="43"/>
  <c r="I47" i="43"/>
  <c r="C47" i="43"/>
  <c r="E47" i="43"/>
  <c r="J47" i="43"/>
  <c r="N47" i="43"/>
  <c r="F48" i="43"/>
  <c r="I48" i="43"/>
  <c r="C48" i="43"/>
  <c r="E48" i="43"/>
  <c r="J48" i="43"/>
  <c r="N48" i="43"/>
  <c r="F49" i="43"/>
  <c r="I49" i="43"/>
  <c r="H49" i="43"/>
  <c r="C49" i="43"/>
  <c r="E49" i="43"/>
  <c r="J49" i="43"/>
  <c r="N49" i="43"/>
  <c r="F50" i="43"/>
  <c r="I50" i="43"/>
  <c r="C50" i="43"/>
  <c r="E50" i="43"/>
  <c r="J50" i="43"/>
  <c r="N50" i="43"/>
  <c r="F51" i="43"/>
  <c r="I51" i="43"/>
  <c r="C51" i="43"/>
  <c r="E51" i="43"/>
  <c r="J51" i="43"/>
  <c r="N51" i="43"/>
  <c r="F52" i="43"/>
  <c r="I52" i="43"/>
  <c r="C52" i="43"/>
  <c r="E52" i="43"/>
  <c r="J52" i="43"/>
  <c r="N52" i="43"/>
  <c r="F53" i="43"/>
  <c r="I53" i="43"/>
  <c r="C53" i="43"/>
  <c r="E53" i="43"/>
  <c r="J53" i="43"/>
  <c r="N53" i="43"/>
  <c r="F54" i="43"/>
  <c r="I54" i="43"/>
  <c r="C54" i="43"/>
  <c r="E54" i="43"/>
  <c r="J54" i="43"/>
  <c r="N54" i="43"/>
  <c r="N55" i="43"/>
  <c r="N56" i="43"/>
  <c r="K4" i="43"/>
  <c r="O4" i="43"/>
  <c r="K5" i="43"/>
  <c r="O5" i="43"/>
  <c r="K6" i="43"/>
  <c r="O6" i="43"/>
  <c r="K7" i="43"/>
  <c r="O7" i="43"/>
  <c r="K8" i="43"/>
  <c r="O8" i="43"/>
  <c r="K9" i="43"/>
  <c r="O9" i="43"/>
  <c r="K10" i="43"/>
  <c r="O10" i="43"/>
  <c r="K11" i="43"/>
  <c r="O11" i="43"/>
  <c r="K12" i="43"/>
  <c r="O12" i="43"/>
  <c r="K13" i="43"/>
  <c r="O13" i="43"/>
  <c r="K14" i="43"/>
  <c r="O14" i="43"/>
  <c r="K15" i="43"/>
  <c r="O15" i="43"/>
  <c r="K16" i="43"/>
  <c r="O16" i="43"/>
  <c r="K17" i="43"/>
  <c r="O17" i="43"/>
  <c r="K18" i="43"/>
  <c r="O18" i="43"/>
  <c r="K19" i="43"/>
  <c r="O19" i="43"/>
  <c r="K20" i="43"/>
  <c r="O20" i="43"/>
  <c r="K21" i="43"/>
  <c r="O21" i="43"/>
  <c r="K22" i="43"/>
  <c r="O22" i="43"/>
  <c r="K23" i="43"/>
  <c r="O23" i="43"/>
  <c r="K24" i="43"/>
  <c r="O24" i="43"/>
  <c r="K25" i="43"/>
  <c r="O25" i="43"/>
  <c r="K26" i="43"/>
  <c r="O26" i="43"/>
  <c r="K27" i="43"/>
  <c r="O27" i="43"/>
  <c r="K28" i="43"/>
  <c r="O28" i="43"/>
  <c r="K29" i="43"/>
  <c r="O29" i="43"/>
  <c r="K30" i="43"/>
  <c r="O30" i="43"/>
  <c r="K31" i="43"/>
  <c r="O31" i="43"/>
  <c r="K32" i="43"/>
  <c r="O32" i="43"/>
  <c r="K33" i="43"/>
  <c r="O33" i="43"/>
  <c r="K34" i="43"/>
  <c r="O34" i="43"/>
  <c r="K35" i="43"/>
  <c r="O35" i="43"/>
  <c r="K36" i="43"/>
  <c r="O36" i="43"/>
  <c r="K37" i="43"/>
  <c r="O37" i="43"/>
  <c r="K38" i="43"/>
  <c r="O38" i="43"/>
  <c r="K39" i="43"/>
  <c r="O39" i="43"/>
  <c r="K40" i="43"/>
  <c r="O40" i="43"/>
  <c r="K41" i="43"/>
  <c r="O41" i="43"/>
  <c r="K42" i="43"/>
  <c r="O42" i="43"/>
  <c r="K43" i="43"/>
  <c r="O43" i="43"/>
  <c r="K44" i="43"/>
  <c r="O44" i="43"/>
  <c r="K45" i="43"/>
  <c r="O45" i="43"/>
  <c r="K46" i="43"/>
  <c r="O46" i="43"/>
  <c r="K47" i="43"/>
  <c r="O47" i="43"/>
  <c r="K48" i="43"/>
  <c r="O48" i="43"/>
  <c r="K49" i="43"/>
  <c r="O49" i="43"/>
  <c r="K50" i="43"/>
  <c r="O50" i="43"/>
  <c r="K51" i="43"/>
  <c r="O51" i="43"/>
  <c r="K52" i="43"/>
  <c r="O52" i="43"/>
  <c r="K53" i="43"/>
  <c r="O53" i="43"/>
  <c r="K54" i="43"/>
  <c r="O54" i="43"/>
  <c r="O56" i="43"/>
  <c r="P60" i="43"/>
  <c r="G56" i="43"/>
  <c r="Q60" i="43"/>
  <c r="P4" i="41"/>
  <c r="D4" i="41"/>
  <c r="Q4" i="41"/>
  <c r="L4" i="43"/>
  <c r="P4" i="43"/>
  <c r="L5" i="43"/>
  <c r="P5" i="43"/>
  <c r="L6" i="43"/>
  <c r="P6" i="43"/>
  <c r="L7" i="43"/>
  <c r="P7" i="43"/>
  <c r="L8" i="43"/>
  <c r="P8" i="43"/>
  <c r="L9" i="43"/>
  <c r="P9" i="43"/>
  <c r="L10" i="43"/>
  <c r="P10" i="43"/>
  <c r="L11" i="43"/>
  <c r="P11" i="43"/>
  <c r="L12" i="43"/>
  <c r="P12" i="43"/>
  <c r="L13" i="43"/>
  <c r="P13" i="43"/>
  <c r="L14" i="43"/>
  <c r="P14" i="43"/>
  <c r="L15" i="43"/>
  <c r="P15" i="43"/>
  <c r="L16" i="43"/>
  <c r="P16" i="43"/>
  <c r="L17" i="43"/>
  <c r="P17" i="43"/>
  <c r="L18" i="43"/>
  <c r="P18" i="43"/>
  <c r="L19" i="43"/>
  <c r="P19" i="43"/>
  <c r="L20" i="43"/>
  <c r="P20" i="43"/>
  <c r="L21" i="43"/>
  <c r="P21" i="43"/>
  <c r="L22" i="43"/>
  <c r="P22" i="43"/>
  <c r="L23" i="43"/>
  <c r="P23" i="43"/>
  <c r="L24" i="43"/>
  <c r="P24" i="43"/>
  <c r="L25" i="43"/>
  <c r="P25" i="43"/>
  <c r="L26" i="43"/>
  <c r="P26" i="43"/>
  <c r="L27" i="43"/>
  <c r="P27" i="43"/>
  <c r="L28" i="43"/>
  <c r="P28" i="43"/>
  <c r="L29" i="43"/>
  <c r="P29" i="43"/>
  <c r="L30" i="43"/>
  <c r="P30" i="43"/>
  <c r="L31" i="43"/>
  <c r="P31" i="43"/>
  <c r="L32" i="43"/>
  <c r="P32" i="43"/>
  <c r="L33" i="43"/>
  <c r="P33" i="43"/>
  <c r="L34" i="43"/>
  <c r="P34" i="43"/>
  <c r="L35" i="43"/>
  <c r="P35" i="43"/>
  <c r="L36" i="43"/>
  <c r="P36" i="43"/>
  <c r="L37" i="43"/>
  <c r="P37" i="43"/>
  <c r="L38" i="43"/>
  <c r="P38" i="43"/>
  <c r="L39" i="43"/>
  <c r="P39" i="43"/>
  <c r="L40" i="43"/>
  <c r="P40" i="43"/>
  <c r="L41" i="43"/>
  <c r="P41" i="43"/>
  <c r="L42" i="43"/>
  <c r="P42" i="43"/>
  <c r="L43" i="43"/>
  <c r="P43" i="43"/>
  <c r="L44" i="43"/>
  <c r="P44" i="43"/>
  <c r="L45" i="43"/>
  <c r="P45" i="43"/>
  <c r="L46" i="43"/>
  <c r="P46" i="43"/>
  <c r="L47" i="43"/>
  <c r="P47" i="43"/>
  <c r="L48" i="43"/>
  <c r="P48" i="43"/>
  <c r="L49" i="43"/>
  <c r="P49" i="43"/>
  <c r="L50" i="43"/>
  <c r="P50" i="43"/>
  <c r="L51" i="43"/>
  <c r="P51" i="43"/>
  <c r="L52" i="43"/>
  <c r="P52" i="43"/>
  <c r="L53" i="43"/>
  <c r="P53" i="43"/>
  <c r="L54" i="43"/>
  <c r="P54" i="43"/>
  <c r="P56" i="43"/>
  <c r="P61" i="43"/>
  <c r="Q61" i="43"/>
  <c r="O4" i="41"/>
  <c r="S4" i="41"/>
  <c r="F10" i="57"/>
  <c r="F12" i="57"/>
  <c r="F5" i="36"/>
  <c r="F10" i="36"/>
  <c r="F27" i="36"/>
  <c r="F29" i="36"/>
  <c r="F30" i="36"/>
  <c r="F32" i="36"/>
  <c r="F34" i="36"/>
  <c r="F35" i="36"/>
  <c r="F36" i="36"/>
  <c r="F37" i="36"/>
  <c r="F45" i="36"/>
  <c r="F49" i="36"/>
  <c r="F2" i="36"/>
  <c r="V4" i="13"/>
  <c r="W4" i="13"/>
  <c r="U4" i="13"/>
  <c r="X4" i="13"/>
  <c r="G11" i="57"/>
  <c r="G10" i="57"/>
  <c r="G12" i="57"/>
  <c r="S4" i="20"/>
  <c r="T4" i="20"/>
  <c r="U4" i="20"/>
  <c r="R12" i="57"/>
  <c r="F4" i="69"/>
  <c r="H4" i="18"/>
  <c r="I4" i="69"/>
  <c r="J4" i="69"/>
  <c r="K4" i="69"/>
  <c r="L4" i="69"/>
  <c r="P4" i="69"/>
  <c r="F5" i="69"/>
  <c r="I5" i="69"/>
  <c r="J5" i="69"/>
  <c r="K5" i="69"/>
  <c r="L5" i="69"/>
  <c r="P5" i="69"/>
  <c r="F6" i="69"/>
  <c r="I6" i="69"/>
  <c r="J6" i="69"/>
  <c r="K6" i="69"/>
  <c r="L6" i="69"/>
  <c r="P6" i="69"/>
  <c r="F7" i="69"/>
  <c r="I7" i="69"/>
  <c r="J7" i="69"/>
  <c r="K7" i="69"/>
  <c r="L7" i="69"/>
  <c r="P7" i="69"/>
  <c r="F8" i="69"/>
  <c r="I8" i="69"/>
  <c r="J8" i="69"/>
  <c r="K8" i="69"/>
  <c r="L8" i="69"/>
  <c r="P8" i="69"/>
  <c r="F9" i="69"/>
  <c r="I9" i="69"/>
  <c r="J9" i="69"/>
  <c r="K9" i="69"/>
  <c r="L9" i="69"/>
  <c r="P9" i="69"/>
  <c r="F10" i="69"/>
  <c r="I10" i="69"/>
  <c r="J10" i="69"/>
  <c r="K10" i="69"/>
  <c r="L10" i="69"/>
  <c r="P10" i="69"/>
  <c r="F11" i="69"/>
  <c r="I11" i="69"/>
  <c r="J11" i="69"/>
  <c r="K11" i="69"/>
  <c r="L11" i="69"/>
  <c r="P11" i="69"/>
  <c r="F12" i="69"/>
  <c r="I12" i="69"/>
  <c r="J12" i="69"/>
  <c r="K12" i="69"/>
  <c r="L12" i="69"/>
  <c r="P12" i="69"/>
  <c r="F13" i="69"/>
  <c r="I13" i="69"/>
  <c r="J13" i="69"/>
  <c r="K13" i="69"/>
  <c r="L13" i="69"/>
  <c r="P13" i="69"/>
  <c r="F14" i="69"/>
  <c r="I14" i="69"/>
  <c r="J14" i="69"/>
  <c r="K14" i="69"/>
  <c r="L14" i="69"/>
  <c r="P14" i="69"/>
  <c r="F15" i="69"/>
  <c r="I15" i="69"/>
  <c r="J15" i="69"/>
  <c r="K15" i="69"/>
  <c r="L15" i="69"/>
  <c r="P15" i="69"/>
  <c r="F16" i="69"/>
  <c r="I16" i="69"/>
  <c r="J16" i="69"/>
  <c r="K16" i="69"/>
  <c r="L16" i="69"/>
  <c r="P16" i="69"/>
  <c r="F17" i="69"/>
  <c r="I17" i="69"/>
  <c r="J17" i="69"/>
  <c r="K17" i="69"/>
  <c r="L17" i="69"/>
  <c r="P17" i="69"/>
  <c r="F18" i="69"/>
  <c r="I18" i="69"/>
  <c r="J18" i="69"/>
  <c r="K18" i="69"/>
  <c r="L18" i="69"/>
  <c r="P18" i="69"/>
  <c r="F19" i="69"/>
  <c r="I19" i="69"/>
  <c r="J19" i="69"/>
  <c r="K19" i="69"/>
  <c r="L19" i="69"/>
  <c r="P19" i="69"/>
  <c r="F20" i="69"/>
  <c r="I20" i="69"/>
  <c r="J20" i="69"/>
  <c r="K20" i="69"/>
  <c r="L20" i="69"/>
  <c r="P20" i="69"/>
  <c r="F21" i="69"/>
  <c r="I21" i="69"/>
  <c r="J21" i="69"/>
  <c r="K21" i="69"/>
  <c r="L21" i="69"/>
  <c r="P21" i="69"/>
  <c r="F22" i="69"/>
  <c r="I22" i="69"/>
  <c r="J22" i="69"/>
  <c r="K22" i="69"/>
  <c r="L22" i="69"/>
  <c r="P22" i="69"/>
  <c r="F23" i="69"/>
  <c r="I23" i="69"/>
  <c r="J23" i="69"/>
  <c r="K23" i="69"/>
  <c r="L23" i="69"/>
  <c r="P23" i="69"/>
  <c r="F24" i="69"/>
  <c r="I24" i="69"/>
  <c r="J24" i="69"/>
  <c r="K24" i="69"/>
  <c r="L24" i="69"/>
  <c r="P24" i="69"/>
  <c r="F25" i="69"/>
  <c r="I25" i="69"/>
  <c r="J25" i="69"/>
  <c r="K25" i="69"/>
  <c r="L25" i="69"/>
  <c r="P25" i="69"/>
  <c r="F26" i="69"/>
  <c r="I26" i="69"/>
  <c r="J26" i="69"/>
  <c r="K26" i="69"/>
  <c r="L26" i="69"/>
  <c r="P26" i="69"/>
  <c r="F27" i="69"/>
  <c r="I27" i="69"/>
  <c r="J27" i="69"/>
  <c r="K27" i="69"/>
  <c r="L27" i="69"/>
  <c r="P27" i="69"/>
  <c r="F28" i="69"/>
  <c r="I28" i="69"/>
  <c r="J28" i="69"/>
  <c r="K28" i="69"/>
  <c r="L28" i="69"/>
  <c r="P28" i="69"/>
  <c r="F29" i="69"/>
  <c r="I29" i="69"/>
  <c r="J29" i="69"/>
  <c r="K29" i="69"/>
  <c r="L29" i="69"/>
  <c r="P29" i="69"/>
  <c r="F30" i="69"/>
  <c r="I30" i="69"/>
  <c r="J30" i="69"/>
  <c r="K30" i="69"/>
  <c r="L30" i="69"/>
  <c r="P30" i="69"/>
  <c r="F31" i="69"/>
  <c r="I31" i="69"/>
  <c r="J31" i="69"/>
  <c r="K31" i="69"/>
  <c r="L31" i="69"/>
  <c r="P31" i="69"/>
  <c r="F32" i="69"/>
  <c r="I32" i="69"/>
  <c r="J32" i="69"/>
  <c r="K32" i="69"/>
  <c r="L32" i="69"/>
  <c r="P32" i="69"/>
  <c r="F33" i="69"/>
  <c r="I33" i="69"/>
  <c r="J33" i="69"/>
  <c r="K33" i="69"/>
  <c r="L33" i="69"/>
  <c r="P33" i="69"/>
  <c r="F34" i="69"/>
  <c r="I34" i="69"/>
  <c r="J34" i="69"/>
  <c r="K34" i="69"/>
  <c r="L34" i="69"/>
  <c r="P34" i="69"/>
  <c r="F35" i="69"/>
  <c r="I35" i="69"/>
  <c r="J35" i="69"/>
  <c r="K35" i="69"/>
  <c r="L35" i="69"/>
  <c r="P35" i="69"/>
  <c r="F36" i="69"/>
  <c r="I36" i="69"/>
  <c r="J36" i="69"/>
  <c r="K36" i="69"/>
  <c r="L36" i="69"/>
  <c r="P36" i="69"/>
  <c r="F37" i="69"/>
  <c r="I37" i="69"/>
  <c r="J37" i="69"/>
  <c r="K37" i="69"/>
  <c r="L37" i="69"/>
  <c r="P37" i="69"/>
  <c r="F38" i="69"/>
  <c r="I38" i="69"/>
  <c r="J38" i="69"/>
  <c r="K38" i="69"/>
  <c r="L38" i="69"/>
  <c r="P38" i="69"/>
  <c r="F39" i="69"/>
  <c r="I39" i="69"/>
  <c r="J39" i="69"/>
  <c r="K39" i="69"/>
  <c r="L39" i="69"/>
  <c r="P39" i="69"/>
  <c r="F40" i="69"/>
  <c r="I40" i="69"/>
  <c r="J40" i="69"/>
  <c r="K40" i="69"/>
  <c r="L40" i="69"/>
  <c r="P40" i="69"/>
  <c r="F41" i="69"/>
  <c r="I41" i="69"/>
  <c r="J41" i="69"/>
  <c r="K41" i="69"/>
  <c r="L41" i="69"/>
  <c r="P41" i="69"/>
  <c r="F42" i="69"/>
  <c r="I42" i="69"/>
  <c r="J42" i="69"/>
  <c r="K42" i="69"/>
  <c r="L42" i="69"/>
  <c r="P42" i="69"/>
  <c r="F43" i="69"/>
  <c r="I43" i="69"/>
  <c r="J43" i="69"/>
  <c r="K43" i="69"/>
  <c r="L43" i="69"/>
  <c r="P43" i="69"/>
  <c r="F44" i="69"/>
  <c r="I44" i="69"/>
  <c r="J44" i="69"/>
  <c r="K44" i="69"/>
  <c r="L44" i="69"/>
  <c r="P44" i="69"/>
  <c r="F45" i="69"/>
  <c r="I45" i="69"/>
  <c r="J45" i="69"/>
  <c r="K45" i="69"/>
  <c r="L45" i="69"/>
  <c r="P45" i="69"/>
  <c r="F46" i="69"/>
  <c r="I46" i="69"/>
  <c r="J46" i="69"/>
  <c r="K46" i="69"/>
  <c r="L46" i="69"/>
  <c r="P46" i="69"/>
  <c r="F47" i="69"/>
  <c r="I47" i="69"/>
  <c r="J47" i="69"/>
  <c r="K47" i="69"/>
  <c r="L47" i="69"/>
  <c r="P47" i="69"/>
  <c r="F48" i="69"/>
  <c r="I48" i="69"/>
  <c r="J48" i="69"/>
  <c r="K48" i="69"/>
  <c r="L48" i="69"/>
  <c r="P48" i="69"/>
  <c r="F49" i="69"/>
  <c r="I49" i="69"/>
  <c r="J49" i="69"/>
  <c r="K49" i="69"/>
  <c r="L49" i="69"/>
  <c r="P49" i="69"/>
  <c r="F50" i="69"/>
  <c r="I50" i="69"/>
  <c r="J50" i="69"/>
  <c r="K50" i="69"/>
  <c r="L50" i="69"/>
  <c r="P50" i="69"/>
  <c r="F51" i="69"/>
  <c r="I51" i="69"/>
  <c r="J51" i="69"/>
  <c r="K51" i="69"/>
  <c r="L51" i="69"/>
  <c r="P51" i="69"/>
  <c r="F52" i="69"/>
  <c r="I52" i="69"/>
  <c r="J52" i="69"/>
  <c r="K52" i="69"/>
  <c r="L52" i="69"/>
  <c r="P52" i="69"/>
  <c r="F53" i="69"/>
  <c r="I53" i="69"/>
  <c r="J53" i="69"/>
  <c r="K53" i="69"/>
  <c r="L53" i="69"/>
  <c r="P53" i="69"/>
  <c r="F54" i="69"/>
  <c r="I54" i="69"/>
  <c r="J54" i="69"/>
  <c r="K54" i="69"/>
  <c r="L54" i="69"/>
  <c r="P54" i="69"/>
  <c r="P56" i="69"/>
  <c r="O4" i="69"/>
  <c r="O5" i="69"/>
  <c r="O6" i="69"/>
  <c r="O7" i="69"/>
  <c r="O8" i="69"/>
  <c r="O9" i="69"/>
  <c r="O10" i="69"/>
  <c r="O11" i="69"/>
  <c r="O12" i="69"/>
  <c r="O13" i="69"/>
  <c r="O14" i="69"/>
  <c r="O15" i="69"/>
  <c r="O16" i="69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45" i="69"/>
  <c r="O46" i="69"/>
  <c r="O47" i="69"/>
  <c r="O48" i="69"/>
  <c r="O49" i="69"/>
  <c r="O50" i="69"/>
  <c r="O51" i="69"/>
  <c r="O52" i="69"/>
  <c r="O53" i="69"/>
  <c r="O54" i="69"/>
  <c r="O56" i="69"/>
  <c r="P61" i="69"/>
  <c r="N4" i="69"/>
  <c r="N5" i="69"/>
  <c r="N6" i="69"/>
  <c r="N7" i="69"/>
  <c r="N8" i="69"/>
  <c r="N9" i="69"/>
  <c r="N10" i="69"/>
  <c r="N11" i="69"/>
  <c r="N12" i="69"/>
  <c r="N13" i="69"/>
  <c r="N14" i="69"/>
  <c r="N15" i="69"/>
  <c r="N16" i="69"/>
  <c r="N17" i="69"/>
  <c r="N18" i="69"/>
  <c r="N19" i="69"/>
  <c r="N20" i="69"/>
  <c r="N21" i="69"/>
  <c r="N22" i="69"/>
  <c r="N23" i="69"/>
  <c r="N24" i="69"/>
  <c r="N25" i="69"/>
  <c r="N26" i="69"/>
  <c r="N27" i="69"/>
  <c r="N28" i="69"/>
  <c r="N29" i="69"/>
  <c r="N30" i="69"/>
  <c r="N31" i="69"/>
  <c r="N32" i="69"/>
  <c r="N33" i="69"/>
  <c r="N34" i="69"/>
  <c r="N35" i="69"/>
  <c r="N36" i="69"/>
  <c r="N37" i="69"/>
  <c r="N38" i="69"/>
  <c r="N39" i="69"/>
  <c r="N40" i="69"/>
  <c r="N41" i="69"/>
  <c r="N42" i="69"/>
  <c r="N43" i="69"/>
  <c r="N44" i="69"/>
  <c r="N45" i="69"/>
  <c r="N46" i="69"/>
  <c r="N47" i="69"/>
  <c r="N48" i="69"/>
  <c r="N49" i="69"/>
  <c r="N50" i="69"/>
  <c r="N51" i="69"/>
  <c r="N52" i="69"/>
  <c r="N53" i="69"/>
  <c r="N54" i="69"/>
  <c r="N55" i="69"/>
  <c r="N56" i="69"/>
  <c r="P60" i="69"/>
  <c r="P62" i="69"/>
  <c r="H56" i="69"/>
  <c r="Q62" i="69"/>
  <c r="R4" i="18"/>
  <c r="D4" i="18"/>
  <c r="S4" i="18"/>
  <c r="M10" i="57"/>
  <c r="T4" i="18"/>
  <c r="U4" i="18"/>
  <c r="M11" i="57"/>
  <c r="M12" i="57"/>
  <c r="D4" i="14"/>
  <c r="K4" i="32"/>
  <c r="L4" i="32"/>
  <c r="P4" i="32"/>
  <c r="K5" i="32"/>
  <c r="J5" i="32"/>
  <c r="L5" i="32"/>
  <c r="P5" i="32"/>
  <c r="K6" i="32"/>
  <c r="J6" i="32"/>
  <c r="L6" i="32"/>
  <c r="P6" i="32"/>
  <c r="K7" i="32"/>
  <c r="J7" i="32"/>
  <c r="L7" i="32"/>
  <c r="P7" i="32"/>
  <c r="K8" i="32"/>
  <c r="J8" i="32"/>
  <c r="L8" i="32"/>
  <c r="P8" i="32"/>
  <c r="K9" i="32"/>
  <c r="J9" i="32"/>
  <c r="L9" i="32"/>
  <c r="P9" i="32"/>
  <c r="K10" i="32"/>
  <c r="J10" i="32"/>
  <c r="L10" i="32"/>
  <c r="P10" i="32"/>
  <c r="K11" i="32"/>
  <c r="J11" i="32"/>
  <c r="L11" i="32"/>
  <c r="P11" i="32"/>
  <c r="K12" i="32"/>
  <c r="J12" i="32"/>
  <c r="L12" i="32"/>
  <c r="P12" i="32"/>
  <c r="K13" i="32"/>
  <c r="J13" i="32"/>
  <c r="L13" i="32"/>
  <c r="P13" i="32"/>
  <c r="K14" i="32"/>
  <c r="J14" i="32"/>
  <c r="L14" i="32"/>
  <c r="P14" i="32"/>
  <c r="K15" i="32"/>
  <c r="J15" i="32"/>
  <c r="L15" i="32"/>
  <c r="P15" i="32"/>
  <c r="K16" i="32"/>
  <c r="J16" i="32"/>
  <c r="L16" i="32"/>
  <c r="P16" i="32"/>
  <c r="K17" i="32"/>
  <c r="J17" i="32"/>
  <c r="L17" i="32"/>
  <c r="P17" i="32"/>
  <c r="K18" i="32"/>
  <c r="J18" i="32"/>
  <c r="L18" i="32"/>
  <c r="P18" i="32"/>
  <c r="K19" i="32"/>
  <c r="J19" i="32"/>
  <c r="L19" i="32"/>
  <c r="P19" i="32"/>
  <c r="K20" i="32"/>
  <c r="J20" i="32"/>
  <c r="L20" i="32"/>
  <c r="P20" i="32"/>
  <c r="K21" i="32"/>
  <c r="J21" i="32"/>
  <c r="L21" i="32"/>
  <c r="P21" i="32"/>
  <c r="K22" i="32"/>
  <c r="J22" i="32"/>
  <c r="L22" i="32"/>
  <c r="P22" i="32"/>
  <c r="K23" i="32"/>
  <c r="J23" i="32"/>
  <c r="L23" i="32"/>
  <c r="P23" i="32"/>
  <c r="K24" i="32"/>
  <c r="J24" i="32"/>
  <c r="L24" i="32"/>
  <c r="P24" i="32"/>
  <c r="K25" i="32"/>
  <c r="J25" i="32"/>
  <c r="L25" i="32"/>
  <c r="P25" i="32"/>
  <c r="K26" i="32"/>
  <c r="J26" i="32"/>
  <c r="L26" i="32"/>
  <c r="P26" i="32"/>
  <c r="K27" i="32"/>
  <c r="J27" i="32"/>
  <c r="L27" i="32"/>
  <c r="P27" i="32"/>
  <c r="K28" i="32"/>
  <c r="J28" i="32"/>
  <c r="L28" i="32"/>
  <c r="P28" i="32"/>
  <c r="K29" i="32"/>
  <c r="J29" i="32"/>
  <c r="L29" i="32"/>
  <c r="P29" i="32"/>
  <c r="K30" i="32"/>
  <c r="J30" i="32"/>
  <c r="L30" i="32"/>
  <c r="P30" i="32"/>
  <c r="K31" i="32"/>
  <c r="J31" i="32"/>
  <c r="L31" i="32"/>
  <c r="P31" i="32"/>
  <c r="K32" i="32"/>
  <c r="J32" i="32"/>
  <c r="L32" i="32"/>
  <c r="P32" i="32"/>
  <c r="K33" i="32"/>
  <c r="J33" i="32"/>
  <c r="L33" i="32"/>
  <c r="P33" i="32"/>
  <c r="K34" i="32"/>
  <c r="J34" i="32"/>
  <c r="L34" i="32"/>
  <c r="P34" i="32"/>
  <c r="K35" i="32"/>
  <c r="J35" i="32"/>
  <c r="L35" i="32"/>
  <c r="P35" i="32"/>
  <c r="K36" i="32"/>
  <c r="J36" i="32"/>
  <c r="L36" i="32"/>
  <c r="P36" i="32"/>
  <c r="K37" i="32"/>
  <c r="J37" i="32"/>
  <c r="L37" i="32"/>
  <c r="P37" i="32"/>
  <c r="K38" i="32"/>
  <c r="J38" i="32"/>
  <c r="L38" i="32"/>
  <c r="P38" i="32"/>
  <c r="K39" i="32"/>
  <c r="J39" i="32"/>
  <c r="L39" i="32"/>
  <c r="P39" i="32"/>
  <c r="K40" i="32"/>
  <c r="J40" i="32"/>
  <c r="L40" i="32"/>
  <c r="P40" i="32"/>
  <c r="K41" i="32"/>
  <c r="J41" i="32"/>
  <c r="L41" i="32"/>
  <c r="P41" i="32"/>
  <c r="K42" i="32"/>
  <c r="J42" i="32"/>
  <c r="L42" i="32"/>
  <c r="P42" i="32"/>
  <c r="K43" i="32"/>
  <c r="J43" i="32"/>
  <c r="L43" i="32"/>
  <c r="P43" i="32"/>
  <c r="K44" i="32"/>
  <c r="J44" i="32"/>
  <c r="L44" i="32"/>
  <c r="P44" i="32"/>
  <c r="K45" i="32"/>
  <c r="J45" i="32"/>
  <c r="L45" i="32"/>
  <c r="P45" i="32"/>
  <c r="K46" i="32"/>
  <c r="J46" i="32"/>
  <c r="L46" i="32"/>
  <c r="P46" i="32"/>
  <c r="K47" i="32"/>
  <c r="J47" i="32"/>
  <c r="L47" i="32"/>
  <c r="P47" i="32"/>
  <c r="K48" i="32"/>
  <c r="J48" i="32"/>
  <c r="L48" i="32"/>
  <c r="P48" i="32"/>
  <c r="K49" i="32"/>
  <c r="J49" i="32"/>
  <c r="L49" i="32"/>
  <c r="P49" i="32"/>
  <c r="K50" i="32"/>
  <c r="J50" i="32"/>
  <c r="L50" i="32"/>
  <c r="P50" i="32"/>
  <c r="K51" i="32"/>
  <c r="J51" i="32"/>
  <c r="L51" i="32"/>
  <c r="P51" i="32"/>
  <c r="K52" i="32"/>
  <c r="J52" i="32"/>
  <c r="L52" i="32"/>
  <c r="P52" i="32"/>
  <c r="K53" i="32"/>
  <c r="J53" i="32"/>
  <c r="L53" i="32"/>
  <c r="P53" i="32"/>
  <c r="K54" i="32"/>
  <c r="J54" i="32"/>
  <c r="L54" i="32"/>
  <c r="P54" i="32"/>
  <c r="P56" i="32"/>
  <c r="F4" i="32"/>
  <c r="M4" i="32"/>
  <c r="Q4" i="32"/>
  <c r="C5" i="32"/>
  <c r="F5" i="32"/>
  <c r="M5" i="32"/>
  <c r="Q5" i="32"/>
  <c r="C6" i="32"/>
  <c r="F6" i="32"/>
  <c r="M6" i="32"/>
  <c r="Q6" i="32"/>
  <c r="C7" i="32"/>
  <c r="F7" i="32"/>
  <c r="M7" i="32"/>
  <c r="Q7" i="32"/>
  <c r="C8" i="32"/>
  <c r="F8" i="32"/>
  <c r="M8" i="32"/>
  <c r="Q8" i="32"/>
  <c r="C9" i="32"/>
  <c r="F9" i="32"/>
  <c r="M9" i="32"/>
  <c r="Q9" i="32"/>
  <c r="C10" i="32"/>
  <c r="F10" i="32"/>
  <c r="M10" i="32"/>
  <c r="Q10" i="32"/>
  <c r="C11" i="32"/>
  <c r="F11" i="32"/>
  <c r="M11" i="32"/>
  <c r="Q11" i="32"/>
  <c r="C12" i="32"/>
  <c r="F12" i="32"/>
  <c r="M12" i="32"/>
  <c r="Q12" i="32"/>
  <c r="C13" i="32"/>
  <c r="F13" i="32"/>
  <c r="M13" i="32"/>
  <c r="Q13" i="32"/>
  <c r="C14" i="32"/>
  <c r="F14" i="32"/>
  <c r="M14" i="32"/>
  <c r="Q14" i="32"/>
  <c r="C15" i="32"/>
  <c r="F15" i="32"/>
  <c r="M15" i="32"/>
  <c r="Q15" i="32"/>
  <c r="C16" i="32"/>
  <c r="F16" i="32"/>
  <c r="M16" i="32"/>
  <c r="Q16" i="32"/>
  <c r="C17" i="32"/>
  <c r="F17" i="32"/>
  <c r="M17" i="32"/>
  <c r="Q17" i="32"/>
  <c r="C18" i="32"/>
  <c r="F18" i="32"/>
  <c r="M18" i="32"/>
  <c r="Q18" i="32"/>
  <c r="C19" i="32"/>
  <c r="F19" i="32"/>
  <c r="M19" i="32"/>
  <c r="Q19" i="32"/>
  <c r="C20" i="32"/>
  <c r="F20" i="32"/>
  <c r="M20" i="32"/>
  <c r="Q20" i="32"/>
  <c r="C21" i="32"/>
  <c r="F21" i="32"/>
  <c r="M21" i="32"/>
  <c r="Q21" i="32"/>
  <c r="C22" i="32"/>
  <c r="F22" i="32"/>
  <c r="M22" i="32"/>
  <c r="Q22" i="32"/>
  <c r="C23" i="32"/>
  <c r="F23" i="32"/>
  <c r="M23" i="32"/>
  <c r="Q23" i="32"/>
  <c r="C24" i="32"/>
  <c r="F24" i="32"/>
  <c r="M24" i="32"/>
  <c r="Q24" i="32"/>
  <c r="C25" i="32"/>
  <c r="F25" i="32"/>
  <c r="M25" i="32"/>
  <c r="Q25" i="32"/>
  <c r="C26" i="32"/>
  <c r="F26" i="32"/>
  <c r="M26" i="32"/>
  <c r="Q26" i="32"/>
  <c r="C27" i="32"/>
  <c r="F27" i="32"/>
  <c r="M27" i="32"/>
  <c r="Q27" i="32"/>
  <c r="C28" i="32"/>
  <c r="F28" i="32"/>
  <c r="M28" i="32"/>
  <c r="Q28" i="32"/>
  <c r="C29" i="32"/>
  <c r="F29" i="32"/>
  <c r="M29" i="32"/>
  <c r="Q29" i="32"/>
  <c r="C30" i="32"/>
  <c r="F30" i="32"/>
  <c r="M30" i="32"/>
  <c r="Q30" i="32"/>
  <c r="C31" i="32"/>
  <c r="F31" i="32"/>
  <c r="M31" i="32"/>
  <c r="Q31" i="32"/>
  <c r="C32" i="32"/>
  <c r="F32" i="32"/>
  <c r="M32" i="32"/>
  <c r="Q32" i="32"/>
  <c r="C33" i="32"/>
  <c r="F33" i="32"/>
  <c r="M33" i="32"/>
  <c r="Q33" i="32"/>
  <c r="C34" i="32"/>
  <c r="F34" i="32"/>
  <c r="M34" i="32"/>
  <c r="Q34" i="32"/>
  <c r="C35" i="32"/>
  <c r="F35" i="32"/>
  <c r="M35" i="32"/>
  <c r="Q35" i="32"/>
  <c r="C36" i="32"/>
  <c r="F36" i="32"/>
  <c r="M36" i="32"/>
  <c r="Q36" i="32"/>
  <c r="C37" i="32"/>
  <c r="F37" i="32"/>
  <c r="M37" i="32"/>
  <c r="Q37" i="32"/>
  <c r="C38" i="32"/>
  <c r="F38" i="32"/>
  <c r="M38" i="32"/>
  <c r="Q38" i="32"/>
  <c r="C39" i="32"/>
  <c r="F39" i="32"/>
  <c r="M39" i="32"/>
  <c r="Q39" i="32"/>
  <c r="C40" i="32"/>
  <c r="F40" i="32"/>
  <c r="M40" i="32"/>
  <c r="Q40" i="32"/>
  <c r="C41" i="32"/>
  <c r="F41" i="32"/>
  <c r="M41" i="32"/>
  <c r="Q41" i="32"/>
  <c r="C42" i="32"/>
  <c r="F42" i="32"/>
  <c r="M42" i="32"/>
  <c r="Q42" i="32"/>
  <c r="C43" i="32"/>
  <c r="F43" i="32"/>
  <c r="M43" i="32"/>
  <c r="Q43" i="32"/>
  <c r="C44" i="32"/>
  <c r="F44" i="32"/>
  <c r="M44" i="32"/>
  <c r="Q44" i="32"/>
  <c r="C45" i="32"/>
  <c r="F45" i="32"/>
  <c r="M45" i="32"/>
  <c r="Q45" i="32"/>
  <c r="C46" i="32"/>
  <c r="F46" i="32"/>
  <c r="M46" i="32"/>
  <c r="Q46" i="32"/>
  <c r="C47" i="32"/>
  <c r="F47" i="32"/>
  <c r="M47" i="32"/>
  <c r="Q47" i="32"/>
  <c r="C48" i="32"/>
  <c r="F48" i="32"/>
  <c r="M48" i="32"/>
  <c r="Q48" i="32"/>
  <c r="C49" i="32"/>
  <c r="F49" i="32"/>
  <c r="M49" i="32"/>
  <c r="Q49" i="32"/>
  <c r="C50" i="32"/>
  <c r="F50" i="32"/>
  <c r="M50" i="32"/>
  <c r="Q50" i="32"/>
  <c r="C51" i="32"/>
  <c r="F51" i="32"/>
  <c r="M51" i="32"/>
  <c r="Q51" i="32"/>
  <c r="C52" i="32"/>
  <c r="F52" i="32"/>
  <c r="M52" i="32"/>
  <c r="Q52" i="32"/>
  <c r="C53" i="32"/>
  <c r="F53" i="32"/>
  <c r="M53" i="32"/>
  <c r="Q53" i="32"/>
  <c r="C54" i="32"/>
  <c r="F54" i="32"/>
  <c r="M54" i="32"/>
  <c r="Q54" i="32"/>
  <c r="Q56" i="32"/>
  <c r="R60" i="32"/>
  <c r="N4" i="32"/>
  <c r="R4" i="32"/>
  <c r="N5" i="32"/>
  <c r="R5" i="32"/>
  <c r="N6" i="32"/>
  <c r="R6" i="32"/>
  <c r="N7" i="32"/>
  <c r="R7" i="32"/>
  <c r="N8" i="32"/>
  <c r="R8" i="32"/>
  <c r="N9" i="32"/>
  <c r="R9" i="32"/>
  <c r="N10" i="32"/>
  <c r="R10" i="32"/>
  <c r="N11" i="32"/>
  <c r="R11" i="32"/>
  <c r="N12" i="32"/>
  <c r="R12" i="32"/>
  <c r="N13" i="32"/>
  <c r="R13" i="32"/>
  <c r="N14" i="32"/>
  <c r="R14" i="32"/>
  <c r="N15" i="32"/>
  <c r="R15" i="32"/>
  <c r="N16" i="32"/>
  <c r="R16" i="32"/>
  <c r="N17" i="32"/>
  <c r="R17" i="32"/>
  <c r="N18" i="32"/>
  <c r="R18" i="32"/>
  <c r="N19" i="32"/>
  <c r="R19" i="32"/>
  <c r="N20" i="32"/>
  <c r="R20" i="32"/>
  <c r="N21" i="32"/>
  <c r="R21" i="32"/>
  <c r="N22" i="32"/>
  <c r="R22" i="32"/>
  <c r="N23" i="32"/>
  <c r="R23" i="32"/>
  <c r="N24" i="32"/>
  <c r="R24" i="32"/>
  <c r="N25" i="32"/>
  <c r="R25" i="32"/>
  <c r="N26" i="32"/>
  <c r="R26" i="32"/>
  <c r="N27" i="32"/>
  <c r="R27" i="32"/>
  <c r="N28" i="32"/>
  <c r="R28" i="32"/>
  <c r="N29" i="32"/>
  <c r="R29" i="32"/>
  <c r="N30" i="32"/>
  <c r="R30" i="32"/>
  <c r="N31" i="32"/>
  <c r="R31" i="32"/>
  <c r="N32" i="32"/>
  <c r="R32" i="32"/>
  <c r="N33" i="32"/>
  <c r="R33" i="32"/>
  <c r="N34" i="32"/>
  <c r="R34" i="32"/>
  <c r="N35" i="32"/>
  <c r="R35" i="32"/>
  <c r="N36" i="32"/>
  <c r="R36" i="32"/>
  <c r="N37" i="32"/>
  <c r="R37" i="32"/>
  <c r="N38" i="32"/>
  <c r="R38" i="32"/>
  <c r="N39" i="32"/>
  <c r="R39" i="32"/>
  <c r="N40" i="32"/>
  <c r="R40" i="32"/>
  <c r="N41" i="32"/>
  <c r="R41" i="32"/>
  <c r="N42" i="32"/>
  <c r="R42" i="32"/>
  <c r="N43" i="32"/>
  <c r="R43" i="32"/>
  <c r="N44" i="32"/>
  <c r="R44" i="32"/>
  <c r="N45" i="32"/>
  <c r="R45" i="32"/>
  <c r="N46" i="32"/>
  <c r="R46" i="32"/>
  <c r="N47" i="32"/>
  <c r="R47" i="32"/>
  <c r="N48" i="32"/>
  <c r="R48" i="32"/>
  <c r="N49" i="32"/>
  <c r="R49" i="32"/>
  <c r="N50" i="32"/>
  <c r="R50" i="32"/>
  <c r="N51" i="32"/>
  <c r="R51" i="32"/>
  <c r="N52" i="32"/>
  <c r="R52" i="32"/>
  <c r="N53" i="32"/>
  <c r="R53" i="32"/>
  <c r="N54" i="32"/>
  <c r="R54" i="32"/>
  <c r="R56" i="32"/>
  <c r="R61" i="32"/>
  <c r="R62" i="32"/>
  <c r="I56" i="32"/>
  <c r="S62" i="32"/>
  <c r="S4" i="14"/>
  <c r="T4" i="14"/>
  <c r="H10" i="57"/>
  <c r="C2" i="44"/>
  <c r="U4" i="14"/>
  <c r="V4" i="14"/>
  <c r="H11" i="57"/>
  <c r="H12" i="57"/>
  <c r="N56" i="33"/>
  <c r="O4" i="33"/>
  <c r="O5" i="33"/>
  <c r="O6" i="33"/>
  <c r="O7" i="33"/>
  <c r="O8" i="33"/>
  <c r="O9" i="33"/>
  <c r="O10" i="33"/>
  <c r="O11" i="33"/>
  <c r="O12" i="33"/>
  <c r="O13" i="33"/>
  <c r="O14" i="33"/>
  <c r="O15" i="33"/>
  <c r="O16" i="33"/>
  <c r="O17" i="33"/>
  <c r="O18" i="33"/>
  <c r="O19" i="33"/>
  <c r="O20" i="33"/>
  <c r="O21" i="33"/>
  <c r="O22" i="33"/>
  <c r="O23" i="33"/>
  <c r="O24" i="33"/>
  <c r="O25" i="33"/>
  <c r="O26" i="33"/>
  <c r="O27" i="33"/>
  <c r="O28" i="33"/>
  <c r="O29" i="33"/>
  <c r="O30" i="33"/>
  <c r="O31" i="33"/>
  <c r="O32" i="33"/>
  <c r="O33" i="33"/>
  <c r="O34" i="33"/>
  <c r="O35" i="33"/>
  <c r="O36" i="33"/>
  <c r="O37" i="33"/>
  <c r="O38" i="33"/>
  <c r="O39" i="33"/>
  <c r="O40" i="33"/>
  <c r="O41" i="33"/>
  <c r="O42" i="33"/>
  <c r="O43" i="33"/>
  <c r="O44" i="33"/>
  <c r="O45" i="33"/>
  <c r="O46" i="33"/>
  <c r="O47" i="33"/>
  <c r="O48" i="33"/>
  <c r="O49" i="33"/>
  <c r="O50" i="33"/>
  <c r="O51" i="33"/>
  <c r="O52" i="33"/>
  <c r="O53" i="33"/>
  <c r="O54" i="33"/>
  <c r="O56" i="33"/>
  <c r="P60" i="33"/>
  <c r="P56" i="33"/>
  <c r="P61" i="33"/>
  <c r="P62" i="33"/>
  <c r="I56" i="33"/>
  <c r="Q62" i="33"/>
  <c r="D4" i="15"/>
  <c r="T4" i="15"/>
  <c r="I10" i="57"/>
  <c r="D4" i="44"/>
  <c r="D2" i="44"/>
  <c r="U4" i="15"/>
  <c r="V4" i="15"/>
  <c r="I11" i="57"/>
  <c r="I12" i="57"/>
  <c r="J4" i="52"/>
  <c r="N4" i="52"/>
  <c r="J5" i="52"/>
  <c r="N5" i="52"/>
  <c r="J6" i="52"/>
  <c r="N6" i="52"/>
  <c r="J7" i="52"/>
  <c r="N7" i="52"/>
  <c r="J8" i="52"/>
  <c r="N8" i="52"/>
  <c r="J9" i="52"/>
  <c r="N9" i="52"/>
  <c r="J10" i="52"/>
  <c r="N10" i="52"/>
  <c r="J11" i="52"/>
  <c r="N11" i="52"/>
  <c r="J12" i="52"/>
  <c r="N12" i="52"/>
  <c r="J13" i="52"/>
  <c r="N13" i="52"/>
  <c r="J14" i="52"/>
  <c r="N14" i="52"/>
  <c r="J15" i="52"/>
  <c r="N15" i="52"/>
  <c r="J16" i="52"/>
  <c r="N16" i="52"/>
  <c r="J17" i="52"/>
  <c r="N17" i="52"/>
  <c r="J18" i="52"/>
  <c r="N18" i="52"/>
  <c r="J19" i="52"/>
  <c r="N19" i="52"/>
  <c r="J20" i="52"/>
  <c r="N20" i="52"/>
  <c r="J21" i="52"/>
  <c r="N21" i="52"/>
  <c r="J22" i="52"/>
  <c r="N22" i="52"/>
  <c r="J23" i="52"/>
  <c r="N23" i="52"/>
  <c r="J24" i="52"/>
  <c r="N24" i="52"/>
  <c r="J25" i="52"/>
  <c r="N25" i="52"/>
  <c r="J26" i="52"/>
  <c r="N26" i="52"/>
  <c r="J27" i="52"/>
  <c r="N27" i="52"/>
  <c r="J28" i="52"/>
  <c r="N28" i="52"/>
  <c r="J29" i="52"/>
  <c r="N29" i="52"/>
  <c r="J30" i="52"/>
  <c r="N30" i="52"/>
  <c r="J31" i="52"/>
  <c r="N31" i="52"/>
  <c r="J32" i="52"/>
  <c r="N32" i="52"/>
  <c r="J33" i="52"/>
  <c r="N33" i="52"/>
  <c r="J34" i="52"/>
  <c r="N34" i="52"/>
  <c r="J35" i="52"/>
  <c r="N35" i="52"/>
  <c r="J36" i="52"/>
  <c r="N36" i="52"/>
  <c r="J37" i="52"/>
  <c r="N37" i="52"/>
  <c r="J38" i="52"/>
  <c r="N38" i="52"/>
  <c r="J39" i="52"/>
  <c r="N39" i="52"/>
  <c r="J40" i="52"/>
  <c r="N40" i="52"/>
  <c r="J41" i="52"/>
  <c r="N41" i="52"/>
  <c r="J42" i="52"/>
  <c r="N42" i="52"/>
  <c r="J43" i="52"/>
  <c r="N43" i="52"/>
  <c r="J44" i="52"/>
  <c r="N44" i="52"/>
  <c r="J45" i="52"/>
  <c r="N45" i="52"/>
  <c r="J46" i="52"/>
  <c r="N46" i="52"/>
  <c r="J47" i="52"/>
  <c r="N47" i="52"/>
  <c r="J48" i="52"/>
  <c r="N48" i="52"/>
  <c r="J49" i="52"/>
  <c r="N49" i="52"/>
  <c r="J50" i="52"/>
  <c r="N50" i="52"/>
  <c r="J51" i="52"/>
  <c r="N51" i="52"/>
  <c r="J52" i="52"/>
  <c r="N52" i="52"/>
  <c r="J53" i="52"/>
  <c r="N53" i="52"/>
  <c r="J54" i="52"/>
  <c r="N54" i="52"/>
  <c r="N56" i="52"/>
  <c r="O4" i="52"/>
  <c r="O5" i="52"/>
  <c r="O6" i="52"/>
  <c r="O7" i="52"/>
  <c r="O8" i="52"/>
  <c r="O9" i="52"/>
  <c r="O10" i="52"/>
  <c r="O11" i="52"/>
  <c r="O12" i="52"/>
  <c r="O13" i="52"/>
  <c r="O14" i="52"/>
  <c r="O15" i="52"/>
  <c r="O16" i="52"/>
  <c r="O17" i="52"/>
  <c r="O18" i="52"/>
  <c r="O19" i="52"/>
  <c r="O20" i="52"/>
  <c r="O21" i="52"/>
  <c r="O22" i="52"/>
  <c r="O23" i="52"/>
  <c r="O24" i="52"/>
  <c r="O25" i="52"/>
  <c r="O26" i="52"/>
  <c r="O27" i="52"/>
  <c r="O28" i="52"/>
  <c r="O29" i="52"/>
  <c r="O30" i="52"/>
  <c r="O31" i="52"/>
  <c r="O32" i="52"/>
  <c r="O33" i="52"/>
  <c r="O34" i="52"/>
  <c r="O35" i="52"/>
  <c r="O36" i="52"/>
  <c r="O37" i="52"/>
  <c r="O38" i="52"/>
  <c r="O39" i="52"/>
  <c r="O40" i="52"/>
  <c r="O41" i="52"/>
  <c r="O42" i="52"/>
  <c r="O43" i="52"/>
  <c r="O44" i="52"/>
  <c r="O45" i="52"/>
  <c r="O46" i="52"/>
  <c r="O47" i="52"/>
  <c r="O48" i="52"/>
  <c r="O49" i="52"/>
  <c r="O50" i="52"/>
  <c r="O51" i="52"/>
  <c r="O52" i="52"/>
  <c r="O53" i="52"/>
  <c r="O54" i="52"/>
  <c r="O56" i="52"/>
  <c r="P60" i="52"/>
  <c r="L4" i="52"/>
  <c r="P4" i="52"/>
  <c r="L5" i="52"/>
  <c r="P5" i="52"/>
  <c r="L6" i="52"/>
  <c r="P6" i="52"/>
  <c r="L7" i="52"/>
  <c r="P7" i="52"/>
  <c r="L8" i="52"/>
  <c r="P8" i="52"/>
  <c r="L9" i="52"/>
  <c r="P9" i="52"/>
  <c r="L10" i="52"/>
  <c r="P10" i="52"/>
  <c r="L11" i="52"/>
  <c r="P11" i="52"/>
  <c r="L12" i="52"/>
  <c r="P12" i="52"/>
  <c r="L13" i="52"/>
  <c r="P13" i="52"/>
  <c r="L14" i="52"/>
  <c r="P14" i="52"/>
  <c r="L15" i="52"/>
  <c r="P15" i="52"/>
  <c r="L16" i="52"/>
  <c r="P16" i="52"/>
  <c r="L17" i="52"/>
  <c r="P17" i="52"/>
  <c r="L18" i="52"/>
  <c r="P18" i="52"/>
  <c r="L19" i="52"/>
  <c r="P19" i="52"/>
  <c r="L20" i="52"/>
  <c r="P20" i="52"/>
  <c r="L21" i="52"/>
  <c r="P21" i="52"/>
  <c r="L22" i="52"/>
  <c r="P22" i="52"/>
  <c r="L23" i="52"/>
  <c r="P23" i="52"/>
  <c r="L24" i="52"/>
  <c r="P24" i="52"/>
  <c r="L25" i="52"/>
  <c r="P25" i="52"/>
  <c r="L26" i="52"/>
  <c r="P26" i="52"/>
  <c r="L27" i="52"/>
  <c r="P27" i="52"/>
  <c r="L28" i="52"/>
  <c r="P28" i="52"/>
  <c r="L29" i="52"/>
  <c r="P29" i="52"/>
  <c r="L30" i="52"/>
  <c r="P30" i="52"/>
  <c r="L31" i="52"/>
  <c r="P31" i="52"/>
  <c r="L32" i="52"/>
  <c r="P32" i="52"/>
  <c r="L33" i="52"/>
  <c r="P33" i="52"/>
  <c r="L34" i="52"/>
  <c r="P34" i="52"/>
  <c r="L35" i="52"/>
  <c r="P35" i="52"/>
  <c r="L36" i="52"/>
  <c r="P36" i="52"/>
  <c r="L37" i="52"/>
  <c r="P37" i="52"/>
  <c r="L38" i="52"/>
  <c r="P38" i="52"/>
  <c r="L39" i="52"/>
  <c r="P39" i="52"/>
  <c r="L40" i="52"/>
  <c r="P40" i="52"/>
  <c r="L41" i="52"/>
  <c r="P41" i="52"/>
  <c r="L42" i="52"/>
  <c r="P42" i="52"/>
  <c r="L43" i="52"/>
  <c r="P43" i="52"/>
  <c r="L44" i="52"/>
  <c r="P44" i="52"/>
  <c r="L45" i="52"/>
  <c r="P45" i="52"/>
  <c r="L46" i="52"/>
  <c r="P46" i="52"/>
  <c r="L47" i="52"/>
  <c r="P47" i="52"/>
  <c r="L48" i="52"/>
  <c r="P48" i="52"/>
  <c r="L49" i="52"/>
  <c r="P49" i="52"/>
  <c r="L50" i="52"/>
  <c r="P50" i="52"/>
  <c r="L51" i="52"/>
  <c r="P51" i="52"/>
  <c r="L52" i="52"/>
  <c r="P52" i="52"/>
  <c r="L53" i="52"/>
  <c r="P53" i="52"/>
  <c r="L54" i="52"/>
  <c r="P54" i="52"/>
  <c r="P56" i="52"/>
  <c r="P61" i="52"/>
  <c r="P62" i="52"/>
  <c r="I56" i="52"/>
  <c r="Q62" i="52"/>
  <c r="S4" i="45"/>
  <c r="D4" i="45"/>
  <c r="T4" i="45"/>
  <c r="J10" i="57"/>
  <c r="E2" i="44"/>
  <c r="U4" i="45"/>
  <c r="V4" i="45"/>
  <c r="J11" i="57"/>
  <c r="J12" i="57"/>
  <c r="N4" i="66"/>
  <c r="J5" i="66"/>
  <c r="N5" i="66"/>
  <c r="J6" i="66"/>
  <c r="N6" i="66"/>
  <c r="J7" i="66"/>
  <c r="N7" i="66"/>
  <c r="J8" i="66"/>
  <c r="N8" i="66"/>
  <c r="J9" i="66"/>
  <c r="N9" i="66"/>
  <c r="J10" i="66"/>
  <c r="N10" i="66"/>
  <c r="J11" i="66"/>
  <c r="N11" i="66"/>
  <c r="J12" i="66"/>
  <c r="N12" i="66"/>
  <c r="J13" i="66"/>
  <c r="N13" i="66"/>
  <c r="J14" i="66"/>
  <c r="N14" i="66"/>
  <c r="J15" i="66"/>
  <c r="N15" i="66"/>
  <c r="J16" i="66"/>
  <c r="N16" i="66"/>
  <c r="J17" i="66"/>
  <c r="N17" i="66"/>
  <c r="J18" i="66"/>
  <c r="N18" i="66"/>
  <c r="J19" i="66"/>
  <c r="N19" i="66"/>
  <c r="J20" i="66"/>
  <c r="N20" i="66"/>
  <c r="J21" i="66"/>
  <c r="N21" i="66"/>
  <c r="J22" i="66"/>
  <c r="N22" i="66"/>
  <c r="J23" i="66"/>
  <c r="N23" i="66"/>
  <c r="J24" i="66"/>
  <c r="N24" i="66"/>
  <c r="J25" i="66"/>
  <c r="N25" i="66"/>
  <c r="J26" i="66"/>
  <c r="N26" i="66"/>
  <c r="J27" i="66"/>
  <c r="N27" i="66"/>
  <c r="J28" i="66"/>
  <c r="N28" i="66"/>
  <c r="J29" i="66"/>
  <c r="N29" i="66"/>
  <c r="J30" i="66"/>
  <c r="N30" i="66"/>
  <c r="J31" i="66"/>
  <c r="N31" i="66"/>
  <c r="J32" i="66"/>
  <c r="N32" i="66"/>
  <c r="J33" i="66"/>
  <c r="N33" i="66"/>
  <c r="J34" i="66"/>
  <c r="N34" i="66"/>
  <c r="J35" i="66"/>
  <c r="N35" i="66"/>
  <c r="J36" i="66"/>
  <c r="N36" i="66"/>
  <c r="J37" i="66"/>
  <c r="N37" i="66"/>
  <c r="J38" i="66"/>
  <c r="N38" i="66"/>
  <c r="J39" i="66"/>
  <c r="N39" i="66"/>
  <c r="J40" i="66"/>
  <c r="N40" i="66"/>
  <c r="J41" i="66"/>
  <c r="N41" i="66"/>
  <c r="J42" i="66"/>
  <c r="N42" i="66"/>
  <c r="J43" i="66"/>
  <c r="N43" i="66"/>
  <c r="J44" i="66"/>
  <c r="N44" i="66"/>
  <c r="J45" i="66"/>
  <c r="N45" i="66"/>
  <c r="J46" i="66"/>
  <c r="N46" i="66"/>
  <c r="J47" i="66"/>
  <c r="N47" i="66"/>
  <c r="J48" i="66"/>
  <c r="N48" i="66"/>
  <c r="J49" i="66"/>
  <c r="N49" i="66"/>
  <c r="J50" i="66"/>
  <c r="N50" i="66"/>
  <c r="J51" i="66"/>
  <c r="N51" i="66"/>
  <c r="J52" i="66"/>
  <c r="N52" i="66"/>
  <c r="J53" i="66"/>
  <c r="N53" i="66"/>
  <c r="J54" i="66"/>
  <c r="N54" i="66"/>
  <c r="N56" i="66"/>
  <c r="K4" i="66"/>
  <c r="O4" i="66"/>
  <c r="K5" i="66"/>
  <c r="O5" i="66"/>
  <c r="K6" i="66"/>
  <c r="O6" i="66"/>
  <c r="K7" i="66"/>
  <c r="O7" i="66"/>
  <c r="K8" i="66"/>
  <c r="O8" i="66"/>
  <c r="K9" i="66"/>
  <c r="O9" i="66"/>
  <c r="K10" i="66"/>
  <c r="O10" i="66"/>
  <c r="K11" i="66"/>
  <c r="O11" i="66"/>
  <c r="K12" i="66"/>
  <c r="O12" i="66"/>
  <c r="K13" i="66"/>
  <c r="O13" i="66"/>
  <c r="K14" i="66"/>
  <c r="O14" i="66"/>
  <c r="K15" i="66"/>
  <c r="O15" i="66"/>
  <c r="K16" i="66"/>
  <c r="O16" i="66"/>
  <c r="K17" i="66"/>
  <c r="O17" i="66"/>
  <c r="K18" i="66"/>
  <c r="O18" i="66"/>
  <c r="K19" i="66"/>
  <c r="O19" i="66"/>
  <c r="K20" i="66"/>
  <c r="O20" i="66"/>
  <c r="K21" i="66"/>
  <c r="O21" i="66"/>
  <c r="K22" i="66"/>
  <c r="O22" i="66"/>
  <c r="K23" i="66"/>
  <c r="O23" i="66"/>
  <c r="K24" i="66"/>
  <c r="O24" i="66"/>
  <c r="K25" i="66"/>
  <c r="O25" i="66"/>
  <c r="K26" i="66"/>
  <c r="O26" i="66"/>
  <c r="K27" i="66"/>
  <c r="O27" i="66"/>
  <c r="K28" i="66"/>
  <c r="O28" i="66"/>
  <c r="K29" i="66"/>
  <c r="O29" i="66"/>
  <c r="K30" i="66"/>
  <c r="O30" i="66"/>
  <c r="K31" i="66"/>
  <c r="O31" i="66"/>
  <c r="K32" i="66"/>
  <c r="O32" i="66"/>
  <c r="K33" i="66"/>
  <c r="O33" i="66"/>
  <c r="K34" i="66"/>
  <c r="O34" i="66"/>
  <c r="K35" i="66"/>
  <c r="O35" i="66"/>
  <c r="K36" i="66"/>
  <c r="O36" i="66"/>
  <c r="K37" i="66"/>
  <c r="O37" i="66"/>
  <c r="K38" i="66"/>
  <c r="O38" i="66"/>
  <c r="K39" i="66"/>
  <c r="O39" i="66"/>
  <c r="K40" i="66"/>
  <c r="O40" i="66"/>
  <c r="K41" i="66"/>
  <c r="O41" i="66"/>
  <c r="K42" i="66"/>
  <c r="O42" i="66"/>
  <c r="K43" i="66"/>
  <c r="O43" i="66"/>
  <c r="K44" i="66"/>
  <c r="O44" i="66"/>
  <c r="K45" i="66"/>
  <c r="O45" i="66"/>
  <c r="K46" i="66"/>
  <c r="O46" i="66"/>
  <c r="K47" i="66"/>
  <c r="O47" i="66"/>
  <c r="K48" i="66"/>
  <c r="O48" i="66"/>
  <c r="K49" i="66"/>
  <c r="O49" i="66"/>
  <c r="K50" i="66"/>
  <c r="O50" i="66"/>
  <c r="K51" i="66"/>
  <c r="O51" i="66"/>
  <c r="K52" i="66"/>
  <c r="O52" i="66"/>
  <c r="K53" i="66"/>
  <c r="O53" i="66"/>
  <c r="K54" i="66"/>
  <c r="O54" i="66"/>
  <c r="O56" i="66"/>
  <c r="P60" i="66"/>
  <c r="L4" i="66"/>
  <c r="P4" i="66"/>
  <c r="L5" i="66"/>
  <c r="P5" i="66"/>
  <c r="L6" i="66"/>
  <c r="P6" i="66"/>
  <c r="L7" i="66"/>
  <c r="P7" i="66"/>
  <c r="L8" i="66"/>
  <c r="P8" i="66"/>
  <c r="L9" i="66"/>
  <c r="P9" i="66"/>
  <c r="L10" i="66"/>
  <c r="P10" i="66"/>
  <c r="L11" i="66"/>
  <c r="P11" i="66"/>
  <c r="L12" i="66"/>
  <c r="P12" i="66"/>
  <c r="L13" i="66"/>
  <c r="P13" i="66"/>
  <c r="L14" i="66"/>
  <c r="P14" i="66"/>
  <c r="L15" i="66"/>
  <c r="P15" i="66"/>
  <c r="L16" i="66"/>
  <c r="P16" i="66"/>
  <c r="L17" i="66"/>
  <c r="P17" i="66"/>
  <c r="L18" i="66"/>
  <c r="P18" i="66"/>
  <c r="L19" i="66"/>
  <c r="P19" i="66"/>
  <c r="L20" i="66"/>
  <c r="P20" i="66"/>
  <c r="L21" i="66"/>
  <c r="P21" i="66"/>
  <c r="L22" i="66"/>
  <c r="P22" i="66"/>
  <c r="L23" i="66"/>
  <c r="P23" i="66"/>
  <c r="L24" i="66"/>
  <c r="P24" i="66"/>
  <c r="L25" i="66"/>
  <c r="P25" i="66"/>
  <c r="L26" i="66"/>
  <c r="P26" i="66"/>
  <c r="L27" i="66"/>
  <c r="P27" i="66"/>
  <c r="L28" i="66"/>
  <c r="P28" i="66"/>
  <c r="L29" i="66"/>
  <c r="P29" i="66"/>
  <c r="L30" i="66"/>
  <c r="P30" i="66"/>
  <c r="L31" i="66"/>
  <c r="P31" i="66"/>
  <c r="L32" i="66"/>
  <c r="P32" i="66"/>
  <c r="L33" i="66"/>
  <c r="P33" i="66"/>
  <c r="L34" i="66"/>
  <c r="P34" i="66"/>
  <c r="L35" i="66"/>
  <c r="P35" i="66"/>
  <c r="L36" i="66"/>
  <c r="P36" i="66"/>
  <c r="L37" i="66"/>
  <c r="P37" i="66"/>
  <c r="L38" i="66"/>
  <c r="P38" i="66"/>
  <c r="L39" i="66"/>
  <c r="P39" i="66"/>
  <c r="L40" i="66"/>
  <c r="P40" i="66"/>
  <c r="L41" i="66"/>
  <c r="P41" i="66"/>
  <c r="L42" i="66"/>
  <c r="P42" i="66"/>
  <c r="L43" i="66"/>
  <c r="P43" i="66"/>
  <c r="L44" i="66"/>
  <c r="P44" i="66"/>
  <c r="L45" i="66"/>
  <c r="P45" i="66"/>
  <c r="L46" i="66"/>
  <c r="P46" i="66"/>
  <c r="L47" i="66"/>
  <c r="P47" i="66"/>
  <c r="L48" i="66"/>
  <c r="P48" i="66"/>
  <c r="L49" i="66"/>
  <c r="P49" i="66"/>
  <c r="L50" i="66"/>
  <c r="P50" i="66"/>
  <c r="L51" i="66"/>
  <c r="P51" i="66"/>
  <c r="L52" i="66"/>
  <c r="P52" i="66"/>
  <c r="L53" i="66"/>
  <c r="P53" i="66"/>
  <c r="L54" i="66"/>
  <c r="P54" i="66"/>
  <c r="P56" i="66"/>
  <c r="P61" i="66"/>
  <c r="P62" i="66"/>
  <c r="I56" i="66"/>
  <c r="Q62" i="66"/>
  <c r="T4" i="16"/>
  <c r="D4" i="16"/>
  <c r="E4" i="16"/>
  <c r="U4" i="16"/>
  <c r="K10" i="57"/>
  <c r="F3" i="44"/>
  <c r="F2" i="44"/>
  <c r="V4" i="16"/>
  <c r="W4" i="16"/>
  <c r="K11" i="57"/>
  <c r="K12" i="57"/>
  <c r="D4" i="12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6" i="31"/>
  <c r="H56" i="31"/>
  <c r="R64" i="31"/>
  <c r="H4" i="12"/>
  <c r="L4" i="12"/>
  <c r="M4" i="12"/>
  <c r="E4" i="31"/>
  <c r="K4" i="31"/>
  <c r="O4" i="31"/>
  <c r="C5" i="31"/>
  <c r="E5" i="31"/>
  <c r="K5" i="31"/>
  <c r="O5" i="31"/>
  <c r="C6" i="31"/>
  <c r="E6" i="31"/>
  <c r="K6" i="31"/>
  <c r="O6" i="31"/>
  <c r="C7" i="31"/>
  <c r="E7" i="31"/>
  <c r="K7" i="31"/>
  <c r="O7" i="31"/>
  <c r="C8" i="31"/>
  <c r="E8" i="31"/>
  <c r="K8" i="31"/>
  <c r="O8" i="31"/>
  <c r="C9" i="31"/>
  <c r="E9" i="31"/>
  <c r="K9" i="31"/>
  <c r="O9" i="31"/>
  <c r="C10" i="31"/>
  <c r="E10" i="31"/>
  <c r="K10" i="31"/>
  <c r="O10" i="31"/>
  <c r="C11" i="31"/>
  <c r="E11" i="31"/>
  <c r="K11" i="31"/>
  <c r="O11" i="31"/>
  <c r="C12" i="31"/>
  <c r="E12" i="31"/>
  <c r="K12" i="31"/>
  <c r="O12" i="31"/>
  <c r="C13" i="31"/>
  <c r="E13" i="31"/>
  <c r="K13" i="31"/>
  <c r="O13" i="31"/>
  <c r="C14" i="31"/>
  <c r="E14" i="31"/>
  <c r="K14" i="31"/>
  <c r="O14" i="31"/>
  <c r="C15" i="31"/>
  <c r="E15" i="31"/>
  <c r="K15" i="31"/>
  <c r="O15" i="31"/>
  <c r="C16" i="31"/>
  <c r="E16" i="31"/>
  <c r="K16" i="31"/>
  <c r="O16" i="31"/>
  <c r="C17" i="31"/>
  <c r="E17" i="31"/>
  <c r="K17" i="31"/>
  <c r="O17" i="31"/>
  <c r="C18" i="31"/>
  <c r="E18" i="31"/>
  <c r="K18" i="31"/>
  <c r="O18" i="31"/>
  <c r="C19" i="31"/>
  <c r="E19" i="31"/>
  <c r="K19" i="31"/>
  <c r="O19" i="31"/>
  <c r="C20" i="31"/>
  <c r="E20" i="31"/>
  <c r="K20" i="31"/>
  <c r="O20" i="31"/>
  <c r="C21" i="31"/>
  <c r="E21" i="31"/>
  <c r="K21" i="31"/>
  <c r="O21" i="31"/>
  <c r="C22" i="31"/>
  <c r="E22" i="31"/>
  <c r="K22" i="31"/>
  <c r="O22" i="31"/>
  <c r="C23" i="31"/>
  <c r="E23" i="31"/>
  <c r="K23" i="31"/>
  <c r="O23" i="31"/>
  <c r="C24" i="31"/>
  <c r="E24" i="31"/>
  <c r="K24" i="31"/>
  <c r="O24" i="31"/>
  <c r="C25" i="31"/>
  <c r="E25" i="31"/>
  <c r="K25" i="31"/>
  <c r="O25" i="31"/>
  <c r="C26" i="31"/>
  <c r="E26" i="31"/>
  <c r="K26" i="31"/>
  <c r="O26" i="31"/>
  <c r="C27" i="31"/>
  <c r="E27" i="31"/>
  <c r="K27" i="31"/>
  <c r="O27" i="31"/>
  <c r="C28" i="31"/>
  <c r="E28" i="31"/>
  <c r="K28" i="31"/>
  <c r="O28" i="31"/>
  <c r="C29" i="31"/>
  <c r="E29" i="31"/>
  <c r="K29" i="31"/>
  <c r="O29" i="31"/>
  <c r="C30" i="31"/>
  <c r="E30" i="31"/>
  <c r="K30" i="31"/>
  <c r="O30" i="31"/>
  <c r="C31" i="31"/>
  <c r="E31" i="31"/>
  <c r="K31" i="31"/>
  <c r="O31" i="31"/>
  <c r="C32" i="31"/>
  <c r="E32" i="31"/>
  <c r="K32" i="31"/>
  <c r="O32" i="31"/>
  <c r="C33" i="31"/>
  <c r="E33" i="31"/>
  <c r="K33" i="31"/>
  <c r="O33" i="31"/>
  <c r="C34" i="31"/>
  <c r="E34" i="31"/>
  <c r="K34" i="31"/>
  <c r="O34" i="31"/>
  <c r="C35" i="31"/>
  <c r="E35" i="31"/>
  <c r="K35" i="31"/>
  <c r="O35" i="31"/>
  <c r="C36" i="31"/>
  <c r="E36" i="31"/>
  <c r="K36" i="31"/>
  <c r="O36" i="31"/>
  <c r="C37" i="31"/>
  <c r="E37" i="31"/>
  <c r="K37" i="31"/>
  <c r="O37" i="31"/>
  <c r="C38" i="31"/>
  <c r="E38" i="31"/>
  <c r="K38" i="31"/>
  <c r="O38" i="31"/>
  <c r="C39" i="31"/>
  <c r="E39" i="31"/>
  <c r="K39" i="31"/>
  <c r="O39" i="31"/>
  <c r="C40" i="31"/>
  <c r="E40" i="31"/>
  <c r="K40" i="31"/>
  <c r="O40" i="31"/>
  <c r="C41" i="31"/>
  <c r="E41" i="31"/>
  <c r="K41" i="31"/>
  <c r="O41" i="31"/>
  <c r="C42" i="31"/>
  <c r="E42" i="31"/>
  <c r="K42" i="31"/>
  <c r="O42" i="31"/>
  <c r="C43" i="31"/>
  <c r="E43" i="31"/>
  <c r="K43" i="31"/>
  <c r="O43" i="31"/>
  <c r="C44" i="31"/>
  <c r="E44" i="31"/>
  <c r="K44" i="31"/>
  <c r="O44" i="31"/>
  <c r="C45" i="31"/>
  <c r="E45" i="31"/>
  <c r="K45" i="31"/>
  <c r="O45" i="31"/>
  <c r="C46" i="31"/>
  <c r="E46" i="31"/>
  <c r="K46" i="31"/>
  <c r="O46" i="31"/>
  <c r="C47" i="31"/>
  <c r="E47" i="31"/>
  <c r="K47" i="31"/>
  <c r="O47" i="31"/>
  <c r="C48" i="31"/>
  <c r="E48" i="31"/>
  <c r="K48" i="31"/>
  <c r="O48" i="31"/>
  <c r="C49" i="31"/>
  <c r="E49" i="31"/>
  <c r="K49" i="31"/>
  <c r="O49" i="31"/>
  <c r="C50" i="31"/>
  <c r="E50" i="31"/>
  <c r="K50" i="31"/>
  <c r="O50" i="31"/>
  <c r="C51" i="31"/>
  <c r="E51" i="31"/>
  <c r="K51" i="31"/>
  <c r="O51" i="31"/>
  <c r="C52" i="31"/>
  <c r="E52" i="31"/>
  <c r="K52" i="31"/>
  <c r="O52" i="31"/>
  <c r="C53" i="31"/>
  <c r="E53" i="31"/>
  <c r="K53" i="31"/>
  <c r="O53" i="31"/>
  <c r="C54" i="31"/>
  <c r="E54" i="31"/>
  <c r="K54" i="31"/>
  <c r="O54" i="31"/>
  <c r="O56" i="31"/>
  <c r="Q60" i="31"/>
  <c r="R60" i="31"/>
  <c r="J4" i="12"/>
  <c r="R4" i="12"/>
  <c r="S4" i="12"/>
  <c r="L10" i="57"/>
  <c r="C3" i="61"/>
  <c r="C4" i="61"/>
  <c r="C5" i="61"/>
  <c r="C6" i="61"/>
  <c r="C7" i="61"/>
  <c r="C8" i="61"/>
  <c r="C2" i="61"/>
  <c r="T4" i="12"/>
  <c r="U4" i="12"/>
  <c r="L11" i="57"/>
  <c r="L12" i="57"/>
  <c r="D4" i="58"/>
  <c r="S4" i="58"/>
  <c r="T4" i="58"/>
  <c r="U4" i="58"/>
  <c r="V4" i="58"/>
  <c r="N12" i="57"/>
  <c r="T4" i="19"/>
  <c r="E4" i="19"/>
  <c r="F4" i="19"/>
  <c r="U4" i="19"/>
  <c r="V4" i="19"/>
  <c r="W4" i="19"/>
  <c r="X4" i="19"/>
  <c r="P12" i="57"/>
  <c r="S4" i="59"/>
  <c r="E4" i="59"/>
  <c r="T4" i="59"/>
  <c r="U4" i="59"/>
  <c r="V4" i="59"/>
  <c r="W4" i="59"/>
  <c r="Q12" i="57"/>
  <c r="AA12" i="57"/>
  <c r="N10" i="57"/>
  <c r="P10" i="57"/>
  <c r="R10" i="57"/>
  <c r="AA10" i="57"/>
  <c r="C8" i="57"/>
  <c r="E8" i="57"/>
  <c r="F8" i="57"/>
  <c r="D8" i="57"/>
  <c r="S60" i="32"/>
  <c r="K4" i="14"/>
  <c r="Q4" i="14"/>
  <c r="R4" i="14"/>
  <c r="H8" i="57"/>
  <c r="Q60" i="33"/>
  <c r="K4" i="15"/>
  <c r="Q4" i="15"/>
  <c r="R4" i="15"/>
  <c r="I8" i="57"/>
  <c r="Q60" i="52"/>
  <c r="Q4" i="45"/>
  <c r="R4" i="45"/>
  <c r="J8" i="57"/>
  <c r="Q60" i="66"/>
  <c r="R4" i="16"/>
  <c r="S4" i="16"/>
  <c r="K8" i="57"/>
  <c r="P4" i="12"/>
  <c r="Q4" i="12"/>
  <c r="L8" i="57"/>
  <c r="P4" i="18"/>
  <c r="Q4" i="18"/>
  <c r="M8" i="57"/>
  <c r="H4" i="58"/>
  <c r="AD18" i="58"/>
  <c r="AD23" i="58"/>
  <c r="AD25" i="58"/>
  <c r="AD36" i="58"/>
  <c r="AD37" i="58"/>
  <c r="AD42" i="58"/>
  <c r="AD50" i="58"/>
  <c r="AB55" i="58"/>
  <c r="AD55" i="58"/>
  <c r="P4" i="58"/>
  <c r="Q4" i="58"/>
  <c r="N8" i="57"/>
  <c r="G8" i="57"/>
  <c r="AA8" i="57"/>
  <c r="C6" i="57"/>
  <c r="Q64" i="30"/>
  <c r="H4" i="11"/>
  <c r="E6" i="57"/>
  <c r="Q64" i="43"/>
  <c r="H4" i="41"/>
  <c r="F6" i="57"/>
  <c r="O64" i="29"/>
  <c r="H4" i="2"/>
  <c r="D6" i="57"/>
  <c r="D4" i="13"/>
  <c r="E4" i="13"/>
  <c r="F4" i="13"/>
  <c r="J4" i="64"/>
  <c r="E4" i="64"/>
  <c r="L4" i="64"/>
  <c r="M4" i="64"/>
  <c r="Q4" i="64"/>
  <c r="J5" i="64"/>
  <c r="C5" i="64"/>
  <c r="E5" i="64"/>
  <c r="L5" i="64"/>
  <c r="M5" i="64"/>
  <c r="Q5" i="64"/>
  <c r="J6" i="64"/>
  <c r="C6" i="64"/>
  <c r="E6" i="64"/>
  <c r="L6" i="64"/>
  <c r="M6" i="64"/>
  <c r="Q6" i="64"/>
  <c r="J7" i="64"/>
  <c r="C7" i="64"/>
  <c r="E7" i="64"/>
  <c r="L7" i="64"/>
  <c r="M7" i="64"/>
  <c r="Q7" i="64"/>
  <c r="J8" i="64"/>
  <c r="C8" i="64"/>
  <c r="E8" i="64"/>
  <c r="L8" i="64"/>
  <c r="M8" i="64"/>
  <c r="Q8" i="64"/>
  <c r="J9" i="64"/>
  <c r="C9" i="64"/>
  <c r="E9" i="64"/>
  <c r="L9" i="64"/>
  <c r="M9" i="64"/>
  <c r="Q9" i="64"/>
  <c r="J10" i="64"/>
  <c r="C10" i="64"/>
  <c r="E10" i="64"/>
  <c r="L10" i="64"/>
  <c r="M10" i="64"/>
  <c r="Q10" i="64"/>
  <c r="J11" i="64"/>
  <c r="C11" i="64"/>
  <c r="E11" i="64"/>
  <c r="L11" i="64"/>
  <c r="M11" i="64"/>
  <c r="Q11" i="64"/>
  <c r="J12" i="64"/>
  <c r="C12" i="64"/>
  <c r="E12" i="64"/>
  <c r="L12" i="64"/>
  <c r="M12" i="64"/>
  <c r="Q12" i="64"/>
  <c r="J13" i="64"/>
  <c r="C13" i="64"/>
  <c r="E13" i="64"/>
  <c r="L13" i="64"/>
  <c r="M13" i="64"/>
  <c r="Q13" i="64"/>
  <c r="J14" i="64"/>
  <c r="C14" i="64"/>
  <c r="E14" i="64"/>
  <c r="L14" i="64"/>
  <c r="M14" i="64"/>
  <c r="Q14" i="64"/>
  <c r="J15" i="64"/>
  <c r="C15" i="64"/>
  <c r="E15" i="64"/>
  <c r="L15" i="64"/>
  <c r="M15" i="64"/>
  <c r="Q15" i="64"/>
  <c r="J16" i="64"/>
  <c r="C16" i="64"/>
  <c r="E16" i="64"/>
  <c r="L16" i="64"/>
  <c r="M16" i="64"/>
  <c r="Q16" i="64"/>
  <c r="J17" i="64"/>
  <c r="C17" i="64"/>
  <c r="E17" i="64"/>
  <c r="L17" i="64"/>
  <c r="M17" i="64"/>
  <c r="Q17" i="64"/>
  <c r="J18" i="64"/>
  <c r="C18" i="64"/>
  <c r="E18" i="64"/>
  <c r="L18" i="64"/>
  <c r="M18" i="64"/>
  <c r="Q18" i="64"/>
  <c r="J19" i="64"/>
  <c r="C19" i="64"/>
  <c r="E19" i="64"/>
  <c r="L19" i="64"/>
  <c r="M19" i="64"/>
  <c r="Q19" i="64"/>
  <c r="J20" i="64"/>
  <c r="C20" i="64"/>
  <c r="E20" i="64"/>
  <c r="L20" i="64"/>
  <c r="M20" i="64"/>
  <c r="Q20" i="64"/>
  <c r="J21" i="64"/>
  <c r="C21" i="64"/>
  <c r="E21" i="64"/>
  <c r="L21" i="64"/>
  <c r="M21" i="64"/>
  <c r="Q21" i="64"/>
  <c r="J22" i="64"/>
  <c r="C22" i="64"/>
  <c r="E22" i="64"/>
  <c r="L22" i="64"/>
  <c r="M22" i="64"/>
  <c r="Q22" i="64"/>
  <c r="J23" i="64"/>
  <c r="C23" i="64"/>
  <c r="E23" i="64"/>
  <c r="L23" i="64"/>
  <c r="M23" i="64"/>
  <c r="Q23" i="64"/>
  <c r="J24" i="64"/>
  <c r="C24" i="64"/>
  <c r="E24" i="64"/>
  <c r="L24" i="64"/>
  <c r="M24" i="64"/>
  <c r="Q24" i="64"/>
  <c r="J25" i="64"/>
  <c r="C25" i="64"/>
  <c r="E25" i="64"/>
  <c r="L25" i="64"/>
  <c r="M25" i="64"/>
  <c r="Q25" i="64"/>
  <c r="J26" i="64"/>
  <c r="C26" i="64"/>
  <c r="E26" i="64"/>
  <c r="L26" i="64"/>
  <c r="M26" i="64"/>
  <c r="Q26" i="64"/>
  <c r="J27" i="64"/>
  <c r="C27" i="64"/>
  <c r="E27" i="64"/>
  <c r="L27" i="64"/>
  <c r="M27" i="64"/>
  <c r="Q27" i="64"/>
  <c r="J28" i="64"/>
  <c r="C28" i="64"/>
  <c r="E28" i="64"/>
  <c r="L28" i="64"/>
  <c r="M28" i="64"/>
  <c r="Q28" i="64"/>
  <c r="J29" i="64"/>
  <c r="C29" i="64"/>
  <c r="E29" i="64"/>
  <c r="L29" i="64"/>
  <c r="M29" i="64"/>
  <c r="Q29" i="64"/>
  <c r="J30" i="64"/>
  <c r="C30" i="64"/>
  <c r="E30" i="64"/>
  <c r="L30" i="64"/>
  <c r="M30" i="64"/>
  <c r="Q30" i="64"/>
  <c r="J31" i="64"/>
  <c r="C31" i="64"/>
  <c r="E31" i="64"/>
  <c r="L31" i="64"/>
  <c r="M31" i="64"/>
  <c r="Q31" i="64"/>
  <c r="J32" i="64"/>
  <c r="C32" i="64"/>
  <c r="E32" i="64"/>
  <c r="L32" i="64"/>
  <c r="M32" i="64"/>
  <c r="Q32" i="64"/>
  <c r="J33" i="64"/>
  <c r="C33" i="64"/>
  <c r="E33" i="64"/>
  <c r="L33" i="64"/>
  <c r="M33" i="64"/>
  <c r="Q33" i="64"/>
  <c r="J34" i="64"/>
  <c r="C34" i="64"/>
  <c r="E34" i="64"/>
  <c r="L34" i="64"/>
  <c r="M34" i="64"/>
  <c r="Q34" i="64"/>
  <c r="J35" i="64"/>
  <c r="C35" i="64"/>
  <c r="E35" i="64"/>
  <c r="L35" i="64"/>
  <c r="M35" i="64"/>
  <c r="Q35" i="64"/>
  <c r="J36" i="64"/>
  <c r="C36" i="64"/>
  <c r="E36" i="64"/>
  <c r="L36" i="64"/>
  <c r="M36" i="64"/>
  <c r="Q36" i="64"/>
  <c r="J37" i="64"/>
  <c r="C37" i="64"/>
  <c r="E37" i="64"/>
  <c r="L37" i="64"/>
  <c r="M37" i="64"/>
  <c r="Q37" i="64"/>
  <c r="J38" i="64"/>
  <c r="C38" i="64"/>
  <c r="E38" i="64"/>
  <c r="L38" i="64"/>
  <c r="M38" i="64"/>
  <c r="Q38" i="64"/>
  <c r="J39" i="64"/>
  <c r="C39" i="64"/>
  <c r="E39" i="64"/>
  <c r="L39" i="64"/>
  <c r="M39" i="64"/>
  <c r="Q39" i="64"/>
  <c r="J40" i="64"/>
  <c r="C40" i="64"/>
  <c r="E40" i="64"/>
  <c r="L40" i="64"/>
  <c r="M40" i="64"/>
  <c r="Q40" i="64"/>
  <c r="J41" i="64"/>
  <c r="C41" i="64"/>
  <c r="E41" i="64"/>
  <c r="L41" i="64"/>
  <c r="M41" i="64"/>
  <c r="Q41" i="64"/>
  <c r="J42" i="64"/>
  <c r="C42" i="64"/>
  <c r="E42" i="64"/>
  <c r="L42" i="64"/>
  <c r="M42" i="64"/>
  <c r="Q42" i="64"/>
  <c r="J43" i="64"/>
  <c r="C43" i="64"/>
  <c r="E43" i="64"/>
  <c r="L43" i="64"/>
  <c r="M43" i="64"/>
  <c r="Q43" i="64"/>
  <c r="J44" i="64"/>
  <c r="C44" i="64"/>
  <c r="E44" i="64"/>
  <c r="L44" i="64"/>
  <c r="M44" i="64"/>
  <c r="Q44" i="64"/>
  <c r="J45" i="64"/>
  <c r="C45" i="64"/>
  <c r="E45" i="64"/>
  <c r="L45" i="64"/>
  <c r="M45" i="64"/>
  <c r="Q45" i="64"/>
  <c r="J46" i="64"/>
  <c r="C46" i="64"/>
  <c r="E46" i="64"/>
  <c r="L46" i="64"/>
  <c r="M46" i="64"/>
  <c r="Q46" i="64"/>
  <c r="J47" i="64"/>
  <c r="C47" i="64"/>
  <c r="E47" i="64"/>
  <c r="L47" i="64"/>
  <c r="M47" i="64"/>
  <c r="Q47" i="64"/>
  <c r="J48" i="64"/>
  <c r="C48" i="64"/>
  <c r="E48" i="64"/>
  <c r="L48" i="64"/>
  <c r="M48" i="64"/>
  <c r="Q48" i="64"/>
  <c r="J49" i="64"/>
  <c r="C49" i="64"/>
  <c r="E49" i="64"/>
  <c r="L49" i="64"/>
  <c r="M49" i="64"/>
  <c r="Q49" i="64"/>
  <c r="J50" i="64"/>
  <c r="C50" i="64"/>
  <c r="E50" i="64"/>
  <c r="L50" i="64"/>
  <c r="M50" i="64"/>
  <c r="Q50" i="64"/>
  <c r="J51" i="64"/>
  <c r="C51" i="64"/>
  <c r="E51" i="64"/>
  <c r="L51" i="64"/>
  <c r="M51" i="64"/>
  <c r="Q51" i="64"/>
  <c r="J52" i="64"/>
  <c r="C52" i="64"/>
  <c r="E52" i="64"/>
  <c r="L52" i="64"/>
  <c r="M52" i="64"/>
  <c r="Q52" i="64"/>
  <c r="J53" i="64"/>
  <c r="C53" i="64"/>
  <c r="E53" i="64"/>
  <c r="L53" i="64"/>
  <c r="M53" i="64"/>
  <c r="Q53" i="64"/>
  <c r="J54" i="64"/>
  <c r="C54" i="64"/>
  <c r="E54" i="64"/>
  <c r="L54" i="64"/>
  <c r="M54" i="64"/>
  <c r="Q54" i="64"/>
  <c r="Q56" i="64"/>
  <c r="I56" i="64"/>
  <c r="S64" i="64"/>
  <c r="J4" i="13"/>
  <c r="G6" i="57"/>
  <c r="S64" i="32"/>
  <c r="I4" i="14"/>
  <c r="H6" i="57"/>
  <c r="Q64" i="33"/>
  <c r="I4" i="15"/>
  <c r="I6" i="57"/>
  <c r="Q64" i="52"/>
  <c r="I4" i="45"/>
  <c r="J6" i="57"/>
  <c r="Q64" i="66"/>
  <c r="J4" i="16"/>
  <c r="K6" i="57"/>
  <c r="Z4" i="12"/>
  <c r="AB4" i="12"/>
  <c r="AC4" i="12"/>
  <c r="L6" i="57"/>
  <c r="M6" i="57"/>
  <c r="N6" i="57"/>
  <c r="P6" i="57"/>
  <c r="I4" i="59"/>
  <c r="Q6" i="57"/>
  <c r="AA6" i="57"/>
  <c r="D4" i="57"/>
  <c r="G4" i="57"/>
  <c r="C4" i="57"/>
  <c r="E4" i="57"/>
  <c r="F4" i="57"/>
  <c r="H4" i="57"/>
  <c r="I4" i="57"/>
  <c r="J4" i="57"/>
  <c r="K4" i="57"/>
  <c r="L4" i="57"/>
  <c r="M4" i="57"/>
  <c r="N4" i="57"/>
  <c r="D4" i="42"/>
  <c r="E4" i="42"/>
  <c r="O4" i="57"/>
  <c r="P4" i="57"/>
  <c r="Q4" i="57"/>
  <c r="AA4" i="57"/>
  <c r="AA5" i="57"/>
  <c r="P41" i="51"/>
  <c r="S42" i="51"/>
  <c r="O42" i="51"/>
  <c r="P42" i="51"/>
  <c r="S43" i="51"/>
  <c r="O43" i="51"/>
  <c r="P43" i="51"/>
  <c r="S44" i="51"/>
  <c r="O44" i="51"/>
  <c r="P44" i="51"/>
  <c r="S45" i="51"/>
  <c r="O45" i="51"/>
  <c r="P45" i="51"/>
  <c r="S46" i="51"/>
  <c r="O46" i="51"/>
  <c r="P46" i="51"/>
  <c r="S47" i="51"/>
  <c r="O47" i="51"/>
  <c r="P47" i="51"/>
  <c r="S48" i="51"/>
  <c r="O48" i="51"/>
  <c r="P48" i="51"/>
  <c r="S49" i="51"/>
  <c r="O49" i="51"/>
  <c r="P49" i="51"/>
  <c r="S50" i="51"/>
  <c r="O50" i="51"/>
  <c r="P50" i="51"/>
  <c r="S51" i="51"/>
  <c r="O51" i="51"/>
  <c r="P51" i="51"/>
  <c r="S52" i="51"/>
  <c r="O52" i="51"/>
  <c r="P52" i="51"/>
  <c r="S53" i="51"/>
  <c r="O53" i="51"/>
  <c r="P53" i="51"/>
  <c r="S54" i="51"/>
  <c r="O54" i="51"/>
  <c r="P54" i="51"/>
  <c r="S55" i="51"/>
  <c r="O55" i="51"/>
  <c r="P55" i="51"/>
  <c r="S56" i="51"/>
  <c r="O56" i="51"/>
  <c r="P56" i="51"/>
  <c r="S57" i="51"/>
  <c r="O57" i="51"/>
  <c r="P57" i="51"/>
  <c r="S58" i="51"/>
  <c r="O58" i="51"/>
  <c r="P58" i="51"/>
  <c r="S59" i="51"/>
  <c r="O59" i="51"/>
  <c r="P59" i="51"/>
  <c r="S60" i="51"/>
  <c r="O60" i="51"/>
  <c r="P60" i="51"/>
  <c r="S61" i="51"/>
  <c r="O61" i="51"/>
  <c r="P61" i="51"/>
  <c r="S62" i="51"/>
  <c r="O62" i="51"/>
  <c r="P62" i="51"/>
  <c r="S63" i="51"/>
  <c r="O63" i="51"/>
  <c r="P63" i="51"/>
  <c r="S64" i="51"/>
  <c r="O64" i="51"/>
  <c r="P64" i="51"/>
  <c r="S65" i="51"/>
  <c r="O65" i="51"/>
  <c r="P65" i="51"/>
  <c r="Y45" i="57"/>
  <c r="Y42" i="57"/>
  <c r="W36" i="51"/>
  <c r="W37" i="51"/>
  <c r="W38" i="51"/>
  <c r="W39" i="51"/>
  <c r="Y37" i="57"/>
  <c r="Y33" i="57"/>
  <c r="Y28" i="57"/>
  <c r="Y21" i="57"/>
  <c r="Y17" i="57"/>
  <c r="Y5" i="57"/>
  <c r="U71" i="55"/>
  <c r="U70" i="55"/>
  <c r="U69" i="55"/>
  <c r="W4" i="55"/>
  <c r="W5" i="55"/>
  <c r="W6" i="55"/>
  <c r="W7" i="55"/>
  <c r="W8" i="55"/>
  <c r="W9" i="55"/>
  <c r="W10" i="55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24" i="55"/>
  <c r="W25" i="55"/>
  <c r="W26" i="55"/>
  <c r="W27" i="55"/>
  <c r="W28" i="55"/>
  <c r="W29" i="55"/>
  <c r="W30" i="55"/>
  <c r="W31" i="55"/>
  <c r="W32" i="55"/>
  <c r="W33" i="55"/>
  <c r="W34" i="55"/>
  <c r="W35" i="55"/>
  <c r="W36" i="55"/>
  <c r="W37" i="55"/>
  <c r="W38" i="55"/>
  <c r="W39" i="55"/>
  <c r="W40" i="55"/>
  <c r="W41" i="55"/>
  <c r="W42" i="55"/>
  <c r="W43" i="55"/>
  <c r="W44" i="55"/>
  <c r="W45" i="55"/>
  <c r="W46" i="55"/>
  <c r="W47" i="55"/>
  <c r="W48" i="55"/>
  <c r="W49" i="55"/>
  <c r="W50" i="55"/>
  <c r="W51" i="55"/>
  <c r="W52" i="55"/>
  <c r="W53" i="55"/>
  <c r="V79" i="55"/>
  <c r="W56" i="55"/>
  <c r="U79" i="55"/>
  <c r="V6" i="55"/>
  <c r="V7" i="55"/>
  <c r="V8" i="55"/>
  <c r="V9" i="55"/>
  <c r="V10" i="55"/>
  <c r="V11" i="55"/>
  <c r="V12" i="55"/>
  <c r="V13" i="55"/>
  <c r="V14" i="55"/>
  <c r="V15" i="55"/>
  <c r="V16" i="55"/>
  <c r="V17" i="55"/>
  <c r="V18" i="55"/>
  <c r="V19" i="55"/>
  <c r="V20" i="55"/>
  <c r="V21" i="55"/>
  <c r="V22" i="55"/>
  <c r="V23" i="55"/>
  <c r="V24" i="55"/>
  <c r="V25" i="55"/>
  <c r="V26" i="55"/>
  <c r="V27" i="55"/>
  <c r="V28" i="55"/>
  <c r="V29" i="55"/>
  <c r="V30" i="55"/>
  <c r="V31" i="55"/>
  <c r="V32" i="55"/>
  <c r="V33" i="55"/>
  <c r="V34" i="55"/>
  <c r="V35" i="55"/>
  <c r="V36" i="55"/>
  <c r="V37" i="55"/>
  <c r="V38" i="55"/>
  <c r="V39" i="55"/>
  <c r="V40" i="55"/>
  <c r="V41" i="55"/>
  <c r="V42" i="55"/>
  <c r="V43" i="55"/>
  <c r="V44" i="55"/>
  <c r="V45" i="55"/>
  <c r="V46" i="55"/>
  <c r="V47" i="55"/>
  <c r="V48" i="55"/>
  <c r="V49" i="55"/>
  <c r="V50" i="55"/>
  <c r="V51" i="55"/>
  <c r="V52" i="55"/>
  <c r="V53" i="55"/>
  <c r="V4" i="55"/>
  <c r="V5" i="55"/>
  <c r="V56" i="55"/>
  <c r="V78" i="55"/>
  <c r="U78" i="55"/>
  <c r="U56" i="55"/>
  <c r="T62" i="55"/>
  <c r="T63" i="55"/>
  <c r="T64" i="55"/>
  <c r="H57" i="55"/>
  <c r="Q54" i="55"/>
  <c r="A5" i="55"/>
  <c r="A6" i="55"/>
  <c r="A7" i="55"/>
  <c r="A8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Q21" i="55"/>
  <c r="Q20" i="55"/>
  <c r="Q19" i="55"/>
  <c r="Q18" i="55"/>
  <c r="Q17" i="55"/>
  <c r="Q16" i="55"/>
  <c r="Q15" i="55"/>
  <c r="Q14" i="55"/>
  <c r="Q13" i="55"/>
  <c r="Q12" i="55"/>
  <c r="Q11" i="55"/>
  <c r="Q10" i="55"/>
  <c r="Q9" i="55"/>
  <c r="Q8" i="55"/>
  <c r="Q7" i="55"/>
  <c r="Q6" i="55"/>
  <c r="Q5" i="55"/>
  <c r="Q4" i="55"/>
  <c r="H66" i="51"/>
  <c r="H67" i="51"/>
  <c r="H68" i="51"/>
  <c r="G66" i="51"/>
  <c r="G68" i="51"/>
  <c r="F4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8" i="51"/>
  <c r="F29" i="51"/>
  <c r="F30" i="51"/>
  <c r="F31" i="51"/>
  <c r="F32" i="51"/>
  <c r="F33" i="51"/>
  <c r="F34" i="51"/>
  <c r="F36" i="51"/>
  <c r="F37" i="51"/>
  <c r="F38" i="51"/>
  <c r="F39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E66" i="51"/>
  <c r="E68" i="51"/>
  <c r="D66" i="51"/>
  <c r="D68" i="51"/>
  <c r="C66" i="51"/>
  <c r="C68" i="51"/>
  <c r="I67" i="51"/>
  <c r="K66" i="51"/>
  <c r="T65" i="51"/>
  <c r="V65" i="51"/>
  <c r="AA65" i="51"/>
  <c r="Y65" i="51"/>
  <c r="W65" i="51"/>
  <c r="M6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8" i="51"/>
  <c r="A29" i="51"/>
  <c r="A30" i="51"/>
  <c r="A31" i="51"/>
  <c r="A32" i="51"/>
  <c r="A33" i="51"/>
  <c r="A34" i="51"/>
  <c r="A36" i="51"/>
  <c r="A37" i="51"/>
  <c r="A38" i="51"/>
  <c r="A39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T64" i="51"/>
  <c r="V64" i="51"/>
  <c r="AA64" i="51"/>
  <c r="Y64" i="51"/>
  <c r="W64" i="51"/>
  <c r="T63" i="51"/>
  <c r="V63" i="51"/>
  <c r="AA63" i="51"/>
  <c r="Y63" i="51"/>
  <c r="W63" i="51"/>
  <c r="L63" i="51"/>
  <c r="T62" i="51"/>
  <c r="V62" i="51"/>
  <c r="AA62" i="51"/>
  <c r="Y62" i="51"/>
  <c r="W62" i="51"/>
  <c r="M62" i="51"/>
  <c r="T61" i="51"/>
  <c r="V61" i="51"/>
  <c r="AA61" i="51"/>
  <c r="Y61" i="51"/>
  <c r="W61" i="51"/>
  <c r="T60" i="51"/>
  <c r="V60" i="51"/>
  <c r="AA60" i="51"/>
  <c r="Y60" i="51"/>
  <c r="W60" i="51"/>
  <c r="L60" i="51"/>
  <c r="T59" i="51"/>
  <c r="V59" i="51"/>
  <c r="AA59" i="51"/>
  <c r="Y59" i="51"/>
  <c r="W59" i="51"/>
  <c r="Y58" i="51"/>
  <c r="T58" i="51"/>
  <c r="W58" i="51"/>
  <c r="V58" i="51"/>
  <c r="T57" i="51"/>
  <c r="V57" i="51"/>
  <c r="AA57" i="51"/>
  <c r="Y57" i="51"/>
  <c r="W57" i="51"/>
  <c r="T56" i="51"/>
  <c r="V56" i="51"/>
  <c r="AA56" i="51"/>
  <c r="Y56" i="51"/>
  <c r="W56" i="51"/>
  <c r="L56" i="51"/>
  <c r="T55" i="51"/>
  <c r="V55" i="51"/>
  <c r="AA55" i="51"/>
  <c r="Y55" i="51"/>
  <c r="W55" i="51"/>
  <c r="T54" i="51"/>
  <c r="V54" i="51"/>
  <c r="AA54" i="51"/>
  <c r="Y54" i="51"/>
  <c r="W54" i="51"/>
  <c r="T53" i="51"/>
  <c r="V53" i="51"/>
  <c r="AA53" i="51"/>
  <c r="Y53" i="51"/>
  <c r="W53" i="51"/>
  <c r="T52" i="51"/>
  <c r="V52" i="51"/>
  <c r="AA52" i="51"/>
  <c r="Y52" i="51"/>
  <c r="W52" i="51"/>
  <c r="L52" i="51"/>
  <c r="T51" i="51"/>
  <c r="V51" i="51"/>
  <c r="AA51" i="51"/>
  <c r="Y51" i="51"/>
  <c r="W51" i="51"/>
  <c r="T50" i="51"/>
  <c r="V50" i="51"/>
  <c r="AA50" i="51"/>
  <c r="Y50" i="51"/>
  <c r="W50" i="51"/>
  <c r="L50" i="51"/>
  <c r="T49" i="51"/>
  <c r="V49" i="51"/>
  <c r="AA49" i="51"/>
  <c r="Y49" i="51"/>
  <c r="W49" i="51"/>
  <c r="T48" i="51"/>
  <c r="V48" i="51"/>
  <c r="AA48" i="51"/>
  <c r="Y48" i="51"/>
  <c r="W48" i="51"/>
  <c r="L48" i="51"/>
  <c r="T47" i="51"/>
  <c r="V47" i="51"/>
  <c r="AA47" i="51"/>
  <c r="Y47" i="51"/>
  <c r="W47" i="51"/>
  <c r="T46" i="51"/>
  <c r="V46" i="51"/>
  <c r="AA46" i="51"/>
  <c r="Y46" i="51"/>
  <c r="W46" i="51"/>
  <c r="T45" i="51"/>
  <c r="V45" i="51"/>
  <c r="AA45" i="51"/>
  <c r="Y45" i="51"/>
  <c r="W45" i="51"/>
  <c r="T44" i="51"/>
  <c r="V44" i="51"/>
  <c r="AA44" i="51"/>
  <c r="Y44" i="51"/>
  <c r="W44" i="51"/>
  <c r="T43" i="51"/>
  <c r="V43" i="51"/>
  <c r="AA43" i="51"/>
  <c r="Y43" i="51"/>
  <c r="W43" i="51"/>
  <c r="T42" i="51"/>
  <c r="V42" i="51"/>
  <c r="AA42" i="51"/>
  <c r="Y42" i="51"/>
  <c r="W42" i="51"/>
  <c r="T41" i="51"/>
  <c r="V41" i="51"/>
  <c r="AA41" i="51"/>
  <c r="X41" i="51"/>
  <c r="Y41" i="51"/>
  <c r="W41" i="51"/>
  <c r="AA35" i="51"/>
  <c r="W35" i="51"/>
  <c r="M35" i="51"/>
  <c r="N32" i="51"/>
  <c r="I5" i="51"/>
  <c r="M4" i="51"/>
  <c r="P41" i="23"/>
  <c r="S42" i="23"/>
  <c r="O42" i="23"/>
  <c r="P42" i="23"/>
  <c r="S43" i="23"/>
  <c r="O43" i="23"/>
  <c r="P43" i="23"/>
  <c r="S44" i="23"/>
  <c r="O44" i="23"/>
  <c r="P44" i="23"/>
  <c r="S45" i="23"/>
  <c r="O45" i="23"/>
  <c r="P45" i="23"/>
  <c r="S46" i="23"/>
  <c r="O46" i="23"/>
  <c r="P46" i="23"/>
  <c r="S47" i="23"/>
  <c r="O47" i="23"/>
  <c r="P47" i="23"/>
  <c r="S48" i="23"/>
  <c r="O48" i="23"/>
  <c r="P48" i="23"/>
  <c r="S49" i="23"/>
  <c r="O49" i="23"/>
  <c r="P49" i="23"/>
  <c r="S50" i="23"/>
  <c r="O50" i="23"/>
  <c r="P50" i="23"/>
  <c r="S51" i="23"/>
  <c r="O51" i="23"/>
  <c r="P51" i="23"/>
  <c r="S52" i="23"/>
  <c r="O52" i="23"/>
  <c r="P52" i="23"/>
  <c r="S53" i="23"/>
  <c r="O53" i="23"/>
  <c r="P53" i="23"/>
  <c r="S54" i="23"/>
  <c r="O54" i="23"/>
  <c r="P54" i="23"/>
  <c r="S55" i="23"/>
  <c r="O55" i="23"/>
  <c r="P55" i="23"/>
  <c r="S56" i="23"/>
  <c r="O56" i="23"/>
  <c r="P56" i="23"/>
  <c r="S57" i="23"/>
  <c r="O57" i="23"/>
  <c r="P57" i="23"/>
  <c r="S58" i="23"/>
  <c r="O58" i="23"/>
  <c r="P58" i="23"/>
  <c r="S59" i="23"/>
  <c r="O59" i="23"/>
  <c r="P59" i="23"/>
  <c r="S60" i="23"/>
  <c r="O60" i="23"/>
  <c r="P60" i="23"/>
  <c r="S61" i="23"/>
  <c r="O61" i="23"/>
  <c r="P61" i="23"/>
  <c r="S62" i="23"/>
  <c r="O62" i="23"/>
  <c r="P62" i="23"/>
  <c r="S63" i="23"/>
  <c r="O63" i="23"/>
  <c r="P63" i="23"/>
  <c r="S64" i="23"/>
  <c r="O64" i="23"/>
  <c r="P64" i="23"/>
  <c r="S65" i="23"/>
  <c r="O65" i="23"/>
  <c r="P65" i="23"/>
  <c r="X45" i="57"/>
  <c r="X42" i="57"/>
  <c r="W36" i="23"/>
  <c r="W37" i="23"/>
  <c r="W38" i="23"/>
  <c r="W39" i="23"/>
  <c r="X37" i="57"/>
  <c r="X33" i="57"/>
  <c r="P34" i="23"/>
  <c r="P33" i="23"/>
  <c r="P32" i="23"/>
  <c r="P30" i="23"/>
  <c r="P29" i="23"/>
  <c r="P28" i="23"/>
  <c r="P26" i="23"/>
  <c r="P25" i="23"/>
  <c r="P24" i="23"/>
  <c r="P23" i="23"/>
  <c r="P22" i="23"/>
  <c r="P21" i="23"/>
  <c r="P20" i="23"/>
  <c r="P19" i="23"/>
  <c r="P18" i="23"/>
  <c r="P17" i="23"/>
  <c r="P16" i="23"/>
  <c r="P15" i="23"/>
  <c r="P14" i="23"/>
  <c r="P13" i="23"/>
  <c r="P12" i="23"/>
  <c r="P11" i="23"/>
  <c r="P10" i="23"/>
  <c r="P9" i="23"/>
  <c r="P8" i="23"/>
  <c r="P7" i="23"/>
  <c r="P6" i="23"/>
  <c r="P4" i="23"/>
  <c r="X28" i="57"/>
  <c r="U63" i="38"/>
  <c r="U62" i="38"/>
  <c r="X5" i="57"/>
  <c r="Y65" i="23"/>
  <c r="Y64" i="23"/>
  <c r="Y63" i="23"/>
  <c r="Y62" i="23"/>
  <c r="Y61" i="23"/>
  <c r="Y60" i="23"/>
  <c r="Y59" i="23"/>
  <c r="Y58" i="23"/>
  <c r="Y57" i="23"/>
  <c r="Y56" i="23"/>
  <c r="Y55" i="23"/>
  <c r="Y54" i="23"/>
  <c r="Y53" i="23"/>
  <c r="Y52" i="23"/>
  <c r="Y51" i="23"/>
  <c r="Y50" i="23"/>
  <c r="Y49" i="23"/>
  <c r="Y48" i="23"/>
  <c r="Y47" i="23"/>
  <c r="Y46" i="23"/>
  <c r="Y45" i="23"/>
  <c r="Y44" i="23"/>
  <c r="Y43" i="23"/>
  <c r="Y42" i="23"/>
  <c r="T41" i="23"/>
  <c r="V41" i="23"/>
  <c r="X41" i="23"/>
  <c r="Y41" i="23"/>
  <c r="W80" i="38"/>
  <c r="X56" i="38"/>
  <c r="V80" i="38"/>
  <c r="W56" i="38"/>
  <c r="V79" i="38"/>
  <c r="V54" i="38"/>
  <c r="R54" i="38"/>
  <c r="R53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39" i="38"/>
  <c r="R38" i="38"/>
  <c r="R37" i="38"/>
  <c r="R36" i="38"/>
  <c r="R35" i="38"/>
  <c r="R34" i="38"/>
  <c r="R33" i="38"/>
  <c r="R32" i="38"/>
  <c r="R31" i="38"/>
  <c r="R30" i="38"/>
  <c r="R29" i="38"/>
  <c r="R28" i="38"/>
  <c r="R27" i="38"/>
  <c r="R26" i="38"/>
  <c r="R25" i="38"/>
  <c r="R24" i="38"/>
  <c r="R23" i="38"/>
  <c r="R22" i="38"/>
  <c r="R21" i="38"/>
  <c r="R20" i="38"/>
  <c r="R19" i="38"/>
  <c r="R18" i="38"/>
  <c r="R17" i="38"/>
  <c r="R16" i="38"/>
  <c r="R15" i="38"/>
  <c r="R14" i="38"/>
  <c r="R13" i="38"/>
  <c r="R12" i="38"/>
  <c r="R11" i="38"/>
  <c r="R10" i="38"/>
  <c r="R9" i="38"/>
  <c r="R8" i="38"/>
  <c r="R7" i="38"/>
  <c r="R6" i="38"/>
  <c r="R5" i="38"/>
  <c r="W79" i="38"/>
  <c r="V56" i="38"/>
  <c r="V71" i="38"/>
  <c r="V70" i="38"/>
  <c r="V69" i="38"/>
  <c r="U64" i="38"/>
  <c r="R4" i="38"/>
  <c r="N32" i="23"/>
  <c r="H67" i="23"/>
  <c r="I67" i="23"/>
  <c r="F67" i="23"/>
  <c r="D66" i="23"/>
  <c r="D68" i="23"/>
  <c r="E66" i="23"/>
  <c r="E68" i="23"/>
  <c r="F4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8" i="23"/>
  <c r="F29" i="23"/>
  <c r="F30" i="23"/>
  <c r="F31" i="23"/>
  <c r="F32" i="23"/>
  <c r="F33" i="23"/>
  <c r="F34" i="23"/>
  <c r="F36" i="23"/>
  <c r="F37" i="23"/>
  <c r="F38" i="23"/>
  <c r="F39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8" i="23"/>
  <c r="G66" i="23"/>
  <c r="G68" i="23"/>
  <c r="H66" i="23"/>
  <c r="H68" i="23"/>
  <c r="C66" i="23"/>
  <c r="C68" i="23"/>
  <c r="U36" i="7"/>
  <c r="E36" i="7"/>
  <c r="V36" i="7"/>
  <c r="D36" i="7"/>
  <c r="G36" i="7"/>
  <c r="K36" i="7"/>
  <c r="N36" i="7"/>
  <c r="S36" i="7"/>
  <c r="T36" i="7"/>
  <c r="W36" i="7"/>
  <c r="E342" i="34"/>
  <c r="U37" i="7"/>
  <c r="E37" i="7"/>
  <c r="V37" i="7"/>
  <c r="D37" i="7"/>
  <c r="G37" i="7"/>
  <c r="K37" i="7"/>
  <c r="N37" i="7"/>
  <c r="S37" i="7"/>
  <c r="T37" i="7"/>
  <c r="W37" i="7"/>
  <c r="E346" i="34"/>
  <c r="U38" i="7"/>
  <c r="E38" i="7"/>
  <c r="V38" i="7"/>
  <c r="D38" i="7"/>
  <c r="G38" i="7"/>
  <c r="K38" i="7"/>
  <c r="N38" i="7"/>
  <c r="S38" i="7"/>
  <c r="T38" i="7"/>
  <c r="W38" i="7"/>
  <c r="U39" i="7"/>
  <c r="E39" i="7"/>
  <c r="V39" i="7"/>
  <c r="D39" i="7"/>
  <c r="C53" i="5"/>
  <c r="F39" i="7"/>
  <c r="K39" i="7"/>
  <c r="N39" i="7"/>
  <c r="S39" i="7"/>
  <c r="T39" i="7"/>
  <c r="W39" i="7"/>
  <c r="V40" i="57"/>
  <c r="V30" i="57"/>
  <c r="V42" i="57"/>
  <c r="F334" i="34"/>
  <c r="F335" i="34"/>
  <c r="F338" i="34"/>
  <c r="F339" i="34"/>
  <c r="F333" i="34"/>
  <c r="Z36" i="22"/>
  <c r="J36" i="22"/>
  <c r="AA36" i="22"/>
  <c r="H36" i="22"/>
  <c r="D36" i="22"/>
  <c r="E36" i="22"/>
  <c r="F36" i="22"/>
  <c r="I36" i="22"/>
  <c r="L36" i="22"/>
  <c r="P36" i="22"/>
  <c r="S36" i="22"/>
  <c r="X36" i="22"/>
  <c r="Y36" i="22"/>
  <c r="AB36" i="22"/>
  <c r="F344" i="34"/>
  <c r="F345" i="34"/>
  <c r="F342" i="34"/>
  <c r="Z37" i="22"/>
  <c r="J37" i="22"/>
  <c r="AA37" i="22"/>
  <c r="H37" i="22"/>
  <c r="D37" i="22"/>
  <c r="E37" i="22"/>
  <c r="F37" i="22"/>
  <c r="I37" i="22"/>
  <c r="L37" i="22"/>
  <c r="P37" i="22"/>
  <c r="S37" i="22"/>
  <c r="X37" i="22"/>
  <c r="Y37" i="22"/>
  <c r="AB37" i="22"/>
  <c r="F347" i="34"/>
  <c r="F348" i="34"/>
  <c r="F349" i="34"/>
  <c r="F350" i="34"/>
  <c r="F346" i="34"/>
  <c r="Z38" i="22"/>
  <c r="J38" i="22"/>
  <c r="AA38" i="22"/>
  <c r="G38" i="22"/>
  <c r="H38" i="22"/>
  <c r="D38" i="22"/>
  <c r="E38" i="22"/>
  <c r="F38" i="22"/>
  <c r="I38" i="22"/>
  <c r="P38" i="22"/>
  <c r="S38" i="22"/>
  <c r="X38" i="22"/>
  <c r="Y38" i="22"/>
  <c r="AB38" i="22"/>
  <c r="F352" i="34"/>
  <c r="F353" i="34"/>
  <c r="F357" i="34"/>
  <c r="F360" i="34"/>
  <c r="F351" i="34"/>
  <c r="Z39" i="22"/>
  <c r="J39" i="22"/>
  <c r="AA39" i="22"/>
  <c r="G39" i="22"/>
  <c r="H39" i="22"/>
  <c r="D39" i="22"/>
  <c r="E39" i="22"/>
  <c r="F39" i="22"/>
  <c r="I39" i="22"/>
  <c r="L39" i="22"/>
  <c r="P39" i="22"/>
  <c r="S39" i="22"/>
  <c r="X39" i="22"/>
  <c r="Y39" i="22"/>
  <c r="AB39" i="22"/>
  <c r="W40" i="57"/>
  <c r="W30" i="57"/>
  <c r="W42" i="57"/>
  <c r="G41" i="21"/>
  <c r="E41" i="21"/>
  <c r="I41" i="21"/>
  <c r="F41" i="21"/>
  <c r="K41" i="21"/>
  <c r="X41" i="21"/>
  <c r="D41" i="21"/>
  <c r="Y41" i="21"/>
  <c r="I42" i="21"/>
  <c r="F42" i="21"/>
  <c r="K42" i="21"/>
  <c r="L42" i="21"/>
  <c r="X42" i="21"/>
  <c r="D42" i="21"/>
  <c r="Y42" i="21"/>
  <c r="I43" i="21"/>
  <c r="F43" i="21"/>
  <c r="K43" i="21"/>
  <c r="L43" i="21"/>
  <c r="X43" i="21"/>
  <c r="D43" i="21"/>
  <c r="Y43" i="21"/>
  <c r="I44" i="21"/>
  <c r="F44" i="21"/>
  <c r="K44" i="21"/>
  <c r="L44" i="21"/>
  <c r="X44" i="21"/>
  <c r="D44" i="21"/>
  <c r="Y44" i="21"/>
  <c r="I45" i="21"/>
  <c r="F45" i="21"/>
  <c r="K45" i="21"/>
  <c r="L45" i="21"/>
  <c r="X45" i="21"/>
  <c r="D45" i="21"/>
  <c r="Y45" i="21"/>
  <c r="I46" i="21"/>
  <c r="F46" i="21"/>
  <c r="K46" i="21"/>
  <c r="L46" i="21"/>
  <c r="X46" i="21"/>
  <c r="D46" i="21"/>
  <c r="Y46" i="21"/>
  <c r="I47" i="21"/>
  <c r="F47" i="21"/>
  <c r="K47" i="21"/>
  <c r="L47" i="21"/>
  <c r="X47" i="21"/>
  <c r="D47" i="21"/>
  <c r="Y47" i="21"/>
  <c r="I48" i="21"/>
  <c r="E48" i="21"/>
  <c r="F48" i="21"/>
  <c r="K48" i="21"/>
  <c r="L48" i="21"/>
  <c r="X48" i="21"/>
  <c r="D48" i="21"/>
  <c r="Y48" i="21"/>
  <c r="I49" i="21"/>
  <c r="F49" i="21"/>
  <c r="K49" i="21"/>
  <c r="L49" i="21"/>
  <c r="X49" i="21"/>
  <c r="D49" i="21"/>
  <c r="Y49" i="21"/>
  <c r="I50" i="21"/>
  <c r="E50" i="21"/>
  <c r="F50" i="21"/>
  <c r="K50" i="21"/>
  <c r="L50" i="21"/>
  <c r="X50" i="21"/>
  <c r="D50" i="21"/>
  <c r="Y50" i="21"/>
  <c r="I51" i="21"/>
  <c r="F51" i="21"/>
  <c r="K51" i="21"/>
  <c r="L51" i="21"/>
  <c r="X51" i="21"/>
  <c r="D51" i="21"/>
  <c r="Y51" i="21"/>
  <c r="I52" i="21"/>
  <c r="E52" i="21"/>
  <c r="F52" i="21"/>
  <c r="K52" i="21"/>
  <c r="L52" i="21"/>
  <c r="X52" i="21"/>
  <c r="D52" i="21"/>
  <c r="Y52" i="21"/>
  <c r="I53" i="21"/>
  <c r="F53" i="21"/>
  <c r="K53" i="21"/>
  <c r="L53" i="21"/>
  <c r="X53" i="21"/>
  <c r="D53" i="21"/>
  <c r="Y53" i="21"/>
  <c r="I54" i="21"/>
  <c r="F54" i="21"/>
  <c r="K54" i="21"/>
  <c r="L54" i="21"/>
  <c r="X54" i="21"/>
  <c r="D54" i="21"/>
  <c r="Y54" i="21"/>
  <c r="I55" i="21"/>
  <c r="F55" i="21"/>
  <c r="K55" i="21"/>
  <c r="L55" i="21"/>
  <c r="X55" i="21"/>
  <c r="D55" i="21"/>
  <c r="Y55" i="21"/>
  <c r="I56" i="21"/>
  <c r="E56" i="21"/>
  <c r="F56" i="21"/>
  <c r="K56" i="21"/>
  <c r="L56" i="21"/>
  <c r="X56" i="21"/>
  <c r="D56" i="21"/>
  <c r="Y56" i="21"/>
  <c r="I57" i="21"/>
  <c r="F57" i="21"/>
  <c r="K57" i="21"/>
  <c r="L57" i="21"/>
  <c r="X57" i="21"/>
  <c r="D57" i="21"/>
  <c r="Y57" i="21"/>
  <c r="I58" i="21"/>
  <c r="L58" i="21"/>
  <c r="X58" i="21"/>
  <c r="D58" i="21"/>
  <c r="Y58" i="21"/>
  <c r="I59" i="21"/>
  <c r="F59" i="21"/>
  <c r="K59" i="21"/>
  <c r="L59" i="21"/>
  <c r="X59" i="21"/>
  <c r="D59" i="21"/>
  <c r="Y59" i="21"/>
  <c r="I60" i="21"/>
  <c r="E60" i="21"/>
  <c r="F60" i="21"/>
  <c r="K60" i="21"/>
  <c r="L60" i="21"/>
  <c r="X60" i="21"/>
  <c r="D60" i="21"/>
  <c r="Y60" i="21"/>
  <c r="I61" i="21"/>
  <c r="F61" i="21"/>
  <c r="K61" i="21"/>
  <c r="L61" i="21"/>
  <c r="X61" i="21"/>
  <c r="D61" i="21"/>
  <c r="Y61" i="21"/>
  <c r="I62" i="21"/>
  <c r="F62" i="21"/>
  <c r="K62" i="21"/>
  <c r="L62" i="21"/>
  <c r="X62" i="21"/>
  <c r="D62" i="21"/>
  <c r="Y62" i="21"/>
  <c r="I63" i="21"/>
  <c r="E63" i="21"/>
  <c r="F63" i="21"/>
  <c r="K63" i="21"/>
  <c r="L63" i="21"/>
  <c r="X63" i="21"/>
  <c r="D63" i="21"/>
  <c r="Y63" i="21"/>
  <c r="I64" i="21"/>
  <c r="F64" i="21"/>
  <c r="K64" i="21"/>
  <c r="L64" i="21"/>
  <c r="X64" i="21"/>
  <c r="D64" i="21"/>
  <c r="Y64" i="21"/>
  <c r="I65" i="21"/>
  <c r="F65" i="21"/>
  <c r="K65" i="21"/>
  <c r="L65" i="21"/>
  <c r="X65" i="21"/>
  <c r="D65" i="21"/>
  <c r="Y65" i="21"/>
  <c r="U47" i="57"/>
  <c r="U45" i="57"/>
  <c r="U44" i="57"/>
  <c r="D341" i="34"/>
  <c r="D333" i="34"/>
  <c r="U36" i="21"/>
  <c r="E36" i="21"/>
  <c r="V36" i="21"/>
  <c r="D36" i="21"/>
  <c r="G36" i="21"/>
  <c r="K36" i="21"/>
  <c r="N36" i="21"/>
  <c r="S36" i="21"/>
  <c r="T36" i="21"/>
  <c r="W36" i="21"/>
  <c r="D342" i="34"/>
  <c r="U37" i="21"/>
  <c r="E37" i="21"/>
  <c r="V37" i="21"/>
  <c r="D37" i="21"/>
  <c r="G37" i="21"/>
  <c r="K37" i="21"/>
  <c r="N37" i="21"/>
  <c r="S37" i="21"/>
  <c r="T37" i="21"/>
  <c r="W37" i="21"/>
  <c r="D346" i="34"/>
  <c r="U38" i="21"/>
  <c r="E38" i="21"/>
  <c r="V38" i="21"/>
  <c r="D38" i="21"/>
  <c r="G38" i="21"/>
  <c r="K38" i="21"/>
  <c r="N38" i="21"/>
  <c r="S38" i="21"/>
  <c r="T38" i="21"/>
  <c r="W38" i="21"/>
  <c r="D351" i="34"/>
  <c r="U39" i="21"/>
  <c r="E39" i="21"/>
  <c r="V39" i="21"/>
  <c r="D39" i="21"/>
  <c r="F39" i="21"/>
  <c r="K39" i="21"/>
  <c r="N39" i="21"/>
  <c r="S39" i="21"/>
  <c r="T39" i="21"/>
  <c r="W39" i="21"/>
  <c r="U40" i="57"/>
  <c r="U30" i="57"/>
  <c r="U42" i="57"/>
  <c r="I36" i="21"/>
  <c r="X36" i="21"/>
  <c r="Y36" i="21"/>
  <c r="X37" i="21"/>
  <c r="Y37" i="21"/>
  <c r="I38" i="21"/>
  <c r="X38" i="21"/>
  <c r="Y38" i="21"/>
  <c r="I39" i="21"/>
  <c r="X39" i="21"/>
  <c r="Y39" i="21"/>
  <c r="U41" i="57"/>
  <c r="U39" i="57"/>
  <c r="U38" i="57"/>
  <c r="M36" i="21"/>
  <c r="P36" i="21"/>
  <c r="M37" i="21"/>
  <c r="P37" i="21"/>
  <c r="M38" i="21"/>
  <c r="P38" i="21"/>
  <c r="M39" i="21"/>
  <c r="P39" i="21"/>
  <c r="U37" i="57"/>
  <c r="O36" i="21"/>
  <c r="Q36" i="21"/>
  <c r="R36" i="21"/>
  <c r="O37" i="21"/>
  <c r="Q37" i="21"/>
  <c r="R37" i="21"/>
  <c r="O38" i="21"/>
  <c r="Q38" i="21"/>
  <c r="R38" i="21"/>
  <c r="O39" i="21"/>
  <c r="Q39" i="21"/>
  <c r="R39" i="21"/>
  <c r="U36" i="57"/>
  <c r="U35" i="57"/>
  <c r="U34" i="57"/>
  <c r="U33" i="57"/>
  <c r="I80" i="21"/>
  <c r="X29" i="22"/>
  <c r="K92" i="22"/>
  <c r="N65" i="22"/>
  <c r="AC65" i="22"/>
  <c r="N64" i="22"/>
  <c r="AC64" i="22"/>
  <c r="N63" i="22"/>
  <c r="AC63" i="22"/>
  <c r="N62" i="22"/>
  <c r="AC62" i="22"/>
  <c r="N61" i="22"/>
  <c r="AC61" i="22"/>
  <c r="N60" i="22"/>
  <c r="AC60" i="22"/>
  <c r="N59" i="22"/>
  <c r="AC59" i="22"/>
  <c r="N58" i="22"/>
  <c r="AC58" i="22"/>
  <c r="N57" i="22"/>
  <c r="AC57" i="22"/>
  <c r="N56" i="22"/>
  <c r="AC56" i="22"/>
  <c r="N55" i="22"/>
  <c r="AC55" i="22"/>
  <c r="N54" i="22"/>
  <c r="AC54" i="22"/>
  <c r="N53" i="22"/>
  <c r="AC53" i="22"/>
  <c r="N52" i="22"/>
  <c r="AC52" i="22"/>
  <c r="N51" i="22"/>
  <c r="AC51" i="22"/>
  <c r="N50" i="22"/>
  <c r="AC50" i="22"/>
  <c r="N49" i="22"/>
  <c r="AC49" i="22"/>
  <c r="N48" i="22"/>
  <c r="AC48" i="22"/>
  <c r="N47" i="22"/>
  <c r="AC47" i="22"/>
  <c r="N46" i="22"/>
  <c r="AC46" i="22"/>
  <c r="N45" i="22"/>
  <c r="AC45" i="22"/>
  <c r="N44" i="22"/>
  <c r="AC44" i="22"/>
  <c r="N43" i="22"/>
  <c r="AC43" i="22"/>
  <c r="N42" i="22"/>
  <c r="AC42" i="22"/>
  <c r="N41" i="22"/>
  <c r="AC41" i="22"/>
  <c r="G41" i="22"/>
  <c r="H41" i="22"/>
  <c r="D41" i="22"/>
  <c r="E41" i="22"/>
  <c r="F41" i="22"/>
  <c r="I41" i="22"/>
  <c r="AD41" i="22"/>
  <c r="H42" i="22"/>
  <c r="D42" i="22"/>
  <c r="E42" i="22"/>
  <c r="F42" i="22"/>
  <c r="I42" i="22"/>
  <c r="AD42" i="22"/>
  <c r="H43" i="22"/>
  <c r="D43" i="22"/>
  <c r="E43" i="22"/>
  <c r="F43" i="22"/>
  <c r="I43" i="22"/>
  <c r="AD43" i="22"/>
  <c r="G44" i="22"/>
  <c r="H44" i="22"/>
  <c r="D44" i="22"/>
  <c r="E44" i="22"/>
  <c r="F44" i="22"/>
  <c r="I44" i="22"/>
  <c r="AD44" i="22"/>
  <c r="H45" i="22"/>
  <c r="D45" i="22"/>
  <c r="E45" i="22"/>
  <c r="F45" i="22"/>
  <c r="I45" i="22"/>
  <c r="AD45" i="22"/>
  <c r="G46" i="22"/>
  <c r="H46" i="22"/>
  <c r="D46" i="22"/>
  <c r="E46" i="22"/>
  <c r="F46" i="22"/>
  <c r="I46" i="22"/>
  <c r="AD46" i="22"/>
  <c r="H47" i="22"/>
  <c r="D47" i="22"/>
  <c r="E47" i="22"/>
  <c r="F47" i="22"/>
  <c r="I47" i="22"/>
  <c r="AD47" i="22"/>
  <c r="H48" i="22"/>
  <c r="D48" i="22"/>
  <c r="E48" i="22"/>
  <c r="F48" i="22"/>
  <c r="I48" i="22"/>
  <c r="AD48" i="22"/>
  <c r="H49" i="22"/>
  <c r="D49" i="22"/>
  <c r="E49" i="22"/>
  <c r="F49" i="22"/>
  <c r="I49" i="22"/>
  <c r="AD49" i="22"/>
  <c r="H50" i="22"/>
  <c r="D50" i="22"/>
  <c r="E50" i="22"/>
  <c r="F50" i="22"/>
  <c r="I50" i="22"/>
  <c r="AD50" i="22"/>
  <c r="H51" i="22"/>
  <c r="D51" i="22"/>
  <c r="E51" i="22"/>
  <c r="F51" i="22"/>
  <c r="I51" i="22"/>
  <c r="AD51" i="22"/>
  <c r="H52" i="22"/>
  <c r="D52" i="22"/>
  <c r="E52" i="22"/>
  <c r="F52" i="22"/>
  <c r="I52" i="22"/>
  <c r="AD52" i="22"/>
  <c r="H53" i="22"/>
  <c r="D53" i="22"/>
  <c r="E53" i="22"/>
  <c r="F53" i="22"/>
  <c r="I53" i="22"/>
  <c r="AD53" i="22"/>
  <c r="H54" i="22"/>
  <c r="D54" i="22"/>
  <c r="E54" i="22"/>
  <c r="F54" i="22"/>
  <c r="I54" i="22"/>
  <c r="AD54" i="22"/>
  <c r="H55" i="22"/>
  <c r="D55" i="22"/>
  <c r="E55" i="22"/>
  <c r="F55" i="22"/>
  <c r="I55" i="22"/>
  <c r="AD55" i="22"/>
  <c r="H56" i="22"/>
  <c r="D56" i="22"/>
  <c r="E56" i="22"/>
  <c r="F56" i="22"/>
  <c r="I56" i="22"/>
  <c r="AD56" i="22"/>
  <c r="H57" i="22"/>
  <c r="D57" i="22"/>
  <c r="E57" i="22"/>
  <c r="F57" i="22"/>
  <c r="I57" i="22"/>
  <c r="AD57" i="22"/>
  <c r="H58" i="22"/>
  <c r="D58" i="22"/>
  <c r="E58" i="22"/>
  <c r="F58" i="22"/>
  <c r="I58" i="22"/>
  <c r="AD58" i="22"/>
  <c r="H59" i="22"/>
  <c r="D59" i="22"/>
  <c r="E59" i="22"/>
  <c r="F59" i="22"/>
  <c r="I59" i="22"/>
  <c r="AD59" i="22"/>
  <c r="H60" i="22"/>
  <c r="D60" i="22"/>
  <c r="E60" i="22"/>
  <c r="F60" i="22"/>
  <c r="I60" i="22"/>
  <c r="AD60" i="22"/>
  <c r="H61" i="22"/>
  <c r="D61" i="22"/>
  <c r="E61" i="22"/>
  <c r="F61" i="22"/>
  <c r="I61" i="22"/>
  <c r="AD61" i="22"/>
  <c r="H62" i="22"/>
  <c r="D62" i="22"/>
  <c r="E62" i="22"/>
  <c r="F62" i="22"/>
  <c r="I62" i="22"/>
  <c r="AD62" i="22"/>
  <c r="H63" i="22"/>
  <c r="D63" i="22"/>
  <c r="E63" i="22"/>
  <c r="F63" i="22"/>
  <c r="I63" i="22"/>
  <c r="AD63" i="22"/>
  <c r="G64" i="22"/>
  <c r="H64" i="22"/>
  <c r="D64" i="22"/>
  <c r="E64" i="22"/>
  <c r="F64" i="22"/>
  <c r="I64" i="22"/>
  <c r="AD64" i="22"/>
  <c r="H65" i="22"/>
  <c r="D65" i="22"/>
  <c r="E65" i="22"/>
  <c r="F65" i="22"/>
  <c r="I65" i="22"/>
  <c r="AD65" i="22"/>
  <c r="W47" i="57"/>
  <c r="W45" i="57"/>
  <c r="W44" i="57"/>
  <c r="N38" i="22"/>
  <c r="AC38" i="22"/>
  <c r="AD38" i="22"/>
  <c r="I36" i="7"/>
  <c r="N36" i="22"/>
  <c r="AC36" i="22"/>
  <c r="AD36" i="22"/>
  <c r="N37" i="22"/>
  <c r="AC37" i="22"/>
  <c r="AD37" i="22"/>
  <c r="N39" i="22"/>
  <c r="AC39" i="22"/>
  <c r="AD39" i="22"/>
  <c r="W41" i="57"/>
  <c r="W39" i="57"/>
  <c r="W38" i="57"/>
  <c r="R36" i="22"/>
  <c r="U36" i="22"/>
  <c r="R37" i="22"/>
  <c r="U37" i="22"/>
  <c r="R38" i="22"/>
  <c r="U38" i="22"/>
  <c r="R39" i="22"/>
  <c r="U39" i="22"/>
  <c r="W37" i="57"/>
  <c r="T38" i="22"/>
  <c r="V38" i="22"/>
  <c r="W38" i="22"/>
  <c r="T36" i="22"/>
  <c r="V36" i="22"/>
  <c r="W36" i="22"/>
  <c r="T37" i="22"/>
  <c r="V37" i="22"/>
  <c r="W37" i="22"/>
  <c r="T39" i="22"/>
  <c r="V39" i="22"/>
  <c r="W39" i="22"/>
  <c r="W36" i="57"/>
  <c r="W32" i="57"/>
  <c r="W31" i="57"/>
  <c r="Y29" i="22"/>
  <c r="F266" i="34"/>
  <c r="F267" i="34"/>
  <c r="F268" i="34"/>
  <c r="F269" i="34"/>
  <c r="F270" i="34"/>
  <c r="F271" i="34"/>
  <c r="F272" i="34"/>
  <c r="F273" i="34"/>
  <c r="F274" i="34"/>
  <c r="F264" i="34"/>
  <c r="Z29" i="22"/>
  <c r="AA29" i="22"/>
  <c r="AB29" i="22"/>
  <c r="F95" i="34"/>
  <c r="Z6" i="22"/>
  <c r="AA6" i="22"/>
  <c r="X6" i="22"/>
  <c r="Y6" i="22"/>
  <c r="AB6" i="22"/>
  <c r="D104" i="34"/>
  <c r="F104" i="34"/>
  <c r="F103" i="34"/>
  <c r="Z7" i="22"/>
  <c r="AA7" i="22"/>
  <c r="X7" i="22"/>
  <c r="Y7" i="22"/>
  <c r="AB7" i="22"/>
  <c r="F105" i="34"/>
  <c r="Z8" i="22"/>
  <c r="AA8" i="22"/>
  <c r="X8" i="22"/>
  <c r="Y8" i="22"/>
  <c r="AB8" i="22"/>
  <c r="F111" i="34"/>
  <c r="F112" i="34"/>
  <c r="F113" i="34"/>
  <c r="F115" i="34"/>
  <c r="F110" i="34"/>
  <c r="Z9" i="22"/>
  <c r="AA9" i="22"/>
  <c r="X9" i="22"/>
  <c r="Y9" i="22"/>
  <c r="AB9" i="22"/>
  <c r="F117" i="34"/>
  <c r="F118" i="34"/>
  <c r="F116" i="34"/>
  <c r="Z10" i="22"/>
  <c r="AA10" i="22"/>
  <c r="X10" i="22"/>
  <c r="Y10" i="22"/>
  <c r="AB10" i="22"/>
  <c r="F120" i="34"/>
  <c r="F121" i="34"/>
  <c r="F122" i="34"/>
  <c r="F119" i="34"/>
  <c r="Z11" i="22"/>
  <c r="AA11" i="22"/>
  <c r="X11" i="22"/>
  <c r="Y11" i="22"/>
  <c r="AB11" i="22"/>
  <c r="F125" i="34"/>
  <c r="Z12" i="22"/>
  <c r="AA12" i="22"/>
  <c r="X12" i="22"/>
  <c r="Y12" i="22"/>
  <c r="AB12" i="22"/>
  <c r="F128" i="34"/>
  <c r="F129" i="34"/>
  <c r="F132" i="34"/>
  <c r="F138" i="34"/>
  <c r="F139" i="34"/>
  <c r="F140" i="34"/>
  <c r="F127" i="34"/>
  <c r="Z13" i="22"/>
  <c r="AA13" i="22"/>
  <c r="X13" i="22"/>
  <c r="Y13" i="22"/>
  <c r="AB13" i="22"/>
  <c r="F141" i="34"/>
  <c r="Z14" i="22"/>
  <c r="AA14" i="22"/>
  <c r="X14" i="22"/>
  <c r="Y14" i="22"/>
  <c r="AB14" i="22"/>
  <c r="F149" i="34"/>
  <c r="F150" i="34"/>
  <c r="F151" i="34"/>
  <c r="F153" i="34"/>
  <c r="F157" i="34"/>
  <c r="F158" i="34"/>
  <c r="F148" i="34"/>
  <c r="Z15" i="22"/>
  <c r="AA15" i="22"/>
  <c r="X15" i="22"/>
  <c r="Y15" i="22"/>
  <c r="AB15" i="22"/>
  <c r="F159" i="34"/>
  <c r="Z16" i="22"/>
  <c r="AA16" i="22"/>
  <c r="X16" i="22"/>
  <c r="Y16" i="22"/>
  <c r="AB16" i="22"/>
  <c r="F166" i="34"/>
  <c r="F162" i="34"/>
  <c r="Z17" i="22"/>
  <c r="AA17" i="22"/>
  <c r="X17" i="22"/>
  <c r="Y17" i="22"/>
  <c r="AB17" i="22"/>
  <c r="F169" i="34"/>
  <c r="F168" i="34"/>
  <c r="Z18" i="22"/>
  <c r="AA18" i="22"/>
  <c r="X18" i="22"/>
  <c r="Y18" i="22"/>
  <c r="AB18" i="22"/>
  <c r="F175" i="34"/>
  <c r="F176" i="34"/>
  <c r="F174" i="34"/>
  <c r="Z19" i="22"/>
  <c r="AA19" i="22"/>
  <c r="X19" i="22"/>
  <c r="Y19" i="22"/>
  <c r="AB19" i="22"/>
  <c r="F179" i="34"/>
  <c r="F180" i="34"/>
  <c r="F177" i="34"/>
  <c r="Z20" i="22"/>
  <c r="AA20" i="22"/>
  <c r="X20" i="22"/>
  <c r="Y20" i="22"/>
  <c r="AB20" i="22"/>
  <c r="F182" i="34"/>
  <c r="Z21" i="22"/>
  <c r="AA21" i="22"/>
  <c r="X21" i="22"/>
  <c r="Y21" i="22"/>
  <c r="AB21" i="22"/>
  <c r="F185" i="34"/>
  <c r="F187" i="34"/>
  <c r="F184" i="34"/>
  <c r="Z22" i="22"/>
  <c r="AA22" i="22"/>
  <c r="X22" i="22"/>
  <c r="Y22" i="22"/>
  <c r="AB22" i="22"/>
  <c r="C189" i="34"/>
  <c r="D189" i="34"/>
  <c r="E189" i="34"/>
  <c r="F189" i="34"/>
  <c r="F188" i="34"/>
  <c r="Z23" i="22"/>
  <c r="AA23" i="22"/>
  <c r="X23" i="22"/>
  <c r="Y23" i="22"/>
  <c r="AB23" i="22"/>
  <c r="F193" i="34"/>
  <c r="F194" i="34"/>
  <c r="F190" i="34"/>
  <c r="Z24" i="22"/>
  <c r="AA24" i="22"/>
  <c r="X24" i="22"/>
  <c r="Y24" i="22"/>
  <c r="AB24" i="22"/>
  <c r="F198" i="34"/>
  <c r="F199" i="34"/>
  <c r="F200" i="34"/>
  <c r="F201" i="34"/>
  <c r="F204" i="34"/>
  <c r="F195" i="34"/>
  <c r="Z25" i="22"/>
  <c r="AA25" i="22"/>
  <c r="X25" i="22"/>
  <c r="Y25" i="22"/>
  <c r="AB25" i="22"/>
  <c r="F211" i="34"/>
  <c r="F212" i="34"/>
  <c r="F218" i="34"/>
  <c r="F220" i="34"/>
  <c r="E222" i="34"/>
  <c r="F222" i="34"/>
  <c r="F223" i="34"/>
  <c r="F224" i="34"/>
  <c r="F226" i="34"/>
  <c r="F227" i="34"/>
  <c r="F208" i="34"/>
  <c r="Z26" i="22"/>
  <c r="AA26" i="22"/>
  <c r="X26" i="22"/>
  <c r="Y26" i="22"/>
  <c r="AB26" i="22"/>
  <c r="F233" i="34"/>
  <c r="F238" i="34"/>
  <c r="F239" i="34"/>
  <c r="F240" i="34"/>
  <c r="F241" i="34"/>
  <c r="F242" i="34"/>
  <c r="F244" i="34"/>
  <c r="F245" i="34"/>
  <c r="F252" i="34"/>
  <c r="F256" i="34"/>
  <c r="F257" i="34"/>
  <c r="F261" i="34"/>
  <c r="F230" i="34"/>
  <c r="Z28" i="22"/>
  <c r="AA28" i="22"/>
  <c r="X28" i="22"/>
  <c r="Y28" i="22"/>
  <c r="AB28" i="22"/>
  <c r="F277" i="34"/>
  <c r="F279" i="34"/>
  <c r="F281" i="34"/>
  <c r="F275" i="34"/>
  <c r="Z30" i="22"/>
  <c r="AA30" i="22"/>
  <c r="X30" i="22"/>
  <c r="Y30" i="22"/>
  <c r="AB30" i="22"/>
  <c r="F285" i="34"/>
  <c r="F286" i="34"/>
  <c r="F287" i="34"/>
  <c r="F288" i="34"/>
  <c r="F289" i="34"/>
  <c r="F290" i="34"/>
  <c r="F291" i="34"/>
  <c r="F292" i="34"/>
  <c r="F293" i="34"/>
  <c r="F294" i="34"/>
  <c r="F295" i="34"/>
  <c r="F282" i="34"/>
  <c r="Z31" i="22"/>
  <c r="AA31" i="22"/>
  <c r="X31" i="22"/>
  <c r="Y31" i="22"/>
  <c r="AB31" i="22"/>
  <c r="F297" i="34"/>
  <c r="F296" i="34"/>
  <c r="Z32" i="22"/>
  <c r="AA32" i="22"/>
  <c r="X32" i="22"/>
  <c r="Y32" i="22"/>
  <c r="AB32" i="22"/>
  <c r="F299" i="34"/>
  <c r="F311" i="34"/>
  <c r="F312" i="34"/>
  <c r="F317" i="34"/>
  <c r="F323" i="34"/>
  <c r="F325" i="34"/>
  <c r="F298" i="34"/>
  <c r="Z33" i="22"/>
  <c r="AA33" i="22"/>
  <c r="X33" i="22"/>
  <c r="Y33" i="22"/>
  <c r="AB33" i="22"/>
  <c r="F330" i="34"/>
  <c r="Z34" i="22"/>
  <c r="AA34" i="22"/>
  <c r="X34" i="22"/>
  <c r="Y34" i="22"/>
  <c r="AB34" i="22"/>
  <c r="W26" i="57"/>
  <c r="W28" i="57"/>
  <c r="AC29" i="22"/>
  <c r="AD29" i="22"/>
  <c r="AC6" i="22"/>
  <c r="AD6" i="22"/>
  <c r="AC7" i="22"/>
  <c r="AD7" i="22"/>
  <c r="AC8" i="22"/>
  <c r="AD8" i="22"/>
  <c r="AC9" i="22"/>
  <c r="AD9" i="22"/>
  <c r="AC10" i="22"/>
  <c r="AD10" i="22"/>
  <c r="AC11" i="22"/>
  <c r="AD11" i="22"/>
  <c r="AC12" i="22"/>
  <c r="AD12" i="22"/>
  <c r="AC13" i="22"/>
  <c r="AD13" i="22"/>
  <c r="AC14" i="22"/>
  <c r="AD14" i="22"/>
  <c r="AC15" i="22"/>
  <c r="AD15" i="22"/>
  <c r="AC16" i="22"/>
  <c r="AD16" i="22"/>
  <c r="AC17" i="22"/>
  <c r="AD17" i="22"/>
  <c r="AC18" i="22"/>
  <c r="AD18" i="22"/>
  <c r="AC19" i="22"/>
  <c r="AD19" i="22"/>
  <c r="AC20" i="22"/>
  <c r="AD20" i="22"/>
  <c r="AC21" i="22"/>
  <c r="AD21" i="22"/>
  <c r="AC22" i="22"/>
  <c r="AD22" i="22"/>
  <c r="AC23" i="22"/>
  <c r="AD23" i="22"/>
  <c r="AC24" i="22"/>
  <c r="AD24" i="22"/>
  <c r="AC25" i="22"/>
  <c r="AD25" i="22"/>
  <c r="AC26" i="22"/>
  <c r="AD26" i="22"/>
  <c r="AC28" i="22"/>
  <c r="AD28" i="22"/>
  <c r="AC30" i="22"/>
  <c r="AD30" i="22"/>
  <c r="AC31" i="22"/>
  <c r="AD31" i="22"/>
  <c r="AC32" i="22"/>
  <c r="AD32" i="22"/>
  <c r="AC33" i="22"/>
  <c r="AD33" i="22"/>
  <c r="AC34" i="22"/>
  <c r="AD34" i="22"/>
  <c r="W27" i="57"/>
  <c r="W25" i="57"/>
  <c r="W24" i="57"/>
  <c r="W19" i="57"/>
  <c r="W18" i="57"/>
  <c r="W17" i="57"/>
  <c r="W5" i="57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38" i="22"/>
  <c r="L33" i="22"/>
  <c r="L29" i="22"/>
  <c r="L4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39" i="22"/>
  <c r="K38" i="22"/>
  <c r="K37" i="22"/>
  <c r="K36" i="22"/>
  <c r="K34" i="22"/>
  <c r="K32" i="22"/>
  <c r="K31" i="22"/>
  <c r="K30" i="22"/>
  <c r="K29" i="22"/>
  <c r="K28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4" i="22"/>
  <c r="E66" i="22"/>
  <c r="D67" i="22"/>
  <c r="E67" i="22"/>
  <c r="E68" i="22"/>
  <c r="D66" i="22"/>
  <c r="D68" i="22"/>
  <c r="C66" i="22"/>
  <c r="C68" i="22"/>
  <c r="G66" i="22"/>
  <c r="G67" i="22"/>
  <c r="G68" i="22"/>
  <c r="W65" i="22"/>
  <c r="W64" i="22"/>
  <c r="W63" i="22"/>
  <c r="W62" i="22"/>
  <c r="W61" i="22"/>
  <c r="W60" i="22"/>
  <c r="W59" i="22"/>
  <c r="W58" i="22"/>
  <c r="W57" i="22"/>
  <c r="W56" i="22"/>
  <c r="W55" i="22"/>
  <c r="W54" i="22"/>
  <c r="W53" i="22"/>
  <c r="W52" i="22"/>
  <c r="W51" i="22"/>
  <c r="W50" i="22"/>
  <c r="W49" i="22"/>
  <c r="W48" i="22"/>
  <c r="W47" i="22"/>
  <c r="W46" i="22"/>
  <c r="W45" i="22"/>
  <c r="W44" i="22"/>
  <c r="W43" i="22"/>
  <c r="W42" i="22"/>
  <c r="P41" i="22"/>
  <c r="V41" i="22"/>
  <c r="W41" i="22"/>
  <c r="U34" i="7"/>
  <c r="E298" i="34"/>
  <c r="U33" i="7"/>
  <c r="U32" i="7"/>
  <c r="U31" i="7"/>
  <c r="E278" i="34"/>
  <c r="E275" i="34"/>
  <c r="U30" i="7"/>
  <c r="E264" i="34"/>
  <c r="U29" i="7"/>
  <c r="E230" i="34"/>
  <c r="U28" i="7"/>
  <c r="E208" i="34"/>
  <c r="U26" i="7"/>
  <c r="E195" i="34"/>
  <c r="U25" i="7"/>
  <c r="E190" i="34"/>
  <c r="U24" i="7"/>
  <c r="E188" i="34"/>
  <c r="U23" i="7"/>
  <c r="U22" i="7"/>
  <c r="U21" i="7"/>
  <c r="U20" i="7"/>
  <c r="U19" i="7"/>
  <c r="E170" i="34"/>
  <c r="E171" i="34"/>
  <c r="E168" i="34"/>
  <c r="U18" i="7"/>
  <c r="U17" i="7"/>
  <c r="E159" i="34"/>
  <c r="U16" i="7"/>
  <c r="E148" i="34"/>
  <c r="U15" i="7"/>
  <c r="E141" i="34"/>
  <c r="U14" i="7"/>
  <c r="E127" i="34"/>
  <c r="U13" i="7"/>
  <c r="E125" i="34"/>
  <c r="U12" i="7"/>
  <c r="E123" i="34"/>
  <c r="E119" i="34"/>
  <c r="U11" i="7"/>
  <c r="U10" i="7"/>
  <c r="E110" i="34"/>
  <c r="U9" i="7"/>
  <c r="U8" i="7"/>
  <c r="U7" i="7"/>
  <c r="E95" i="34"/>
  <c r="U6" i="7"/>
  <c r="S13" i="70"/>
  <c r="T13" i="70"/>
  <c r="S25" i="70"/>
  <c r="T25" i="70"/>
  <c r="E6" i="70"/>
  <c r="G6" i="70"/>
  <c r="K6" i="70"/>
  <c r="N6" i="70"/>
  <c r="S6" i="70"/>
  <c r="T6" i="70"/>
  <c r="S7" i="70"/>
  <c r="T7" i="70"/>
  <c r="S8" i="70"/>
  <c r="T8" i="70"/>
  <c r="S9" i="70"/>
  <c r="T9" i="70"/>
  <c r="S10" i="70"/>
  <c r="T10" i="70"/>
  <c r="S11" i="70"/>
  <c r="T11" i="70"/>
  <c r="S12" i="70"/>
  <c r="T12" i="70"/>
  <c r="S14" i="70"/>
  <c r="T14" i="70"/>
  <c r="S15" i="70"/>
  <c r="T15" i="70"/>
  <c r="S16" i="70"/>
  <c r="T16" i="70"/>
  <c r="S17" i="70"/>
  <c r="T17" i="70"/>
  <c r="S18" i="70"/>
  <c r="T18" i="70"/>
  <c r="S19" i="70"/>
  <c r="T19" i="70"/>
  <c r="S20" i="70"/>
  <c r="T20" i="70"/>
  <c r="S21" i="70"/>
  <c r="T21" i="70"/>
  <c r="S22" i="70"/>
  <c r="T22" i="70"/>
  <c r="S23" i="70"/>
  <c r="T23" i="70"/>
  <c r="S24" i="70"/>
  <c r="T24" i="70"/>
  <c r="S26" i="70"/>
  <c r="T26" i="70"/>
  <c r="S28" i="70"/>
  <c r="T28" i="70"/>
  <c r="S29" i="70"/>
  <c r="T29" i="70"/>
  <c r="S30" i="70"/>
  <c r="T30" i="70"/>
  <c r="S31" i="70"/>
  <c r="T31" i="70"/>
  <c r="S32" i="70"/>
  <c r="T32" i="70"/>
  <c r="S33" i="70"/>
  <c r="T33" i="70"/>
  <c r="S34" i="70"/>
  <c r="T34" i="70"/>
  <c r="T24" i="57"/>
  <c r="T19" i="57"/>
  <c r="U39" i="70"/>
  <c r="C346" i="34"/>
  <c r="U38" i="70"/>
  <c r="C342" i="34"/>
  <c r="U37" i="70"/>
  <c r="U36" i="70"/>
  <c r="U34" i="70"/>
  <c r="C300" i="34"/>
  <c r="C298" i="34"/>
  <c r="U33" i="70"/>
  <c r="U32" i="70"/>
  <c r="U31" i="70"/>
  <c r="C276" i="34"/>
  <c r="C280" i="34"/>
  <c r="C275" i="34"/>
  <c r="U30" i="70"/>
  <c r="C264" i="34"/>
  <c r="U29" i="70"/>
  <c r="C250" i="34"/>
  <c r="C230" i="34"/>
  <c r="U28" i="70"/>
  <c r="C225" i="34"/>
  <c r="C208" i="34"/>
  <c r="U26" i="70"/>
  <c r="C191" i="34"/>
  <c r="C190" i="34"/>
  <c r="U24" i="70"/>
  <c r="C188" i="34"/>
  <c r="U23" i="70"/>
  <c r="U22" i="70"/>
  <c r="U21" i="70"/>
  <c r="U20" i="70"/>
  <c r="U19" i="70"/>
  <c r="C168" i="34"/>
  <c r="U18" i="70"/>
  <c r="U17" i="70"/>
  <c r="C159" i="34"/>
  <c r="U16" i="70"/>
  <c r="C152" i="34"/>
  <c r="C148" i="34"/>
  <c r="U15" i="70"/>
  <c r="C141" i="34"/>
  <c r="U14" i="70"/>
  <c r="C125" i="34"/>
  <c r="U12" i="70"/>
  <c r="C119" i="34"/>
  <c r="U11" i="70"/>
  <c r="U10" i="70"/>
  <c r="C114" i="34"/>
  <c r="C110" i="34"/>
  <c r="U9" i="70"/>
  <c r="U8" i="70"/>
  <c r="U7" i="70"/>
  <c r="U6" i="70"/>
  <c r="G41" i="7"/>
  <c r="E41" i="7"/>
  <c r="I41" i="7"/>
  <c r="F41" i="7"/>
  <c r="K41" i="7"/>
  <c r="X41" i="7"/>
  <c r="D41" i="7"/>
  <c r="Y41" i="7"/>
  <c r="I42" i="7"/>
  <c r="F42" i="7"/>
  <c r="K42" i="7"/>
  <c r="L42" i="7"/>
  <c r="X42" i="7"/>
  <c r="D42" i="7"/>
  <c r="Y42" i="7"/>
  <c r="I43" i="7"/>
  <c r="F43" i="7"/>
  <c r="K43" i="7"/>
  <c r="L43" i="7"/>
  <c r="X43" i="7"/>
  <c r="D43" i="7"/>
  <c r="Y43" i="7"/>
  <c r="I44" i="7"/>
  <c r="F44" i="7"/>
  <c r="K44" i="7"/>
  <c r="L44" i="7"/>
  <c r="X44" i="7"/>
  <c r="D44" i="7"/>
  <c r="Y44" i="7"/>
  <c r="I45" i="7"/>
  <c r="F45" i="7"/>
  <c r="K45" i="7"/>
  <c r="L45" i="7"/>
  <c r="X45" i="7"/>
  <c r="D45" i="7"/>
  <c r="Y45" i="7"/>
  <c r="I46" i="7"/>
  <c r="F46" i="7"/>
  <c r="K46" i="7"/>
  <c r="L46" i="7"/>
  <c r="X46" i="7"/>
  <c r="D46" i="7"/>
  <c r="Y46" i="7"/>
  <c r="I47" i="7"/>
  <c r="F47" i="7"/>
  <c r="K47" i="7"/>
  <c r="L47" i="7"/>
  <c r="X47" i="7"/>
  <c r="D47" i="7"/>
  <c r="Y47" i="7"/>
  <c r="I48" i="7"/>
  <c r="E48" i="7"/>
  <c r="F48" i="7"/>
  <c r="K48" i="7"/>
  <c r="L48" i="7"/>
  <c r="X48" i="7"/>
  <c r="D48" i="7"/>
  <c r="Y48" i="7"/>
  <c r="I49" i="7"/>
  <c r="F49" i="7"/>
  <c r="K49" i="7"/>
  <c r="L49" i="7"/>
  <c r="X49" i="7"/>
  <c r="D49" i="7"/>
  <c r="Y49" i="7"/>
  <c r="I50" i="7"/>
  <c r="E50" i="7"/>
  <c r="F50" i="7"/>
  <c r="K50" i="7"/>
  <c r="L50" i="7"/>
  <c r="X50" i="7"/>
  <c r="D50" i="7"/>
  <c r="Y50" i="7"/>
  <c r="I51" i="7"/>
  <c r="F51" i="7"/>
  <c r="K51" i="7"/>
  <c r="L51" i="7"/>
  <c r="X51" i="7"/>
  <c r="D51" i="7"/>
  <c r="Y51" i="7"/>
  <c r="I52" i="7"/>
  <c r="E52" i="7"/>
  <c r="F52" i="7"/>
  <c r="K52" i="7"/>
  <c r="L52" i="7"/>
  <c r="X52" i="7"/>
  <c r="D52" i="7"/>
  <c r="Y52" i="7"/>
  <c r="I53" i="7"/>
  <c r="F53" i="7"/>
  <c r="K53" i="7"/>
  <c r="L53" i="7"/>
  <c r="X53" i="7"/>
  <c r="D53" i="7"/>
  <c r="Y53" i="7"/>
  <c r="I54" i="7"/>
  <c r="F54" i="7"/>
  <c r="K54" i="7"/>
  <c r="L54" i="7"/>
  <c r="X54" i="7"/>
  <c r="D54" i="7"/>
  <c r="Y54" i="7"/>
  <c r="I55" i="7"/>
  <c r="F55" i="7"/>
  <c r="K55" i="7"/>
  <c r="L55" i="7"/>
  <c r="X55" i="7"/>
  <c r="D55" i="7"/>
  <c r="Y55" i="7"/>
  <c r="I56" i="7"/>
  <c r="E56" i="7"/>
  <c r="F56" i="7"/>
  <c r="K56" i="7"/>
  <c r="L56" i="7"/>
  <c r="X56" i="7"/>
  <c r="D56" i="7"/>
  <c r="Y56" i="7"/>
  <c r="I57" i="7"/>
  <c r="F57" i="7"/>
  <c r="K57" i="7"/>
  <c r="L57" i="7"/>
  <c r="X57" i="7"/>
  <c r="D57" i="7"/>
  <c r="Y57" i="7"/>
  <c r="I58" i="7"/>
  <c r="L58" i="7"/>
  <c r="X58" i="7"/>
  <c r="D58" i="7"/>
  <c r="Y58" i="7"/>
  <c r="I59" i="7"/>
  <c r="F59" i="7"/>
  <c r="K59" i="7"/>
  <c r="L59" i="7"/>
  <c r="X59" i="7"/>
  <c r="D59" i="7"/>
  <c r="Y59" i="7"/>
  <c r="I60" i="7"/>
  <c r="E60" i="7"/>
  <c r="F60" i="7"/>
  <c r="K60" i="7"/>
  <c r="L60" i="7"/>
  <c r="X60" i="7"/>
  <c r="D60" i="7"/>
  <c r="Y60" i="7"/>
  <c r="I61" i="7"/>
  <c r="F61" i="7"/>
  <c r="K61" i="7"/>
  <c r="L61" i="7"/>
  <c r="X61" i="7"/>
  <c r="D61" i="7"/>
  <c r="Y61" i="7"/>
  <c r="I62" i="7"/>
  <c r="F62" i="7"/>
  <c r="K62" i="7"/>
  <c r="L62" i="7"/>
  <c r="X62" i="7"/>
  <c r="D62" i="7"/>
  <c r="Y62" i="7"/>
  <c r="I63" i="7"/>
  <c r="E63" i="7"/>
  <c r="F63" i="7"/>
  <c r="K63" i="7"/>
  <c r="L63" i="7"/>
  <c r="X63" i="7"/>
  <c r="D63" i="7"/>
  <c r="Y63" i="7"/>
  <c r="I64" i="7"/>
  <c r="F64" i="7"/>
  <c r="K64" i="7"/>
  <c r="L64" i="7"/>
  <c r="X64" i="7"/>
  <c r="D64" i="7"/>
  <c r="Y64" i="7"/>
  <c r="I65" i="7"/>
  <c r="F65" i="7"/>
  <c r="K65" i="7"/>
  <c r="L65" i="7"/>
  <c r="X65" i="7"/>
  <c r="D65" i="7"/>
  <c r="Y65" i="7"/>
  <c r="V47" i="57"/>
  <c r="V45" i="57"/>
  <c r="V44" i="57"/>
  <c r="X36" i="7"/>
  <c r="Y36" i="7"/>
  <c r="X37" i="7"/>
  <c r="Y37" i="7"/>
  <c r="I38" i="7"/>
  <c r="X38" i="7"/>
  <c r="Y38" i="7"/>
  <c r="I39" i="7"/>
  <c r="X39" i="7"/>
  <c r="Y39" i="7"/>
  <c r="V41" i="57"/>
  <c r="V39" i="57"/>
  <c r="V38" i="57"/>
  <c r="M36" i="7"/>
  <c r="O36" i="7"/>
  <c r="Q36" i="7"/>
  <c r="R36" i="7"/>
  <c r="M37" i="7"/>
  <c r="O37" i="7"/>
  <c r="Q37" i="7"/>
  <c r="R37" i="7"/>
  <c r="M38" i="7"/>
  <c r="O38" i="7"/>
  <c r="Q38" i="7"/>
  <c r="R38" i="7"/>
  <c r="M39" i="7"/>
  <c r="O39" i="7"/>
  <c r="Q39" i="7"/>
  <c r="R39" i="7"/>
  <c r="V37" i="57"/>
  <c r="V36" i="57"/>
  <c r="V35" i="57"/>
  <c r="V32" i="57"/>
  <c r="V31" i="57"/>
  <c r="V6" i="7"/>
  <c r="S6" i="7"/>
  <c r="T6" i="7"/>
  <c r="W6" i="7"/>
  <c r="V7" i="7"/>
  <c r="S7" i="7"/>
  <c r="T7" i="7"/>
  <c r="W7" i="7"/>
  <c r="V8" i="7"/>
  <c r="S8" i="7"/>
  <c r="T8" i="7"/>
  <c r="W8" i="7"/>
  <c r="V9" i="7"/>
  <c r="S9" i="7"/>
  <c r="T9" i="7"/>
  <c r="W9" i="7"/>
  <c r="V10" i="7"/>
  <c r="S10" i="7"/>
  <c r="T10" i="7"/>
  <c r="W10" i="7"/>
  <c r="V11" i="7"/>
  <c r="S11" i="7"/>
  <c r="T11" i="7"/>
  <c r="W11" i="7"/>
  <c r="V12" i="7"/>
  <c r="S12" i="7"/>
  <c r="T12" i="7"/>
  <c r="W12" i="7"/>
  <c r="V13" i="7"/>
  <c r="S13" i="7"/>
  <c r="T13" i="7"/>
  <c r="W13" i="7"/>
  <c r="V14" i="7"/>
  <c r="S14" i="7"/>
  <c r="T14" i="7"/>
  <c r="W14" i="7"/>
  <c r="V15" i="7"/>
  <c r="S15" i="7"/>
  <c r="T15" i="7"/>
  <c r="W15" i="7"/>
  <c r="V16" i="7"/>
  <c r="S16" i="7"/>
  <c r="T16" i="7"/>
  <c r="W16" i="7"/>
  <c r="V17" i="7"/>
  <c r="S17" i="7"/>
  <c r="T17" i="7"/>
  <c r="W17" i="7"/>
  <c r="V18" i="7"/>
  <c r="S18" i="7"/>
  <c r="T18" i="7"/>
  <c r="W18" i="7"/>
  <c r="V19" i="7"/>
  <c r="S19" i="7"/>
  <c r="T19" i="7"/>
  <c r="W19" i="7"/>
  <c r="V20" i="7"/>
  <c r="S20" i="7"/>
  <c r="T20" i="7"/>
  <c r="W20" i="7"/>
  <c r="V21" i="7"/>
  <c r="S21" i="7"/>
  <c r="T21" i="7"/>
  <c r="W21" i="7"/>
  <c r="V22" i="7"/>
  <c r="S22" i="7"/>
  <c r="T22" i="7"/>
  <c r="W22" i="7"/>
  <c r="V23" i="7"/>
  <c r="S23" i="7"/>
  <c r="T23" i="7"/>
  <c r="W23" i="7"/>
  <c r="V24" i="7"/>
  <c r="S24" i="7"/>
  <c r="T24" i="7"/>
  <c r="W24" i="7"/>
  <c r="V25" i="7"/>
  <c r="S25" i="7"/>
  <c r="T25" i="7"/>
  <c r="W25" i="7"/>
  <c r="V26" i="7"/>
  <c r="S26" i="7"/>
  <c r="T26" i="7"/>
  <c r="W26" i="7"/>
  <c r="V28" i="7"/>
  <c r="S28" i="7"/>
  <c r="T28" i="7"/>
  <c r="W28" i="7"/>
  <c r="V29" i="7"/>
  <c r="S29" i="7"/>
  <c r="T29" i="7"/>
  <c r="W29" i="7"/>
  <c r="V30" i="7"/>
  <c r="S30" i="7"/>
  <c r="T30" i="7"/>
  <c r="W30" i="7"/>
  <c r="V31" i="7"/>
  <c r="S31" i="7"/>
  <c r="T31" i="7"/>
  <c r="W31" i="7"/>
  <c r="V32" i="7"/>
  <c r="S32" i="7"/>
  <c r="T32" i="7"/>
  <c r="W32" i="7"/>
  <c r="V33" i="7"/>
  <c r="S33" i="7"/>
  <c r="T33" i="7"/>
  <c r="W33" i="7"/>
  <c r="V34" i="7"/>
  <c r="S34" i="7"/>
  <c r="T34" i="7"/>
  <c r="W34" i="7"/>
  <c r="V26" i="57"/>
  <c r="V28" i="57"/>
  <c r="X6" i="7"/>
  <c r="Y6" i="7"/>
  <c r="X7" i="7"/>
  <c r="Y7" i="7"/>
  <c r="X8" i="7"/>
  <c r="Y8" i="7"/>
  <c r="X9" i="7"/>
  <c r="Y9" i="7"/>
  <c r="X10" i="7"/>
  <c r="Y10" i="7"/>
  <c r="X11" i="7"/>
  <c r="Y11" i="7"/>
  <c r="X12" i="7"/>
  <c r="Y12" i="7"/>
  <c r="X13" i="7"/>
  <c r="Y13" i="7"/>
  <c r="X14" i="7"/>
  <c r="Y14" i="7"/>
  <c r="X15" i="7"/>
  <c r="Y15" i="7"/>
  <c r="X16" i="7"/>
  <c r="Y16" i="7"/>
  <c r="X17" i="7"/>
  <c r="Y17" i="7"/>
  <c r="X18" i="7"/>
  <c r="Y18" i="7"/>
  <c r="X19" i="7"/>
  <c r="Y19" i="7"/>
  <c r="X20" i="7"/>
  <c r="Y20" i="7"/>
  <c r="X21" i="7"/>
  <c r="Y21" i="7"/>
  <c r="X22" i="7"/>
  <c r="Y22" i="7"/>
  <c r="X23" i="7"/>
  <c r="Y23" i="7"/>
  <c r="X24" i="7"/>
  <c r="Y24" i="7"/>
  <c r="X25" i="7"/>
  <c r="Y25" i="7"/>
  <c r="X26" i="7"/>
  <c r="Y26" i="7"/>
  <c r="X28" i="7"/>
  <c r="Y28" i="7"/>
  <c r="X29" i="7"/>
  <c r="Y29" i="7"/>
  <c r="X30" i="7"/>
  <c r="Y30" i="7"/>
  <c r="X31" i="7"/>
  <c r="Y31" i="7"/>
  <c r="X32" i="7"/>
  <c r="Y32" i="7"/>
  <c r="X33" i="7"/>
  <c r="Y33" i="7"/>
  <c r="X34" i="7"/>
  <c r="Y34" i="7"/>
  <c r="V27" i="57"/>
  <c r="V25" i="57"/>
  <c r="V24" i="57"/>
  <c r="V21" i="57"/>
  <c r="N27" i="7"/>
  <c r="V20" i="57"/>
  <c r="V19" i="57"/>
  <c r="V18" i="57"/>
  <c r="V17" i="57"/>
  <c r="V5" i="57"/>
  <c r="R4" i="50"/>
  <c r="R7" i="50"/>
  <c r="R8" i="50"/>
  <c r="R9" i="50"/>
  <c r="R10" i="50"/>
  <c r="R11" i="50"/>
  <c r="R12" i="50"/>
  <c r="R13" i="50"/>
  <c r="R14" i="50"/>
  <c r="R15" i="50"/>
  <c r="R16" i="50"/>
  <c r="R17" i="50"/>
  <c r="R18" i="50"/>
  <c r="R19" i="50"/>
  <c r="R20" i="50"/>
  <c r="R21" i="50"/>
  <c r="R22" i="50"/>
  <c r="R23" i="50"/>
  <c r="R24" i="50"/>
  <c r="R25" i="50"/>
  <c r="R26" i="50"/>
  <c r="R27" i="50"/>
  <c r="R28" i="50"/>
  <c r="R29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R45" i="50"/>
  <c r="R46" i="50"/>
  <c r="R47" i="50"/>
  <c r="R48" i="50"/>
  <c r="R49" i="50"/>
  <c r="R50" i="50"/>
  <c r="R51" i="50"/>
  <c r="R52" i="50"/>
  <c r="R53" i="50"/>
  <c r="R54" i="50"/>
  <c r="R5" i="50"/>
  <c r="R6" i="50"/>
  <c r="R55" i="50"/>
  <c r="R56" i="50"/>
  <c r="S4" i="49"/>
  <c r="S7" i="49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" i="49"/>
  <c r="S6" i="49"/>
  <c r="S55" i="49"/>
  <c r="S56" i="49"/>
  <c r="T4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" i="49"/>
  <c r="T6" i="49"/>
  <c r="T56" i="49"/>
  <c r="S4" i="50"/>
  <c r="S5" i="50"/>
  <c r="S6" i="50"/>
  <c r="S7" i="50"/>
  <c r="S8" i="50"/>
  <c r="S9" i="50"/>
  <c r="S10" i="50"/>
  <c r="S11" i="50"/>
  <c r="S12" i="50"/>
  <c r="S13" i="50"/>
  <c r="S14" i="50"/>
  <c r="S15" i="50"/>
  <c r="S16" i="50"/>
  <c r="D17" i="50"/>
  <c r="S17" i="50"/>
  <c r="S18" i="50"/>
  <c r="S19" i="50"/>
  <c r="S20" i="50"/>
  <c r="S21" i="50"/>
  <c r="S22" i="50"/>
  <c r="S23" i="50"/>
  <c r="S24" i="50"/>
  <c r="S25" i="50"/>
  <c r="S26" i="50"/>
  <c r="S27" i="50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46" i="50"/>
  <c r="S47" i="50"/>
  <c r="S48" i="50"/>
  <c r="S49" i="50"/>
  <c r="S50" i="50"/>
  <c r="S51" i="50"/>
  <c r="S52" i="50"/>
  <c r="S53" i="50"/>
  <c r="R77" i="50"/>
  <c r="Q77" i="50"/>
  <c r="R76" i="50"/>
  <c r="Q76" i="50"/>
  <c r="G57" i="50"/>
  <c r="G58" i="50"/>
  <c r="Q56" i="50"/>
  <c r="F56" i="50"/>
  <c r="M54" i="50"/>
  <c r="A5" i="50"/>
  <c r="A6" i="50"/>
  <c r="A7" i="50"/>
  <c r="A8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M53" i="50"/>
  <c r="M52" i="50"/>
  <c r="M51" i="50"/>
  <c r="M50" i="50"/>
  <c r="M49" i="50"/>
  <c r="M48" i="50"/>
  <c r="M47" i="50"/>
  <c r="M46" i="50"/>
  <c r="M45" i="50"/>
  <c r="M44" i="50"/>
  <c r="M43" i="50"/>
  <c r="M42" i="50"/>
  <c r="M41" i="50"/>
  <c r="M40" i="50"/>
  <c r="M39" i="50"/>
  <c r="M38" i="50"/>
  <c r="M37" i="50"/>
  <c r="M36" i="50"/>
  <c r="M35" i="50"/>
  <c r="M34" i="50"/>
  <c r="M33" i="50"/>
  <c r="M32" i="50"/>
  <c r="M31" i="50"/>
  <c r="M30" i="50"/>
  <c r="M29" i="50"/>
  <c r="M28" i="50"/>
  <c r="M27" i="50"/>
  <c r="M26" i="50"/>
  <c r="M25" i="50"/>
  <c r="M24" i="50"/>
  <c r="M23" i="50"/>
  <c r="M22" i="50"/>
  <c r="M21" i="50"/>
  <c r="M20" i="50"/>
  <c r="M19" i="50"/>
  <c r="M18" i="50"/>
  <c r="M17" i="50"/>
  <c r="M16" i="50"/>
  <c r="M15" i="50"/>
  <c r="M14" i="50"/>
  <c r="M13" i="50"/>
  <c r="M12" i="50"/>
  <c r="M11" i="50"/>
  <c r="M10" i="50"/>
  <c r="M9" i="50"/>
  <c r="M8" i="50"/>
  <c r="M7" i="50"/>
  <c r="M6" i="50"/>
  <c r="M5" i="50"/>
  <c r="M4" i="50"/>
  <c r="F58" i="7"/>
  <c r="F38" i="7"/>
  <c r="F37" i="7"/>
  <c r="F36" i="7"/>
  <c r="F34" i="7"/>
  <c r="F33" i="7"/>
  <c r="F32" i="7"/>
  <c r="F31" i="7"/>
  <c r="F30" i="7"/>
  <c r="F29" i="7"/>
  <c r="F28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4" i="7"/>
  <c r="F58" i="21"/>
  <c r="F38" i="21"/>
  <c r="F37" i="21"/>
  <c r="F36" i="21"/>
  <c r="F34" i="21"/>
  <c r="F33" i="21"/>
  <c r="F32" i="21"/>
  <c r="F31" i="21"/>
  <c r="F30" i="21"/>
  <c r="F29" i="21"/>
  <c r="F28" i="21"/>
  <c r="F26" i="21"/>
  <c r="F4" i="21"/>
  <c r="D67" i="7"/>
  <c r="H70" i="7"/>
  <c r="H71" i="7"/>
  <c r="H72" i="7"/>
  <c r="H73" i="7"/>
  <c r="H74" i="7"/>
  <c r="D66" i="7"/>
  <c r="D68" i="7"/>
  <c r="T65" i="7"/>
  <c r="R65" i="7"/>
  <c r="M65" i="7"/>
  <c r="P65" i="7"/>
  <c r="O65" i="7"/>
  <c r="G6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8" i="7"/>
  <c r="A29" i="7"/>
  <c r="A30" i="7"/>
  <c r="A31" i="7"/>
  <c r="A32" i="7"/>
  <c r="A33" i="7"/>
  <c r="A34" i="7"/>
  <c r="A36" i="7"/>
  <c r="A37" i="7"/>
  <c r="A38" i="7"/>
  <c r="A39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T64" i="7"/>
  <c r="R64" i="7"/>
  <c r="M64" i="7"/>
  <c r="P64" i="7"/>
  <c r="O64" i="7"/>
  <c r="G64" i="7"/>
  <c r="T63" i="7"/>
  <c r="R63" i="7"/>
  <c r="M63" i="7"/>
  <c r="P63" i="7"/>
  <c r="O63" i="7"/>
  <c r="G63" i="7"/>
  <c r="T62" i="7"/>
  <c r="R62" i="7"/>
  <c r="M62" i="7"/>
  <c r="P62" i="7"/>
  <c r="O62" i="7"/>
  <c r="G62" i="7"/>
  <c r="T61" i="7"/>
  <c r="R61" i="7"/>
  <c r="M61" i="7"/>
  <c r="P61" i="7"/>
  <c r="O61" i="7"/>
  <c r="G61" i="7"/>
  <c r="T60" i="7"/>
  <c r="R60" i="7"/>
  <c r="M60" i="7"/>
  <c r="P60" i="7"/>
  <c r="O60" i="7"/>
  <c r="G60" i="7"/>
  <c r="T59" i="7"/>
  <c r="R59" i="7"/>
  <c r="M59" i="7"/>
  <c r="P59" i="7"/>
  <c r="O59" i="7"/>
  <c r="G59" i="7"/>
  <c r="R58" i="7"/>
  <c r="M58" i="7"/>
  <c r="P58" i="7"/>
  <c r="O58" i="7"/>
  <c r="G58" i="7"/>
  <c r="T57" i="7"/>
  <c r="R57" i="7"/>
  <c r="M57" i="7"/>
  <c r="P57" i="7"/>
  <c r="O57" i="7"/>
  <c r="G57" i="7"/>
  <c r="T56" i="7"/>
  <c r="R56" i="7"/>
  <c r="M56" i="7"/>
  <c r="P56" i="7"/>
  <c r="O56" i="7"/>
  <c r="G56" i="7"/>
  <c r="T55" i="7"/>
  <c r="R55" i="7"/>
  <c r="M55" i="7"/>
  <c r="P55" i="7"/>
  <c r="O55" i="7"/>
  <c r="G55" i="7"/>
  <c r="T54" i="7"/>
  <c r="R54" i="7"/>
  <c r="M54" i="7"/>
  <c r="P54" i="7"/>
  <c r="O54" i="7"/>
  <c r="G54" i="7"/>
  <c r="T53" i="7"/>
  <c r="R53" i="7"/>
  <c r="M53" i="7"/>
  <c r="P53" i="7"/>
  <c r="O53" i="7"/>
  <c r="G53" i="7"/>
  <c r="T52" i="7"/>
  <c r="R52" i="7"/>
  <c r="M52" i="7"/>
  <c r="P52" i="7"/>
  <c r="O52" i="7"/>
  <c r="G52" i="7"/>
  <c r="T51" i="7"/>
  <c r="R51" i="7"/>
  <c r="M51" i="7"/>
  <c r="P51" i="7"/>
  <c r="O51" i="7"/>
  <c r="G51" i="7"/>
  <c r="T50" i="7"/>
  <c r="R50" i="7"/>
  <c r="M50" i="7"/>
  <c r="P50" i="7"/>
  <c r="O50" i="7"/>
  <c r="G50" i="7"/>
  <c r="T49" i="7"/>
  <c r="R49" i="7"/>
  <c r="M49" i="7"/>
  <c r="P49" i="7"/>
  <c r="O49" i="7"/>
  <c r="G49" i="7"/>
  <c r="T48" i="7"/>
  <c r="R48" i="7"/>
  <c r="M48" i="7"/>
  <c r="P48" i="7"/>
  <c r="O48" i="7"/>
  <c r="G48" i="7"/>
  <c r="T47" i="7"/>
  <c r="R47" i="7"/>
  <c r="M47" i="7"/>
  <c r="P47" i="7"/>
  <c r="O47" i="7"/>
  <c r="G47" i="7"/>
  <c r="T46" i="7"/>
  <c r="R46" i="7"/>
  <c r="M46" i="7"/>
  <c r="P46" i="7"/>
  <c r="O46" i="7"/>
  <c r="G46" i="7"/>
  <c r="T45" i="7"/>
  <c r="R45" i="7"/>
  <c r="M45" i="7"/>
  <c r="P45" i="7"/>
  <c r="O45" i="7"/>
  <c r="G45" i="7"/>
  <c r="T44" i="7"/>
  <c r="R44" i="7"/>
  <c r="M44" i="7"/>
  <c r="P44" i="7"/>
  <c r="O44" i="7"/>
  <c r="G44" i="7"/>
  <c r="T43" i="7"/>
  <c r="R43" i="7"/>
  <c r="M43" i="7"/>
  <c r="P43" i="7"/>
  <c r="O43" i="7"/>
  <c r="G43" i="7"/>
  <c r="T42" i="7"/>
  <c r="R42" i="7"/>
  <c r="M42" i="7"/>
  <c r="P42" i="7"/>
  <c r="O42" i="7"/>
  <c r="G42" i="7"/>
  <c r="T41" i="7"/>
  <c r="M41" i="7"/>
  <c r="O41" i="7"/>
  <c r="Q41" i="7"/>
  <c r="R41" i="7"/>
  <c r="P41" i="7"/>
  <c r="P39" i="7"/>
  <c r="G39" i="7"/>
  <c r="P38" i="7"/>
  <c r="P37" i="7"/>
  <c r="P36" i="7"/>
  <c r="M35" i="7"/>
  <c r="P35" i="7"/>
  <c r="N35" i="7"/>
  <c r="O35" i="7"/>
  <c r="G29" i="7"/>
  <c r="O27" i="7"/>
  <c r="O4" i="7"/>
  <c r="K4" i="7"/>
  <c r="G4" i="7"/>
  <c r="S1" i="7"/>
  <c r="I41" i="70"/>
  <c r="E41" i="70"/>
  <c r="F41" i="70"/>
  <c r="K41" i="70"/>
  <c r="X41" i="70"/>
  <c r="D41" i="70"/>
  <c r="Y41" i="70"/>
  <c r="I42" i="70"/>
  <c r="F42" i="70"/>
  <c r="K42" i="70"/>
  <c r="X42" i="70"/>
  <c r="D42" i="70"/>
  <c r="Y42" i="70"/>
  <c r="I43" i="70"/>
  <c r="F43" i="70"/>
  <c r="K43" i="70"/>
  <c r="X43" i="70"/>
  <c r="D43" i="70"/>
  <c r="Y43" i="70"/>
  <c r="I44" i="70"/>
  <c r="F44" i="70"/>
  <c r="K44" i="70"/>
  <c r="X44" i="70"/>
  <c r="D44" i="70"/>
  <c r="Y44" i="70"/>
  <c r="I45" i="70"/>
  <c r="F45" i="70"/>
  <c r="K45" i="70"/>
  <c r="X45" i="70"/>
  <c r="D45" i="70"/>
  <c r="Y45" i="70"/>
  <c r="I46" i="70"/>
  <c r="F46" i="70"/>
  <c r="K46" i="70"/>
  <c r="X46" i="70"/>
  <c r="D46" i="70"/>
  <c r="Y46" i="70"/>
  <c r="I47" i="70"/>
  <c r="F47" i="70"/>
  <c r="K47" i="70"/>
  <c r="X47" i="70"/>
  <c r="D47" i="70"/>
  <c r="Y47" i="70"/>
  <c r="I48" i="70"/>
  <c r="E48" i="70"/>
  <c r="F48" i="70"/>
  <c r="K48" i="70"/>
  <c r="X48" i="70"/>
  <c r="D48" i="70"/>
  <c r="Y48" i="70"/>
  <c r="I49" i="70"/>
  <c r="F49" i="70"/>
  <c r="K49" i="70"/>
  <c r="L49" i="70"/>
  <c r="X49" i="70"/>
  <c r="D49" i="70"/>
  <c r="Y49" i="70"/>
  <c r="I50" i="70"/>
  <c r="E50" i="70"/>
  <c r="F50" i="70"/>
  <c r="K50" i="70"/>
  <c r="L50" i="70"/>
  <c r="X50" i="70"/>
  <c r="D50" i="70"/>
  <c r="Y50" i="70"/>
  <c r="I51" i="70"/>
  <c r="F51" i="70"/>
  <c r="K51" i="70"/>
  <c r="L51" i="70"/>
  <c r="X51" i="70"/>
  <c r="D51" i="70"/>
  <c r="Y51" i="70"/>
  <c r="I52" i="70"/>
  <c r="E52" i="70"/>
  <c r="F52" i="70"/>
  <c r="K52" i="70"/>
  <c r="L52" i="70"/>
  <c r="X52" i="70"/>
  <c r="D52" i="70"/>
  <c r="Y52" i="70"/>
  <c r="I53" i="70"/>
  <c r="F53" i="70"/>
  <c r="K53" i="70"/>
  <c r="L53" i="70"/>
  <c r="X53" i="70"/>
  <c r="D53" i="70"/>
  <c r="Y53" i="70"/>
  <c r="I54" i="70"/>
  <c r="F54" i="70"/>
  <c r="K54" i="70"/>
  <c r="L54" i="70"/>
  <c r="X54" i="70"/>
  <c r="D54" i="70"/>
  <c r="Y54" i="70"/>
  <c r="I55" i="70"/>
  <c r="F55" i="70"/>
  <c r="K55" i="70"/>
  <c r="L55" i="70"/>
  <c r="X55" i="70"/>
  <c r="D55" i="70"/>
  <c r="Y55" i="70"/>
  <c r="I56" i="70"/>
  <c r="E56" i="70"/>
  <c r="F56" i="70"/>
  <c r="K56" i="70"/>
  <c r="L56" i="70"/>
  <c r="X56" i="70"/>
  <c r="D56" i="70"/>
  <c r="Y56" i="70"/>
  <c r="I57" i="70"/>
  <c r="F57" i="70"/>
  <c r="K57" i="70"/>
  <c r="L57" i="70"/>
  <c r="X57" i="70"/>
  <c r="D57" i="70"/>
  <c r="Y57" i="70"/>
  <c r="I58" i="70"/>
  <c r="L58" i="70"/>
  <c r="X58" i="70"/>
  <c r="D58" i="70"/>
  <c r="Y58" i="70"/>
  <c r="I59" i="70"/>
  <c r="F59" i="70"/>
  <c r="K59" i="70"/>
  <c r="L59" i="70"/>
  <c r="X59" i="70"/>
  <c r="D59" i="70"/>
  <c r="Y59" i="70"/>
  <c r="I60" i="70"/>
  <c r="E60" i="70"/>
  <c r="F60" i="70"/>
  <c r="K60" i="70"/>
  <c r="L60" i="70"/>
  <c r="X60" i="70"/>
  <c r="D60" i="70"/>
  <c r="Y60" i="70"/>
  <c r="I61" i="70"/>
  <c r="F61" i="70"/>
  <c r="K61" i="70"/>
  <c r="L61" i="70"/>
  <c r="X61" i="70"/>
  <c r="D61" i="70"/>
  <c r="Y61" i="70"/>
  <c r="I62" i="70"/>
  <c r="F62" i="70"/>
  <c r="K62" i="70"/>
  <c r="L62" i="70"/>
  <c r="X62" i="70"/>
  <c r="D62" i="70"/>
  <c r="Y62" i="70"/>
  <c r="I63" i="70"/>
  <c r="E63" i="70"/>
  <c r="F63" i="70"/>
  <c r="K63" i="70"/>
  <c r="L63" i="70"/>
  <c r="X63" i="70"/>
  <c r="D63" i="70"/>
  <c r="Y63" i="70"/>
  <c r="I64" i="70"/>
  <c r="F64" i="70"/>
  <c r="K64" i="70"/>
  <c r="L64" i="70"/>
  <c r="X64" i="70"/>
  <c r="D64" i="70"/>
  <c r="Y64" i="70"/>
  <c r="I65" i="70"/>
  <c r="F65" i="70"/>
  <c r="K65" i="70"/>
  <c r="L65" i="70"/>
  <c r="X65" i="70"/>
  <c r="D65" i="70"/>
  <c r="Y65" i="70"/>
  <c r="T47" i="57"/>
  <c r="T45" i="57"/>
  <c r="T44" i="57"/>
  <c r="E36" i="70"/>
  <c r="V36" i="70"/>
  <c r="I36" i="70"/>
  <c r="G36" i="70"/>
  <c r="K36" i="70"/>
  <c r="X36" i="70"/>
  <c r="D36" i="70"/>
  <c r="Y36" i="70"/>
  <c r="E37" i="70"/>
  <c r="V37" i="70"/>
  <c r="I37" i="70"/>
  <c r="G37" i="70"/>
  <c r="K37" i="70"/>
  <c r="X37" i="70"/>
  <c r="D37" i="70"/>
  <c r="Y37" i="70"/>
  <c r="E38" i="70"/>
  <c r="V38" i="70"/>
  <c r="I38" i="70"/>
  <c r="G38" i="70"/>
  <c r="K38" i="70"/>
  <c r="X38" i="70"/>
  <c r="D38" i="70"/>
  <c r="Y38" i="70"/>
  <c r="E39" i="70"/>
  <c r="V39" i="70"/>
  <c r="I39" i="70"/>
  <c r="F39" i="70"/>
  <c r="K39" i="70"/>
  <c r="X39" i="70"/>
  <c r="D39" i="70"/>
  <c r="Y39" i="70"/>
  <c r="T41" i="57"/>
  <c r="N36" i="70"/>
  <c r="S36" i="70"/>
  <c r="T36" i="70"/>
  <c r="W36" i="70"/>
  <c r="N37" i="70"/>
  <c r="S37" i="70"/>
  <c r="T37" i="70"/>
  <c r="W37" i="70"/>
  <c r="N38" i="70"/>
  <c r="S38" i="70"/>
  <c r="T38" i="70"/>
  <c r="W38" i="70"/>
  <c r="N39" i="70"/>
  <c r="S39" i="70"/>
  <c r="T39" i="70"/>
  <c r="W39" i="70"/>
  <c r="T40" i="57"/>
  <c r="T39" i="57"/>
  <c r="T32" i="57"/>
  <c r="T31" i="57"/>
  <c r="T30" i="57"/>
  <c r="V6" i="70"/>
  <c r="X6" i="70"/>
  <c r="Y6" i="70"/>
  <c r="V7" i="70"/>
  <c r="X7" i="70"/>
  <c r="Y7" i="70"/>
  <c r="V8" i="70"/>
  <c r="X8" i="70"/>
  <c r="Y8" i="70"/>
  <c r="V9" i="70"/>
  <c r="X9" i="70"/>
  <c r="Y9" i="70"/>
  <c r="V10" i="70"/>
  <c r="X10" i="70"/>
  <c r="Y10" i="70"/>
  <c r="V11" i="70"/>
  <c r="X11" i="70"/>
  <c r="Y11" i="70"/>
  <c r="V12" i="70"/>
  <c r="X12" i="70"/>
  <c r="Y12" i="70"/>
  <c r="V13" i="70"/>
  <c r="X13" i="70"/>
  <c r="Y13" i="70"/>
  <c r="V14" i="70"/>
  <c r="X14" i="70"/>
  <c r="Y14" i="70"/>
  <c r="V15" i="70"/>
  <c r="X15" i="70"/>
  <c r="Y15" i="70"/>
  <c r="V16" i="70"/>
  <c r="X16" i="70"/>
  <c r="Y16" i="70"/>
  <c r="V17" i="70"/>
  <c r="X17" i="70"/>
  <c r="Y17" i="70"/>
  <c r="V18" i="70"/>
  <c r="X18" i="70"/>
  <c r="Y18" i="70"/>
  <c r="V19" i="70"/>
  <c r="X19" i="70"/>
  <c r="Y19" i="70"/>
  <c r="V20" i="70"/>
  <c r="X20" i="70"/>
  <c r="Y20" i="70"/>
  <c r="V21" i="70"/>
  <c r="X21" i="70"/>
  <c r="Y21" i="70"/>
  <c r="V22" i="70"/>
  <c r="X22" i="70"/>
  <c r="Y22" i="70"/>
  <c r="V23" i="70"/>
  <c r="X23" i="70"/>
  <c r="Y23" i="70"/>
  <c r="V24" i="70"/>
  <c r="X24" i="70"/>
  <c r="Y24" i="70"/>
  <c r="V25" i="70"/>
  <c r="X25" i="70"/>
  <c r="Y25" i="70"/>
  <c r="V26" i="70"/>
  <c r="X26" i="70"/>
  <c r="Y26" i="70"/>
  <c r="V28" i="70"/>
  <c r="X28" i="70"/>
  <c r="Y28" i="70"/>
  <c r="V29" i="70"/>
  <c r="X29" i="70"/>
  <c r="Y29" i="70"/>
  <c r="V30" i="70"/>
  <c r="X30" i="70"/>
  <c r="Y30" i="70"/>
  <c r="V31" i="70"/>
  <c r="X31" i="70"/>
  <c r="Y31" i="70"/>
  <c r="V32" i="70"/>
  <c r="X32" i="70"/>
  <c r="Y32" i="70"/>
  <c r="V33" i="70"/>
  <c r="X33" i="70"/>
  <c r="Y33" i="70"/>
  <c r="V34" i="70"/>
  <c r="X34" i="70"/>
  <c r="Y34" i="70"/>
  <c r="T27" i="57"/>
  <c r="W6" i="70"/>
  <c r="W7" i="70"/>
  <c r="W8" i="70"/>
  <c r="W9" i="70"/>
  <c r="W10" i="70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24" i="70"/>
  <c r="W25" i="70"/>
  <c r="W26" i="70"/>
  <c r="W28" i="70"/>
  <c r="W29" i="70"/>
  <c r="W30" i="70"/>
  <c r="W31" i="70"/>
  <c r="W32" i="70"/>
  <c r="W33" i="70"/>
  <c r="W34" i="70"/>
  <c r="T26" i="57"/>
  <c r="T25" i="57"/>
  <c r="T18" i="57"/>
  <c r="T17" i="57"/>
  <c r="T5" i="57"/>
  <c r="X29" i="21"/>
  <c r="T53" i="57"/>
  <c r="T52" i="57"/>
  <c r="T51" i="57"/>
  <c r="T49" i="57"/>
  <c r="T33" i="57"/>
  <c r="T28" i="57"/>
  <c r="T14" i="57"/>
  <c r="D67" i="70"/>
  <c r="H70" i="70"/>
  <c r="H71" i="70"/>
  <c r="H72" i="70"/>
  <c r="H73" i="70"/>
  <c r="H74" i="70"/>
  <c r="D66" i="70"/>
  <c r="D68" i="70"/>
  <c r="T65" i="70"/>
  <c r="R65" i="70"/>
  <c r="M65" i="70"/>
  <c r="P65" i="70"/>
  <c r="O65" i="70"/>
  <c r="G6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8" i="70"/>
  <c r="A29" i="70"/>
  <c r="A30" i="70"/>
  <c r="A31" i="70"/>
  <c r="A32" i="70"/>
  <c r="A33" i="70"/>
  <c r="A34" i="70"/>
  <c r="A36" i="70"/>
  <c r="A37" i="70"/>
  <c r="A38" i="70"/>
  <c r="A39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T64" i="70"/>
  <c r="R64" i="70"/>
  <c r="M64" i="70"/>
  <c r="P64" i="70"/>
  <c r="O64" i="70"/>
  <c r="G64" i="70"/>
  <c r="T63" i="70"/>
  <c r="R63" i="70"/>
  <c r="M63" i="70"/>
  <c r="P63" i="70"/>
  <c r="O63" i="70"/>
  <c r="G63" i="70"/>
  <c r="T62" i="70"/>
  <c r="R62" i="70"/>
  <c r="M62" i="70"/>
  <c r="P62" i="70"/>
  <c r="O62" i="70"/>
  <c r="G62" i="70"/>
  <c r="T61" i="70"/>
  <c r="R61" i="70"/>
  <c r="M61" i="70"/>
  <c r="P61" i="70"/>
  <c r="O61" i="70"/>
  <c r="G61" i="70"/>
  <c r="T60" i="70"/>
  <c r="R60" i="70"/>
  <c r="M60" i="70"/>
  <c r="P60" i="70"/>
  <c r="O60" i="70"/>
  <c r="G60" i="70"/>
  <c r="T59" i="70"/>
  <c r="R59" i="70"/>
  <c r="M59" i="70"/>
  <c r="P59" i="70"/>
  <c r="O59" i="70"/>
  <c r="G59" i="70"/>
  <c r="R58" i="70"/>
  <c r="M58" i="70"/>
  <c r="P58" i="70"/>
  <c r="O58" i="70"/>
  <c r="G58" i="70"/>
  <c r="F58" i="70"/>
  <c r="T57" i="70"/>
  <c r="R57" i="70"/>
  <c r="M57" i="70"/>
  <c r="P57" i="70"/>
  <c r="O57" i="70"/>
  <c r="G57" i="70"/>
  <c r="T56" i="70"/>
  <c r="R56" i="70"/>
  <c r="M56" i="70"/>
  <c r="P56" i="70"/>
  <c r="O56" i="70"/>
  <c r="G56" i="70"/>
  <c r="T55" i="70"/>
  <c r="R55" i="70"/>
  <c r="M55" i="70"/>
  <c r="P55" i="70"/>
  <c r="O55" i="70"/>
  <c r="G55" i="70"/>
  <c r="T54" i="70"/>
  <c r="R54" i="70"/>
  <c r="M54" i="70"/>
  <c r="P54" i="70"/>
  <c r="O54" i="70"/>
  <c r="G54" i="70"/>
  <c r="T53" i="70"/>
  <c r="R53" i="70"/>
  <c r="M53" i="70"/>
  <c r="P53" i="70"/>
  <c r="O53" i="70"/>
  <c r="G53" i="70"/>
  <c r="T52" i="70"/>
  <c r="R52" i="70"/>
  <c r="M52" i="70"/>
  <c r="P52" i="70"/>
  <c r="O52" i="70"/>
  <c r="G52" i="70"/>
  <c r="T51" i="70"/>
  <c r="R51" i="70"/>
  <c r="M51" i="70"/>
  <c r="P51" i="70"/>
  <c r="O51" i="70"/>
  <c r="G51" i="70"/>
  <c r="T50" i="70"/>
  <c r="R50" i="70"/>
  <c r="M50" i="70"/>
  <c r="P50" i="70"/>
  <c r="O50" i="70"/>
  <c r="G50" i="70"/>
  <c r="T49" i="70"/>
  <c r="R49" i="70"/>
  <c r="M49" i="70"/>
  <c r="P49" i="70"/>
  <c r="O49" i="70"/>
  <c r="G49" i="70"/>
  <c r="T48" i="70"/>
  <c r="R48" i="70"/>
  <c r="M48" i="70"/>
  <c r="P48" i="70"/>
  <c r="O48" i="70"/>
  <c r="G48" i="70"/>
  <c r="T47" i="70"/>
  <c r="R47" i="70"/>
  <c r="M47" i="70"/>
  <c r="P47" i="70"/>
  <c r="O47" i="70"/>
  <c r="G47" i="70"/>
  <c r="T46" i="70"/>
  <c r="R46" i="70"/>
  <c r="M46" i="70"/>
  <c r="P46" i="70"/>
  <c r="O46" i="70"/>
  <c r="G46" i="70"/>
  <c r="T45" i="70"/>
  <c r="R45" i="70"/>
  <c r="M45" i="70"/>
  <c r="P45" i="70"/>
  <c r="O45" i="70"/>
  <c r="G45" i="70"/>
  <c r="T44" i="70"/>
  <c r="R44" i="70"/>
  <c r="M44" i="70"/>
  <c r="P44" i="70"/>
  <c r="O44" i="70"/>
  <c r="G44" i="70"/>
  <c r="T43" i="70"/>
  <c r="R43" i="70"/>
  <c r="M43" i="70"/>
  <c r="P43" i="70"/>
  <c r="O43" i="70"/>
  <c r="G43" i="70"/>
  <c r="T42" i="70"/>
  <c r="R42" i="70"/>
  <c r="M42" i="70"/>
  <c r="P42" i="70"/>
  <c r="O42" i="70"/>
  <c r="G42" i="70"/>
  <c r="G41" i="70"/>
  <c r="T41" i="70"/>
  <c r="M41" i="70"/>
  <c r="O41" i="70"/>
  <c r="Q41" i="70"/>
  <c r="R41" i="70"/>
  <c r="P41" i="70"/>
  <c r="M39" i="70"/>
  <c r="O39" i="70"/>
  <c r="Q39" i="70"/>
  <c r="R39" i="70"/>
  <c r="P39" i="70"/>
  <c r="G39" i="70"/>
  <c r="M38" i="70"/>
  <c r="O38" i="70"/>
  <c r="Q38" i="70"/>
  <c r="R38" i="70"/>
  <c r="P38" i="70"/>
  <c r="F38" i="70"/>
  <c r="M37" i="70"/>
  <c r="O37" i="70"/>
  <c r="Q37" i="70"/>
  <c r="R37" i="70"/>
  <c r="P37" i="70"/>
  <c r="F37" i="70"/>
  <c r="M36" i="70"/>
  <c r="O36" i="70"/>
  <c r="Q36" i="70"/>
  <c r="R36" i="70"/>
  <c r="P36" i="70"/>
  <c r="F36" i="70"/>
  <c r="M35" i="70"/>
  <c r="P35" i="70"/>
  <c r="N35" i="70"/>
  <c r="O35" i="70"/>
  <c r="F34" i="70"/>
  <c r="F33" i="70"/>
  <c r="F32" i="70"/>
  <c r="F31" i="70"/>
  <c r="F30" i="70"/>
  <c r="F29" i="70"/>
  <c r="F28" i="70"/>
  <c r="N27" i="70"/>
  <c r="O27" i="70"/>
  <c r="F26" i="70"/>
  <c r="G25" i="70"/>
  <c r="F25" i="70"/>
  <c r="F24" i="70"/>
  <c r="F23" i="70"/>
  <c r="F22" i="70"/>
  <c r="F21" i="70"/>
  <c r="F20" i="70"/>
  <c r="F19" i="70"/>
  <c r="F18" i="70"/>
  <c r="F17" i="70"/>
  <c r="F16" i="70"/>
  <c r="G15" i="70"/>
  <c r="F14" i="70"/>
  <c r="G13" i="70"/>
  <c r="F13" i="70"/>
  <c r="F12" i="70"/>
  <c r="F11" i="70"/>
  <c r="F10" i="70"/>
  <c r="F9" i="70"/>
  <c r="F8" i="70"/>
  <c r="F7" i="70"/>
  <c r="O6" i="70"/>
  <c r="Q6" i="70"/>
  <c r="R6" i="70"/>
  <c r="R4" i="70"/>
  <c r="O4" i="70"/>
  <c r="G4" i="70"/>
  <c r="S1" i="70"/>
  <c r="D330" i="34"/>
  <c r="U34" i="21"/>
  <c r="D308" i="34"/>
  <c r="D309" i="34"/>
  <c r="D315" i="34"/>
  <c r="D320" i="34"/>
  <c r="D322" i="34"/>
  <c r="D326" i="34"/>
  <c r="D327" i="34"/>
  <c r="D328" i="34"/>
  <c r="D329" i="34"/>
  <c r="D298" i="34"/>
  <c r="U33" i="21"/>
  <c r="D296" i="34"/>
  <c r="U32" i="21"/>
  <c r="D282" i="34"/>
  <c r="U31" i="21"/>
  <c r="D275" i="34"/>
  <c r="U30" i="21"/>
  <c r="D264" i="34"/>
  <c r="U29" i="21"/>
  <c r="D248" i="34"/>
  <c r="D249" i="34"/>
  <c r="D259" i="34"/>
  <c r="D260" i="34"/>
  <c r="D230" i="34"/>
  <c r="U28" i="21"/>
  <c r="D208" i="34"/>
  <c r="U26" i="21"/>
  <c r="D195" i="34"/>
  <c r="U25" i="21"/>
  <c r="D190" i="34"/>
  <c r="U24" i="21"/>
  <c r="D188" i="34"/>
  <c r="U23" i="21"/>
  <c r="D184" i="34"/>
  <c r="U22" i="21"/>
  <c r="D182" i="34"/>
  <c r="U21" i="21"/>
  <c r="D177" i="34"/>
  <c r="U20" i="21"/>
  <c r="D174" i="34"/>
  <c r="U19" i="21"/>
  <c r="D168" i="34"/>
  <c r="U18" i="21"/>
  <c r="D163" i="34"/>
  <c r="D164" i="34"/>
  <c r="D162" i="34"/>
  <c r="U17" i="21"/>
  <c r="D159" i="34"/>
  <c r="U16" i="21"/>
  <c r="D148" i="34"/>
  <c r="U15" i="21"/>
  <c r="D142" i="34"/>
  <c r="D141" i="34"/>
  <c r="U14" i="21"/>
  <c r="D127" i="34"/>
  <c r="U13" i="21"/>
  <c r="D125" i="34"/>
  <c r="U12" i="21"/>
  <c r="D119" i="34"/>
  <c r="U11" i="21"/>
  <c r="D116" i="34"/>
  <c r="U10" i="21"/>
  <c r="G342" i="34"/>
  <c r="G298" i="34"/>
  <c r="G275" i="34"/>
  <c r="G264" i="34"/>
  <c r="G208" i="34"/>
  <c r="F209" i="34"/>
  <c r="G195" i="34"/>
  <c r="G190" i="34"/>
  <c r="G159" i="34"/>
  <c r="G148" i="34"/>
  <c r="G141" i="34"/>
  <c r="G125" i="34"/>
  <c r="G119" i="34"/>
  <c r="D105" i="34"/>
  <c r="U8" i="21"/>
  <c r="D110" i="34"/>
  <c r="U9" i="21"/>
  <c r="D103" i="34"/>
  <c r="U7" i="21"/>
  <c r="D99" i="34"/>
  <c r="D100" i="34"/>
  <c r="D95" i="34"/>
  <c r="U6" i="21"/>
  <c r="G95" i="34"/>
  <c r="U5" i="57"/>
  <c r="S79" i="49"/>
  <c r="S78" i="49"/>
  <c r="R79" i="49"/>
  <c r="R78" i="49"/>
  <c r="R56" i="49"/>
  <c r="M65" i="10"/>
  <c r="L64" i="10"/>
  <c r="M64" i="10"/>
  <c r="M63" i="10"/>
  <c r="M62" i="10"/>
  <c r="M61" i="10"/>
  <c r="M60" i="10"/>
  <c r="M59" i="10"/>
  <c r="M58" i="10"/>
  <c r="M57" i="10"/>
  <c r="M56" i="10"/>
  <c r="M55" i="10"/>
  <c r="M54" i="10"/>
  <c r="I53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J39" i="10"/>
  <c r="L39" i="10"/>
  <c r="M39" i="10"/>
  <c r="J38" i="10"/>
  <c r="K38" i="10"/>
  <c r="M38" i="10"/>
  <c r="I37" i="10"/>
  <c r="J37" i="10"/>
  <c r="M37" i="10"/>
  <c r="I36" i="10"/>
  <c r="J36" i="10"/>
  <c r="M36" i="10"/>
  <c r="M34" i="10"/>
  <c r="M33" i="10"/>
  <c r="M32" i="10"/>
  <c r="M31" i="10"/>
  <c r="M30" i="10"/>
  <c r="M29" i="10"/>
  <c r="M28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4" i="10"/>
  <c r="M66" i="10"/>
  <c r="H67" i="10"/>
  <c r="I67" i="10"/>
  <c r="J67" i="10"/>
  <c r="K67" i="10"/>
  <c r="M67" i="10"/>
  <c r="M68" i="10"/>
  <c r="N65" i="10"/>
  <c r="O65" i="10"/>
  <c r="N64" i="10"/>
  <c r="O64" i="10"/>
  <c r="N63" i="10"/>
  <c r="O63" i="10"/>
  <c r="N62" i="10"/>
  <c r="O62" i="10"/>
  <c r="N61" i="10"/>
  <c r="O61" i="10"/>
  <c r="N60" i="10"/>
  <c r="O60" i="10"/>
  <c r="N59" i="10"/>
  <c r="O59" i="10"/>
  <c r="N58" i="10"/>
  <c r="O58" i="10"/>
  <c r="N57" i="10"/>
  <c r="O57" i="10"/>
  <c r="N56" i="10"/>
  <c r="O56" i="10"/>
  <c r="N55" i="10"/>
  <c r="O55" i="10"/>
  <c r="N54" i="10"/>
  <c r="O54" i="10"/>
  <c r="N53" i="10"/>
  <c r="O53" i="10"/>
  <c r="N52" i="10"/>
  <c r="O52" i="10"/>
  <c r="N51" i="10"/>
  <c r="O51" i="10"/>
  <c r="N50" i="10"/>
  <c r="O50" i="10"/>
  <c r="N49" i="10"/>
  <c r="O49" i="10"/>
  <c r="N48" i="10"/>
  <c r="O48" i="10"/>
  <c r="N47" i="10"/>
  <c r="O47" i="10"/>
  <c r="N46" i="10"/>
  <c r="O46" i="10"/>
  <c r="N45" i="10"/>
  <c r="O45" i="10"/>
  <c r="C44" i="10"/>
  <c r="N44" i="10"/>
  <c r="O44" i="10"/>
  <c r="N43" i="10"/>
  <c r="O43" i="10"/>
  <c r="N42" i="10"/>
  <c r="O42" i="10"/>
  <c r="N41" i="10"/>
  <c r="O41" i="10"/>
  <c r="N39" i="10"/>
  <c r="O39" i="10"/>
  <c r="N38" i="10"/>
  <c r="O38" i="10"/>
  <c r="N37" i="10"/>
  <c r="O37" i="10"/>
  <c r="N36" i="10"/>
  <c r="O36" i="10"/>
  <c r="O29" i="10"/>
  <c r="O25" i="10"/>
  <c r="O23" i="10"/>
  <c r="O22" i="10"/>
  <c r="O21" i="10"/>
  <c r="O20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4" i="10"/>
  <c r="N66" i="10"/>
  <c r="L67" i="10"/>
  <c r="N67" i="10"/>
  <c r="N68" i="10"/>
  <c r="E64" i="19"/>
  <c r="M41" i="21"/>
  <c r="O41" i="21"/>
  <c r="Q41" i="21"/>
  <c r="F41" i="2"/>
  <c r="E41" i="2"/>
  <c r="G41" i="2"/>
  <c r="H41" i="2"/>
  <c r="K41" i="2"/>
  <c r="W41" i="2"/>
  <c r="L41" i="2"/>
  <c r="N41" i="2"/>
  <c r="P41" i="2"/>
  <c r="I67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E39" i="19"/>
  <c r="E36" i="19"/>
  <c r="E38" i="13"/>
  <c r="E39" i="13"/>
  <c r="E41" i="13"/>
  <c r="E44" i="13"/>
  <c r="E66" i="13"/>
  <c r="E67" i="13"/>
  <c r="E68" i="13"/>
  <c r="M65" i="13"/>
  <c r="J65" i="13"/>
  <c r="Y65" i="13"/>
  <c r="M64" i="13"/>
  <c r="J64" i="13"/>
  <c r="Y64" i="13"/>
  <c r="M63" i="13"/>
  <c r="J63" i="13"/>
  <c r="Y63" i="13"/>
  <c r="M62" i="13"/>
  <c r="J62" i="13"/>
  <c r="Y62" i="13"/>
  <c r="M61" i="13"/>
  <c r="J61" i="13"/>
  <c r="Y61" i="13"/>
  <c r="M60" i="13"/>
  <c r="J60" i="13"/>
  <c r="Y60" i="13"/>
  <c r="M59" i="13"/>
  <c r="J59" i="13"/>
  <c r="Y59" i="13"/>
  <c r="M58" i="13"/>
  <c r="J58" i="13"/>
  <c r="Y58" i="13"/>
  <c r="M57" i="13"/>
  <c r="J57" i="13"/>
  <c r="Y57" i="13"/>
  <c r="M56" i="13"/>
  <c r="J56" i="13"/>
  <c r="Y56" i="13"/>
  <c r="M55" i="13"/>
  <c r="J55" i="13"/>
  <c r="Y55" i="13"/>
  <c r="M54" i="13"/>
  <c r="J54" i="13"/>
  <c r="Y54" i="13"/>
  <c r="M53" i="13"/>
  <c r="J53" i="13"/>
  <c r="Y53" i="13"/>
  <c r="M52" i="13"/>
  <c r="J52" i="13"/>
  <c r="Y52" i="13"/>
  <c r="M51" i="13"/>
  <c r="J51" i="13"/>
  <c r="Y51" i="13"/>
  <c r="M50" i="13"/>
  <c r="J50" i="13"/>
  <c r="Y50" i="13"/>
  <c r="M49" i="13"/>
  <c r="J49" i="13"/>
  <c r="Y49" i="13"/>
  <c r="M48" i="13"/>
  <c r="J48" i="13"/>
  <c r="Y48" i="13"/>
  <c r="M47" i="13"/>
  <c r="J47" i="13"/>
  <c r="Y47" i="13"/>
  <c r="M46" i="13"/>
  <c r="J46" i="13"/>
  <c r="Y46" i="13"/>
  <c r="M45" i="13"/>
  <c r="J45" i="13"/>
  <c r="Y45" i="13"/>
  <c r="M44" i="13"/>
  <c r="J44" i="13"/>
  <c r="Y44" i="13"/>
  <c r="M43" i="13"/>
  <c r="J43" i="13"/>
  <c r="Y43" i="13"/>
  <c r="J42" i="13"/>
  <c r="Y42" i="13"/>
  <c r="H41" i="13"/>
  <c r="G41" i="13"/>
  <c r="J41" i="13"/>
  <c r="Y41" i="13"/>
  <c r="D67" i="13"/>
  <c r="F67" i="13"/>
  <c r="D65" i="13"/>
  <c r="F65" i="13"/>
  <c r="D64" i="13"/>
  <c r="F64" i="13"/>
  <c r="D63" i="13"/>
  <c r="F63" i="13"/>
  <c r="D62" i="13"/>
  <c r="F62" i="13"/>
  <c r="D61" i="13"/>
  <c r="F61" i="13"/>
  <c r="D60" i="13"/>
  <c r="F60" i="13"/>
  <c r="D59" i="13"/>
  <c r="F59" i="13"/>
  <c r="D58" i="13"/>
  <c r="F58" i="13"/>
  <c r="D57" i="13"/>
  <c r="F57" i="13"/>
  <c r="D56" i="13"/>
  <c r="F56" i="13"/>
  <c r="D55" i="13"/>
  <c r="F55" i="13"/>
  <c r="D54" i="13"/>
  <c r="F54" i="13"/>
  <c r="D53" i="13"/>
  <c r="F53" i="13"/>
  <c r="D52" i="13"/>
  <c r="F52" i="13"/>
  <c r="D51" i="13"/>
  <c r="F51" i="13"/>
  <c r="D50" i="13"/>
  <c r="F50" i="13"/>
  <c r="D49" i="13"/>
  <c r="F49" i="13"/>
  <c r="D48" i="13"/>
  <c r="F48" i="13"/>
  <c r="D47" i="13"/>
  <c r="F47" i="13"/>
  <c r="D46" i="13"/>
  <c r="F46" i="13"/>
  <c r="D45" i="13"/>
  <c r="F45" i="13"/>
  <c r="D44" i="13"/>
  <c r="F44" i="13"/>
  <c r="D43" i="13"/>
  <c r="F43" i="13"/>
  <c r="D42" i="13"/>
  <c r="F42" i="13"/>
  <c r="D41" i="13"/>
  <c r="F41" i="13"/>
  <c r="D39" i="13"/>
  <c r="F39" i="13"/>
  <c r="D38" i="13"/>
  <c r="F38" i="13"/>
  <c r="D37" i="13"/>
  <c r="F37" i="13"/>
  <c r="D36" i="13"/>
  <c r="F36" i="13"/>
  <c r="H57" i="49"/>
  <c r="H58" i="49"/>
  <c r="G56" i="49"/>
  <c r="F36" i="19"/>
  <c r="E37" i="19"/>
  <c r="F37" i="19"/>
  <c r="E38" i="19"/>
  <c r="F38" i="19"/>
  <c r="F39" i="19"/>
  <c r="E41" i="19"/>
  <c r="F41" i="19"/>
  <c r="F42" i="19"/>
  <c r="F43" i="19"/>
  <c r="E44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D67" i="19"/>
  <c r="E67" i="19"/>
  <c r="F67" i="19"/>
  <c r="F68" i="19"/>
  <c r="G41" i="19"/>
  <c r="H41" i="19"/>
  <c r="J41" i="19"/>
  <c r="N5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N53" i="49"/>
  <c r="N52" i="49"/>
  <c r="N51" i="49"/>
  <c r="N50" i="49"/>
  <c r="N49" i="49"/>
  <c r="N48" i="49"/>
  <c r="N47" i="49"/>
  <c r="N46" i="49"/>
  <c r="N45" i="49"/>
  <c r="N44" i="49"/>
  <c r="N43" i="49"/>
  <c r="N42" i="49"/>
  <c r="N41" i="49"/>
  <c r="N40" i="49"/>
  <c r="N39" i="49"/>
  <c r="N38" i="49"/>
  <c r="N37" i="49"/>
  <c r="N36" i="49"/>
  <c r="N35" i="49"/>
  <c r="N34" i="49"/>
  <c r="N33" i="49"/>
  <c r="N32" i="49"/>
  <c r="N31" i="49"/>
  <c r="N30" i="49"/>
  <c r="N29" i="49"/>
  <c r="N28" i="49"/>
  <c r="N27" i="49"/>
  <c r="N26" i="49"/>
  <c r="N25" i="49"/>
  <c r="N24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N10" i="49"/>
  <c r="N9" i="49"/>
  <c r="N8" i="49"/>
  <c r="N7" i="49"/>
  <c r="N6" i="49"/>
  <c r="N5" i="49"/>
  <c r="N4" i="49"/>
  <c r="H70" i="21"/>
  <c r="H71" i="21"/>
  <c r="H72" i="21"/>
  <c r="H73" i="21"/>
  <c r="H74" i="21"/>
  <c r="S6" i="21"/>
  <c r="T6" i="21"/>
  <c r="V6" i="21"/>
  <c r="W6" i="21"/>
  <c r="S7" i="21"/>
  <c r="T7" i="21"/>
  <c r="V7" i="21"/>
  <c r="W7" i="21"/>
  <c r="S8" i="21"/>
  <c r="T8" i="21"/>
  <c r="V8" i="21"/>
  <c r="W8" i="21"/>
  <c r="S9" i="21"/>
  <c r="T9" i="21"/>
  <c r="V9" i="21"/>
  <c r="W9" i="21"/>
  <c r="S10" i="21"/>
  <c r="T10" i="21"/>
  <c r="V10" i="21"/>
  <c r="W10" i="21"/>
  <c r="S11" i="21"/>
  <c r="T11" i="21"/>
  <c r="V11" i="21"/>
  <c r="W11" i="21"/>
  <c r="S12" i="21"/>
  <c r="T12" i="21"/>
  <c r="V12" i="21"/>
  <c r="W12" i="21"/>
  <c r="S13" i="21"/>
  <c r="T13" i="21"/>
  <c r="V13" i="21"/>
  <c r="W13" i="21"/>
  <c r="S14" i="21"/>
  <c r="T14" i="21"/>
  <c r="V14" i="21"/>
  <c r="W14" i="21"/>
  <c r="S15" i="21"/>
  <c r="T15" i="21"/>
  <c r="V15" i="21"/>
  <c r="W15" i="21"/>
  <c r="S16" i="21"/>
  <c r="T16" i="21"/>
  <c r="V16" i="21"/>
  <c r="W16" i="21"/>
  <c r="S17" i="21"/>
  <c r="T17" i="21"/>
  <c r="V17" i="21"/>
  <c r="W17" i="21"/>
  <c r="S18" i="21"/>
  <c r="T18" i="21"/>
  <c r="V18" i="21"/>
  <c r="W18" i="21"/>
  <c r="S19" i="21"/>
  <c r="T19" i="21"/>
  <c r="V19" i="21"/>
  <c r="W19" i="21"/>
  <c r="S20" i="21"/>
  <c r="T20" i="21"/>
  <c r="V20" i="21"/>
  <c r="W20" i="21"/>
  <c r="S21" i="21"/>
  <c r="T21" i="21"/>
  <c r="V21" i="21"/>
  <c r="W21" i="21"/>
  <c r="S22" i="21"/>
  <c r="T22" i="21"/>
  <c r="V22" i="21"/>
  <c r="W22" i="21"/>
  <c r="S23" i="21"/>
  <c r="T23" i="21"/>
  <c r="V23" i="21"/>
  <c r="W23" i="21"/>
  <c r="G24" i="21"/>
  <c r="S24" i="21"/>
  <c r="T24" i="21"/>
  <c r="V24" i="21"/>
  <c r="W24" i="21"/>
  <c r="S25" i="21"/>
  <c r="T25" i="21"/>
  <c r="V25" i="21"/>
  <c r="W25" i="21"/>
  <c r="S26" i="21"/>
  <c r="T26" i="21"/>
  <c r="V26" i="21"/>
  <c r="W26" i="21"/>
  <c r="S28" i="21"/>
  <c r="T28" i="21"/>
  <c r="V28" i="21"/>
  <c r="W28" i="21"/>
  <c r="G29" i="21"/>
  <c r="S29" i="21"/>
  <c r="T29" i="21"/>
  <c r="V29" i="21"/>
  <c r="W29" i="21"/>
  <c r="S30" i="21"/>
  <c r="T30" i="21"/>
  <c r="V30" i="21"/>
  <c r="W30" i="21"/>
  <c r="S31" i="21"/>
  <c r="T31" i="21"/>
  <c r="V31" i="21"/>
  <c r="W31" i="21"/>
  <c r="S32" i="21"/>
  <c r="T32" i="21"/>
  <c r="V32" i="21"/>
  <c r="W32" i="21"/>
  <c r="S33" i="21"/>
  <c r="T33" i="21"/>
  <c r="V33" i="21"/>
  <c r="W33" i="21"/>
  <c r="S34" i="21"/>
  <c r="T34" i="21"/>
  <c r="V34" i="21"/>
  <c r="W34" i="21"/>
  <c r="U26" i="57"/>
  <c r="U28" i="57"/>
  <c r="X6" i="21"/>
  <c r="Y6" i="21"/>
  <c r="X7" i="21"/>
  <c r="Y7" i="21"/>
  <c r="X8" i="21"/>
  <c r="Y8" i="21"/>
  <c r="X9" i="21"/>
  <c r="Y9" i="21"/>
  <c r="X10" i="21"/>
  <c r="Y10" i="21"/>
  <c r="X11" i="21"/>
  <c r="Y11" i="21"/>
  <c r="X12" i="21"/>
  <c r="Y12" i="21"/>
  <c r="X13" i="21"/>
  <c r="Y13" i="21"/>
  <c r="X14" i="21"/>
  <c r="Y14" i="21"/>
  <c r="X15" i="21"/>
  <c r="Y15" i="21"/>
  <c r="X16" i="21"/>
  <c r="Y16" i="21"/>
  <c r="X17" i="21"/>
  <c r="Y17" i="21"/>
  <c r="X18" i="21"/>
  <c r="Y18" i="21"/>
  <c r="X19" i="21"/>
  <c r="Y19" i="21"/>
  <c r="X20" i="21"/>
  <c r="Y20" i="21"/>
  <c r="X21" i="21"/>
  <c r="Y21" i="21"/>
  <c r="X22" i="21"/>
  <c r="Y22" i="21"/>
  <c r="X23" i="21"/>
  <c r="Y23" i="21"/>
  <c r="X24" i="21"/>
  <c r="Y24" i="21"/>
  <c r="X25" i="21"/>
  <c r="Y25" i="21"/>
  <c r="X26" i="21"/>
  <c r="Y26" i="21"/>
  <c r="X28" i="21"/>
  <c r="Y28" i="21"/>
  <c r="Y29" i="21"/>
  <c r="X30" i="21"/>
  <c r="Y30" i="21"/>
  <c r="X31" i="21"/>
  <c r="Y31" i="21"/>
  <c r="X32" i="21"/>
  <c r="Y32" i="21"/>
  <c r="X33" i="21"/>
  <c r="Y33" i="21"/>
  <c r="X34" i="21"/>
  <c r="Y34" i="21"/>
  <c r="U27" i="57"/>
  <c r="U25" i="57"/>
  <c r="U24" i="57"/>
  <c r="U21" i="57"/>
  <c r="U20" i="57"/>
  <c r="U19" i="57"/>
  <c r="U18" i="57"/>
  <c r="U17" i="57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K4" i="21"/>
  <c r="D67" i="21"/>
  <c r="S1" i="21"/>
  <c r="G4" i="21"/>
  <c r="O4" i="21"/>
  <c r="A6" i="21"/>
  <c r="A7" i="21"/>
  <c r="A8" i="21"/>
  <c r="A9" i="21"/>
  <c r="A10" i="21"/>
  <c r="A11" i="21"/>
  <c r="A12" i="21"/>
  <c r="A13" i="21"/>
  <c r="A14" i="21"/>
  <c r="A15" i="21"/>
  <c r="G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A32" i="21"/>
  <c r="A33" i="21"/>
  <c r="A34" i="21"/>
  <c r="A36" i="21"/>
  <c r="A37" i="21"/>
  <c r="A38" i="21"/>
  <c r="A39" i="21"/>
  <c r="G39" i="21"/>
  <c r="A41" i="21"/>
  <c r="P41" i="21"/>
  <c r="T41" i="21"/>
  <c r="A42" i="21"/>
  <c r="G42" i="21"/>
  <c r="M42" i="21"/>
  <c r="O42" i="21"/>
  <c r="P42" i="21"/>
  <c r="T42" i="21"/>
  <c r="A43" i="21"/>
  <c r="G43" i="21"/>
  <c r="M43" i="21"/>
  <c r="O43" i="21"/>
  <c r="P43" i="21"/>
  <c r="T43" i="21"/>
  <c r="A44" i="21"/>
  <c r="G44" i="21"/>
  <c r="M44" i="21"/>
  <c r="O44" i="21"/>
  <c r="P44" i="21"/>
  <c r="T44" i="21"/>
  <c r="A45" i="21"/>
  <c r="G45" i="21"/>
  <c r="M45" i="21"/>
  <c r="O45" i="21"/>
  <c r="P45" i="21"/>
  <c r="T45" i="21"/>
  <c r="A46" i="21"/>
  <c r="G46" i="21"/>
  <c r="M46" i="21"/>
  <c r="O46" i="21"/>
  <c r="P46" i="21"/>
  <c r="T46" i="21"/>
  <c r="A47" i="21"/>
  <c r="G47" i="21"/>
  <c r="M47" i="21"/>
  <c r="O47" i="21"/>
  <c r="P47" i="21"/>
  <c r="T47" i="21"/>
  <c r="A48" i="21"/>
  <c r="G48" i="21"/>
  <c r="M48" i="21"/>
  <c r="O48" i="21"/>
  <c r="P48" i="21"/>
  <c r="T48" i="21"/>
  <c r="A49" i="21"/>
  <c r="G49" i="21"/>
  <c r="M49" i="21"/>
  <c r="O49" i="21"/>
  <c r="P49" i="21"/>
  <c r="T49" i="21"/>
  <c r="A50" i="21"/>
  <c r="G50" i="21"/>
  <c r="M50" i="21"/>
  <c r="O50" i="21"/>
  <c r="P50" i="21"/>
  <c r="T50" i="21"/>
  <c r="A51" i="21"/>
  <c r="G51" i="21"/>
  <c r="M51" i="21"/>
  <c r="O51" i="21"/>
  <c r="P51" i="21"/>
  <c r="T51" i="21"/>
  <c r="A52" i="21"/>
  <c r="G52" i="21"/>
  <c r="M52" i="21"/>
  <c r="O52" i="21"/>
  <c r="P52" i="21"/>
  <c r="T52" i="21"/>
  <c r="A53" i="21"/>
  <c r="G53" i="21"/>
  <c r="M53" i="21"/>
  <c r="O53" i="21"/>
  <c r="P53" i="21"/>
  <c r="T53" i="21"/>
  <c r="A54" i="21"/>
  <c r="G54" i="21"/>
  <c r="M54" i="21"/>
  <c r="O54" i="21"/>
  <c r="P54" i="21"/>
  <c r="T54" i="21"/>
  <c r="A55" i="21"/>
  <c r="G55" i="21"/>
  <c r="M55" i="21"/>
  <c r="O55" i="21"/>
  <c r="P55" i="21"/>
  <c r="T55" i="21"/>
  <c r="A56" i="21"/>
  <c r="G56" i="21"/>
  <c r="M56" i="21"/>
  <c r="O56" i="21"/>
  <c r="P56" i="21"/>
  <c r="T56" i="21"/>
  <c r="A57" i="21"/>
  <c r="G57" i="21"/>
  <c r="M57" i="21"/>
  <c r="O57" i="21"/>
  <c r="P57" i="21"/>
  <c r="T57" i="21"/>
  <c r="A58" i="21"/>
  <c r="G58" i="21"/>
  <c r="M58" i="21"/>
  <c r="O58" i="21"/>
  <c r="P58" i="21"/>
  <c r="A59" i="21"/>
  <c r="G59" i="21"/>
  <c r="M59" i="21"/>
  <c r="O59" i="21"/>
  <c r="P59" i="21"/>
  <c r="T59" i="21"/>
  <c r="A60" i="21"/>
  <c r="G60" i="21"/>
  <c r="M60" i="21"/>
  <c r="O60" i="21"/>
  <c r="P60" i="21"/>
  <c r="T60" i="21"/>
  <c r="A61" i="21"/>
  <c r="G61" i="21"/>
  <c r="M61" i="21"/>
  <c r="O61" i="21"/>
  <c r="P61" i="21"/>
  <c r="T61" i="21"/>
  <c r="A62" i="21"/>
  <c r="G62" i="21"/>
  <c r="M62" i="21"/>
  <c r="O62" i="21"/>
  <c r="P62" i="21"/>
  <c r="T62" i="21"/>
  <c r="A63" i="21"/>
  <c r="G63" i="21"/>
  <c r="M63" i="21"/>
  <c r="O63" i="21"/>
  <c r="P63" i="21"/>
  <c r="T63" i="21"/>
  <c r="A64" i="21"/>
  <c r="G64" i="21"/>
  <c r="M64" i="21"/>
  <c r="O64" i="21"/>
  <c r="P64" i="21"/>
  <c r="T64" i="21"/>
  <c r="A65" i="21"/>
  <c r="G65" i="21"/>
  <c r="M65" i="21"/>
  <c r="O65" i="21"/>
  <c r="P65" i="21"/>
  <c r="T65" i="21"/>
  <c r="D66" i="21"/>
  <c r="D68" i="21"/>
  <c r="Q38" i="10"/>
  <c r="W38" i="10"/>
  <c r="U39" i="10"/>
  <c r="U38" i="10"/>
  <c r="P38" i="10"/>
  <c r="R38" i="10"/>
  <c r="AH38" i="10"/>
  <c r="AE39" i="10"/>
  <c r="AE38" i="10"/>
  <c r="AE37" i="10"/>
  <c r="AE36" i="10"/>
  <c r="AE34" i="10"/>
  <c r="AE33" i="10"/>
  <c r="AE32" i="10"/>
  <c r="AE31" i="10"/>
  <c r="AE30" i="10"/>
  <c r="AE29" i="10"/>
  <c r="AE28" i="10"/>
  <c r="C666" i="37"/>
  <c r="C664" i="37"/>
  <c r="C657" i="37"/>
  <c r="C659" i="37"/>
  <c r="P48" i="10"/>
  <c r="P42" i="10"/>
  <c r="Q42" i="10"/>
  <c r="P37" i="10"/>
  <c r="R37" i="10"/>
  <c r="U37" i="10"/>
  <c r="Y37" i="10"/>
  <c r="Q37" i="10"/>
  <c r="AB37" i="10"/>
  <c r="W37" i="10"/>
  <c r="AC37" i="10"/>
  <c r="AH37" i="10"/>
  <c r="AS15" i="10"/>
  <c r="AM20" i="10"/>
  <c r="AM21" i="10"/>
  <c r="AM22" i="10"/>
  <c r="P36" i="10"/>
  <c r="T36" i="10"/>
  <c r="R36" i="10"/>
  <c r="U36" i="10"/>
  <c r="Y36" i="10"/>
  <c r="Q36" i="10"/>
  <c r="AB36" i="10"/>
  <c r="AO4" i="10"/>
  <c r="AQ4" i="10"/>
  <c r="AN4" i="10"/>
  <c r="AR4" i="10"/>
  <c r="AO5" i="10"/>
  <c r="AQ5" i="10"/>
  <c r="AN5" i="10"/>
  <c r="AR5" i="10"/>
  <c r="AO6" i="10"/>
  <c r="AQ6" i="10"/>
  <c r="AN6" i="10"/>
  <c r="AR6" i="10"/>
  <c r="AO7" i="10"/>
  <c r="AQ7" i="10"/>
  <c r="AN7" i="10"/>
  <c r="AR7" i="10"/>
  <c r="AP8" i="10"/>
  <c r="AO8" i="10"/>
  <c r="AQ8" i="10"/>
  <c r="AN8" i="10"/>
  <c r="AR8" i="10"/>
  <c r="AP9" i="10"/>
  <c r="AO9" i="10"/>
  <c r="AQ9" i="10"/>
  <c r="AN9" i="10"/>
  <c r="AR9" i="10"/>
  <c r="AP10" i="10"/>
  <c r="AO10" i="10"/>
  <c r="AQ10" i="10"/>
  <c r="AN10" i="10"/>
  <c r="AR10" i="10"/>
  <c r="AP11" i="10"/>
  <c r="AO11" i="10"/>
  <c r="AQ11" i="10"/>
  <c r="AN11" i="10"/>
  <c r="AR11" i="10"/>
  <c r="AP12" i="10"/>
  <c r="AO12" i="10"/>
  <c r="AQ12" i="10"/>
  <c r="AN12" i="10"/>
  <c r="AR12" i="10"/>
  <c r="AP13" i="10"/>
  <c r="AO13" i="10"/>
  <c r="AQ13" i="10"/>
  <c r="AN13" i="10"/>
  <c r="AR13" i="10"/>
  <c r="AP14" i="10"/>
  <c r="AO14" i="10"/>
  <c r="AQ14" i="10"/>
  <c r="AN14" i="10"/>
  <c r="AR14" i="10"/>
  <c r="AR15" i="10"/>
  <c r="AT15" i="10"/>
  <c r="AD36" i="10"/>
  <c r="W36" i="10"/>
  <c r="AC36" i="10"/>
  <c r="AH36" i="10"/>
  <c r="AF36" i="10"/>
  <c r="AI36" i="10"/>
  <c r="AE26" i="10"/>
  <c r="AE25" i="10"/>
  <c r="AE24" i="10"/>
  <c r="AE23" i="10"/>
  <c r="AE22" i="10"/>
  <c r="AE21" i="10"/>
  <c r="AE20" i="10"/>
  <c r="AE19" i="10"/>
  <c r="AE18" i="10"/>
  <c r="AE17" i="10"/>
  <c r="AE16" i="10"/>
  <c r="AE15" i="10"/>
  <c r="AE14" i="10"/>
  <c r="AE13" i="10"/>
  <c r="AE12" i="10"/>
  <c r="AE11" i="10"/>
  <c r="AE10" i="10"/>
  <c r="AD37" i="10"/>
  <c r="R39" i="10"/>
  <c r="P39" i="10"/>
  <c r="W39" i="10"/>
  <c r="AH39" i="10"/>
  <c r="Y38" i="10"/>
  <c r="AB38" i="10"/>
  <c r="AC38" i="10"/>
  <c r="AD38" i="10"/>
  <c r="Q39" i="10"/>
  <c r="Y39" i="10"/>
  <c r="AB39" i="10"/>
  <c r="AC39" i="10"/>
  <c r="AD39" i="10"/>
  <c r="S36" i="57"/>
  <c r="C36" i="57"/>
  <c r="E36" i="2"/>
  <c r="F36" i="2"/>
  <c r="J36" i="2"/>
  <c r="M36" i="2"/>
  <c r="L36" i="2"/>
  <c r="N36" i="2"/>
  <c r="P36" i="2"/>
  <c r="D36" i="2"/>
  <c r="Q36" i="2"/>
  <c r="E37" i="2"/>
  <c r="F37" i="2"/>
  <c r="J37" i="2"/>
  <c r="M37" i="2"/>
  <c r="H37" i="2"/>
  <c r="L37" i="2"/>
  <c r="N37" i="2"/>
  <c r="P37" i="2"/>
  <c r="D37" i="2"/>
  <c r="Q37" i="2"/>
  <c r="E38" i="2"/>
  <c r="F38" i="2"/>
  <c r="I38" i="2"/>
  <c r="J38" i="2"/>
  <c r="M38" i="2"/>
  <c r="H38" i="2"/>
  <c r="L38" i="2"/>
  <c r="N38" i="2"/>
  <c r="P38" i="2"/>
  <c r="D38" i="2"/>
  <c r="Q38" i="2"/>
  <c r="E39" i="2"/>
  <c r="F39" i="2"/>
  <c r="J39" i="2"/>
  <c r="M39" i="2"/>
  <c r="H39" i="2"/>
  <c r="L39" i="2"/>
  <c r="N39" i="2"/>
  <c r="P39" i="2"/>
  <c r="D39" i="2"/>
  <c r="Q39" i="2"/>
  <c r="D36" i="57"/>
  <c r="E36" i="11"/>
  <c r="F36" i="11"/>
  <c r="M36" i="11"/>
  <c r="L36" i="11"/>
  <c r="N36" i="11"/>
  <c r="P36" i="11"/>
  <c r="D36" i="11"/>
  <c r="Q36" i="11"/>
  <c r="E37" i="11"/>
  <c r="F37" i="11"/>
  <c r="J37" i="11"/>
  <c r="M37" i="11"/>
  <c r="L37" i="11"/>
  <c r="N37" i="11"/>
  <c r="P37" i="11"/>
  <c r="D37" i="11"/>
  <c r="Q37" i="11"/>
  <c r="E38" i="11"/>
  <c r="F38" i="11"/>
  <c r="J38" i="11"/>
  <c r="M38" i="11"/>
  <c r="L38" i="11"/>
  <c r="N38" i="11"/>
  <c r="P38" i="11"/>
  <c r="D38" i="11"/>
  <c r="Q38" i="11"/>
  <c r="E39" i="11"/>
  <c r="F39" i="11"/>
  <c r="J39" i="11"/>
  <c r="M39" i="11"/>
  <c r="H39" i="11"/>
  <c r="L39" i="11"/>
  <c r="N39" i="11"/>
  <c r="P39" i="11"/>
  <c r="D39" i="11"/>
  <c r="Q39" i="11"/>
  <c r="E36" i="57"/>
  <c r="F36" i="41"/>
  <c r="E36" i="41"/>
  <c r="J36" i="41"/>
  <c r="M36" i="41"/>
  <c r="H36" i="41"/>
  <c r="L36" i="41"/>
  <c r="N36" i="41"/>
  <c r="P36" i="41"/>
  <c r="D36" i="41"/>
  <c r="Q36" i="41"/>
  <c r="F37" i="41"/>
  <c r="E37" i="41"/>
  <c r="J37" i="41"/>
  <c r="M37" i="41"/>
  <c r="H37" i="41"/>
  <c r="L37" i="41"/>
  <c r="N37" i="41"/>
  <c r="P37" i="41"/>
  <c r="D37" i="41"/>
  <c r="Q37" i="41"/>
  <c r="F38" i="41"/>
  <c r="E38" i="41"/>
  <c r="J38" i="41"/>
  <c r="M38" i="41"/>
  <c r="H38" i="41"/>
  <c r="L38" i="41"/>
  <c r="N38" i="41"/>
  <c r="P38" i="41"/>
  <c r="D38" i="41"/>
  <c r="Q38" i="41"/>
  <c r="F39" i="41"/>
  <c r="E39" i="41"/>
  <c r="J39" i="41"/>
  <c r="M39" i="41"/>
  <c r="H39" i="41"/>
  <c r="L39" i="41"/>
  <c r="N39" i="41"/>
  <c r="P39" i="41"/>
  <c r="D39" i="41"/>
  <c r="Q39" i="41"/>
  <c r="F36" i="57"/>
  <c r="G36" i="13"/>
  <c r="H36" i="13"/>
  <c r="L36" i="13"/>
  <c r="O36" i="13"/>
  <c r="N36" i="13"/>
  <c r="P36" i="13"/>
  <c r="R36" i="13"/>
  <c r="S36" i="13"/>
  <c r="G37" i="13"/>
  <c r="H37" i="13"/>
  <c r="L37" i="13"/>
  <c r="O37" i="13"/>
  <c r="J37" i="13"/>
  <c r="N37" i="13"/>
  <c r="P37" i="13"/>
  <c r="R37" i="13"/>
  <c r="S37" i="13"/>
  <c r="G38" i="13"/>
  <c r="H38" i="13"/>
  <c r="L38" i="13"/>
  <c r="O38" i="13"/>
  <c r="J38" i="13"/>
  <c r="N38" i="13"/>
  <c r="P38" i="13"/>
  <c r="R38" i="13"/>
  <c r="S38" i="13"/>
  <c r="G39" i="13"/>
  <c r="H39" i="13"/>
  <c r="L39" i="13"/>
  <c r="O39" i="13"/>
  <c r="J39" i="13"/>
  <c r="N39" i="13"/>
  <c r="P39" i="13"/>
  <c r="R39" i="13"/>
  <c r="S39" i="13"/>
  <c r="G36" i="57"/>
  <c r="G36" i="14"/>
  <c r="E36" i="14"/>
  <c r="K36" i="14"/>
  <c r="N36" i="14"/>
  <c r="D36" i="14"/>
  <c r="I36" i="14"/>
  <c r="M36" i="14"/>
  <c r="O36" i="14"/>
  <c r="Q36" i="14"/>
  <c r="R36" i="14"/>
  <c r="G37" i="14"/>
  <c r="E37" i="14"/>
  <c r="K37" i="14"/>
  <c r="N37" i="14"/>
  <c r="D37" i="14"/>
  <c r="I37" i="14"/>
  <c r="M37" i="14"/>
  <c r="O37" i="14"/>
  <c r="Q37" i="14"/>
  <c r="R37" i="14"/>
  <c r="G38" i="14"/>
  <c r="E38" i="14"/>
  <c r="K38" i="14"/>
  <c r="N38" i="14"/>
  <c r="D38" i="14"/>
  <c r="I38" i="14"/>
  <c r="M38" i="14"/>
  <c r="O38" i="14"/>
  <c r="Q38" i="14"/>
  <c r="R38" i="14"/>
  <c r="G39" i="14"/>
  <c r="E39" i="14"/>
  <c r="K39" i="14"/>
  <c r="N39" i="14"/>
  <c r="D39" i="14"/>
  <c r="I39" i="14"/>
  <c r="M39" i="14"/>
  <c r="O39" i="14"/>
  <c r="Q39" i="14"/>
  <c r="R39" i="14"/>
  <c r="H36" i="57"/>
  <c r="G36" i="15"/>
  <c r="E36" i="15"/>
  <c r="K36" i="15"/>
  <c r="N36" i="15"/>
  <c r="D36" i="15"/>
  <c r="I36" i="15"/>
  <c r="M36" i="15"/>
  <c r="O36" i="15"/>
  <c r="Q36" i="15"/>
  <c r="R36" i="15"/>
  <c r="G37" i="15"/>
  <c r="E37" i="15"/>
  <c r="K37" i="15"/>
  <c r="N37" i="15"/>
  <c r="D37" i="15"/>
  <c r="I37" i="15"/>
  <c r="M37" i="15"/>
  <c r="O37" i="15"/>
  <c r="Q37" i="15"/>
  <c r="R37" i="15"/>
  <c r="G38" i="15"/>
  <c r="E38" i="15"/>
  <c r="K38" i="15"/>
  <c r="N38" i="15"/>
  <c r="D38" i="15"/>
  <c r="I38" i="15"/>
  <c r="M38" i="15"/>
  <c r="O38" i="15"/>
  <c r="Q38" i="15"/>
  <c r="R38" i="15"/>
  <c r="G39" i="15"/>
  <c r="E39" i="15"/>
  <c r="K39" i="15"/>
  <c r="N39" i="15"/>
  <c r="D39" i="15"/>
  <c r="I39" i="15"/>
  <c r="M39" i="15"/>
  <c r="O39" i="15"/>
  <c r="Q39" i="15"/>
  <c r="R39" i="15"/>
  <c r="I36" i="57"/>
  <c r="G36" i="45"/>
  <c r="E36" i="45"/>
  <c r="K36" i="45"/>
  <c r="N36" i="45"/>
  <c r="D36" i="45"/>
  <c r="I36" i="45"/>
  <c r="M36" i="45"/>
  <c r="O36" i="45"/>
  <c r="Q36" i="45"/>
  <c r="R36" i="45"/>
  <c r="D37" i="45"/>
  <c r="I37" i="45"/>
  <c r="K37" i="45"/>
  <c r="N37" i="45"/>
  <c r="M37" i="45"/>
  <c r="O37" i="45"/>
  <c r="Q37" i="45"/>
  <c r="R37" i="45"/>
  <c r="G38" i="45"/>
  <c r="E38" i="45"/>
  <c r="K38" i="45"/>
  <c r="N38" i="45"/>
  <c r="D38" i="45"/>
  <c r="I38" i="45"/>
  <c r="M38" i="45"/>
  <c r="O38" i="45"/>
  <c r="Q38" i="45"/>
  <c r="R38" i="45"/>
  <c r="G39" i="45"/>
  <c r="E39" i="45"/>
  <c r="K39" i="45"/>
  <c r="N39" i="45"/>
  <c r="D39" i="45"/>
  <c r="I39" i="45"/>
  <c r="M39" i="45"/>
  <c r="O39" i="45"/>
  <c r="Q39" i="45"/>
  <c r="R39" i="45"/>
  <c r="J36" i="57"/>
  <c r="H36" i="16"/>
  <c r="F36" i="16"/>
  <c r="L36" i="16"/>
  <c r="R36" i="16"/>
  <c r="D36" i="16"/>
  <c r="E36" i="16"/>
  <c r="S36" i="16"/>
  <c r="D37" i="16"/>
  <c r="J37" i="16"/>
  <c r="L37" i="16"/>
  <c r="R37" i="16"/>
  <c r="E37" i="16"/>
  <c r="S37" i="16"/>
  <c r="H38" i="16"/>
  <c r="F38" i="16"/>
  <c r="L38" i="16"/>
  <c r="R38" i="16"/>
  <c r="D38" i="16"/>
  <c r="E38" i="16"/>
  <c r="S38" i="16"/>
  <c r="H39" i="16"/>
  <c r="F39" i="16"/>
  <c r="L39" i="16"/>
  <c r="R39" i="16"/>
  <c r="D39" i="16"/>
  <c r="E39" i="16"/>
  <c r="S39" i="16"/>
  <c r="K36" i="57"/>
  <c r="E36" i="12"/>
  <c r="J36" i="12"/>
  <c r="M36" i="12"/>
  <c r="H36" i="12"/>
  <c r="L36" i="12"/>
  <c r="N36" i="12"/>
  <c r="P36" i="12"/>
  <c r="D36" i="12"/>
  <c r="Q36" i="12"/>
  <c r="E37" i="12"/>
  <c r="J37" i="12"/>
  <c r="M37" i="12"/>
  <c r="H37" i="12"/>
  <c r="L37" i="12"/>
  <c r="N37" i="12"/>
  <c r="P37" i="12"/>
  <c r="D37" i="12"/>
  <c r="Q37" i="12"/>
  <c r="E38" i="12"/>
  <c r="J38" i="12"/>
  <c r="M38" i="12"/>
  <c r="H38" i="12"/>
  <c r="L38" i="12"/>
  <c r="N38" i="12"/>
  <c r="P38" i="12"/>
  <c r="D38" i="12"/>
  <c r="Q38" i="12"/>
  <c r="E39" i="12"/>
  <c r="J39" i="12"/>
  <c r="M39" i="12"/>
  <c r="H39" i="12"/>
  <c r="L39" i="12"/>
  <c r="N39" i="12"/>
  <c r="P39" i="12"/>
  <c r="D39" i="12"/>
  <c r="Q39" i="12"/>
  <c r="L36" i="57"/>
  <c r="F36" i="18"/>
  <c r="E36" i="18"/>
  <c r="J36" i="18"/>
  <c r="M36" i="18"/>
  <c r="H36" i="18"/>
  <c r="L36" i="18"/>
  <c r="N36" i="18"/>
  <c r="P36" i="18"/>
  <c r="D36" i="18"/>
  <c r="Q36" i="18"/>
  <c r="F37" i="18"/>
  <c r="E37" i="18"/>
  <c r="J37" i="18"/>
  <c r="M37" i="18"/>
  <c r="H37" i="18"/>
  <c r="L37" i="18"/>
  <c r="N37" i="18"/>
  <c r="P37" i="18"/>
  <c r="D37" i="18"/>
  <c r="Q37" i="18"/>
  <c r="F38" i="18"/>
  <c r="E38" i="18"/>
  <c r="J38" i="18"/>
  <c r="M38" i="18"/>
  <c r="H38" i="18"/>
  <c r="L38" i="18"/>
  <c r="N38" i="18"/>
  <c r="P38" i="18"/>
  <c r="D38" i="18"/>
  <c r="Q38" i="18"/>
  <c r="F39" i="18"/>
  <c r="E39" i="18"/>
  <c r="J39" i="18"/>
  <c r="M39" i="18"/>
  <c r="H39" i="18"/>
  <c r="L39" i="18"/>
  <c r="N39" i="18"/>
  <c r="P39" i="18"/>
  <c r="D39" i="18"/>
  <c r="Q39" i="18"/>
  <c r="M36" i="57"/>
  <c r="F36" i="58"/>
  <c r="E36" i="58"/>
  <c r="J36" i="58"/>
  <c r="M36" i="58"/>
  <c r="H36" i="58"/>
  <c r="L36" i="58"/>
  <c r="N36" i="58"/>
  <c r="P36" i="58"/>
  <c r="D36" i="58"/>
  <c r="Q36" i="58"/>
  <c r="F37" i="58"/>
  <c r="E37" i="58"/>
  <c r="J37" i="58"/>
  <c r="M37" i="58"/>
  <c r="H37" i="58"/>
  <c r="L37" i="58"/>
  <c r="N37" i="58"/>
  <c r="P37" i="58"/>
  <c r="D37" i="58"/>
  <c r="Q37" i="58"/>
  <c r="F38" i="58"/>
  <c r="E38" i="58"/>
  <c r="J38" i="58"/>
  <c r="M38" i="58"/>
  <c r="H38" i="58"/>
  <c r="L38" i="58"/>
  <c r="N38" i="58"/>
  <c r="P38" i="58"/>
  <c r="D38" i="58"/>
  <c r="Q38" i="58"/>
  <c r="F39" i="58"/>
  <c r="E39" i="58"/>
  <c r="J39" i="58"/>
  <c r="M39" i="58"/>
  <c r="H39" i="58"/>
  <c r="L39" i="58"/>
  <c r="N39" i="58"/>
  <c r="P39" i="58"/>
  <c r="D39" i="58"/>
  <c r="Q39" i="58"/>
  <c r="N36" i="57"/>
  <c r="G36" i="42"/>
  <c r="F36" i="42"/>
  <c r="J36" i="42"/>
  <c r="K36" i="42"/>
  <c r="Q36" i="42"/>
  <c r="D36" i="42"/>
  <c r="E36" i="42"/>
  <c r="R36" i="42"/>
  <c r="G37" i="42"/>
  <c r="F37" i="42"/>
  <c r="J37" i="42"/>
  <c r="K37" i="42"/>
  <c r="Q37" i="42"/>
  <c r="D37" i="42"/>
  <c r="E37" i="42"/>
  <c r="R37" i="42"/>
  <c r="G38" i="42"/>
  <c r="F38" i="42"/>
  <c r="J38" i="42"/>
  <c r="K38" i="42"/>
  <c r="Q38" i="42"/>
  <c r="D38" i="42"/>
  <c r="E38" i="42"/>
  <c r="R38" i="42"/>
  <c r="G39" i="42"/>
  <c r="F39" i="42"/>
  <c r="K39" i="42"/>
  <c r="Q39" i="42"/>
  <c r="D39" i="42"/>
  <c r="E39" i="42"/>
  <c r="R39" i="42"/>
  <c r="O36" i="57"/>
  <c r="K36" i="19"/>
  <c r="G36" i="19"/>
  <c r="L36" i="19"/>
  <c r="R36" i="19"/>
  <c r="S36" i="19"/>
  <c r="C97" i="5"/>
  <c r="J37" i="19"/>
  <c r="L37" i="19"/>
  <c r="R37" i="19"/>
  <c r="S37" i="19"/>
  <c r="G38" i="19"/>
  <c r="H38" i="19"/>
  <c r="L38" i="19"/>
  <c r="R38" i="19"/>
  <c r="S38" i="19"/>
  <c r="G39" i="19"/>
  <c r="H39" i="19"/>
  <c r="L39" i="19"/>
  <c r="R39" i="19"/>
  <c r="S39" i="19"/>
  <c r="P36" i="57"/>
  <c r="B36" i="57"/>
  <c r="S32" i="57"/>
  <c r="C32" i="57"/>
  <c r="D32" i="57"/>
  <c r="E32" i="57"/>
  <c r="F32" i="57"/>
  <c r="G32" i="57"/>
  <c r="H32" i="57"/>
  <c r="I32" i="57"/>
  <c r="J32" i="57"/>
  <c r="J36" i="16"/>
  <c r="J38" i="16"/>
  <c r="J39" i="16"/>
  <c r="K32" i="57"/>
  <c r="Z36" i="12"/>
  <c r="AB36" i="12"/>
  <c r="AC36" i="12"/>
  <c r="Z37" i="12"/>
  <c r="AB37" i="12"/>
  <c r="AC37" i="12"/>
  <c r="Z38" i="12"/>
  <c r="AB38" i="12"/>
  <c r="AC38" i="12"/>
  <c r="Z39" i="12"/>
  <c r="AB39" i="12"/>
  <c r="AC39" i="12"/>
  <c r="L32" i="57"/>
  <c r="M32" i="57"/>
  <c r="N31" i="57"/>
  <c r="N30" i="57"/>
  <c r="N32" i="57"/>
  <c r="J36" i="19"/>
  <c r="J38" i="19"/>
  <c r="J39" i="19"/>
  <c r="P32" i="57"/>
  <c r="C37" i="57"/>
  <c r="O36" i="2"/>
  <c r="O37" i="2"/>
  <c r="O38" i="2"/>
  <c r="O39" i="2"/>
  <c r="D37" i="57"/>
  <c r="O36" i="11"/>
  <c r="O37" i="11"/>
  <c r="O38" i="11"/>
  <c r="O39" i="11"/>
  <c r="E37" i="57"/>
  <c r="O36" i="41"/>
  <c r="O37" i="41"/>
  <c r="O38" i="41"/>
  <c r="O39" i="41"/>
  <c r="F37" i="57"/>
  <c r="Q36" i="13"/>
  <c r="Q37" i="13"/>
  <c r="Q38" i="13"/>
  <c r="Q39" i="13"/>
  <c r="G37" i="57"/>
  <c r="P36" i="14"/>
  <c r="P37" i="14"/>
  <c r="P38" i="14"/>
  <c r="P39" i="14"/>
  <c r="H37" i="57"/>
  <c r="P36" i="15"/>
  <c r="P37" i="15"/>
  <c r="P38" i="15"/>
  <c r="P39" i="15"/>
  <c r="I37" i="57"/>
  <c r="J37" i="57"/>
  <c r="Q36" i="16"/>
  <c r="Q37" i="16"/>
  <c r="Q38" i="16"/>
  <c r="Q39" i="16"/>
  <c r="K37" i="57"/>
  <c r="O36" i="12"/>
  <c r="O37" i="12"/>
  <c r="O38" i="12"/>
  <c r="O39" i="12"/>
  <c r="L37" i="57"/>
  <c r="O36" i="18"/>
  <c r="O37" i="18"/>
  <c r="O38" i="18"/>
  <c r="O39" i="18"/>
  <c r="M37" i="57"/>
  <c r="O36" i="58"/>
  <c r="O37" i="58"/>
  <c r="O38" i="58"/>
  <c r="O39" i="58"/>
  <c r="N37" i="57"/>
  <c r="P36" i="42"/>
  <c r="P37" i="42"/>
  <c r="O37" i="57"/>
  <c r="B37" i="57"/>
  <c r="AE9" i="10"/>
  <c r="AE8" i="10"/>
  <c r="AE7" i="10"/>
  <c r="AE6" i="10"/>
  <c r="Q65" i="10"/>
  <c r="P9" i="10"/>
  <c r="T9" i="10"/>
  <c r="U9" i="10"/>
  <c r="U65" i="10"/>
  <c r="W65" i="10"/>
  <c r="AH65" i="10"/>
  <c r="AI65" i="10"/>
  <c r="Q64" i="10"/>
  <c r="U64" i="10"/>
  <c r="W64" i="10"/>
  <c r="AH64" i="10"/>
  <c r="AI64" i="10"/>
  <c r="Q63" i="10"/>
  <c r="U63" i="10"/>
  <c r="R63" i="10"/>
  <c r="W63" i="10"/>
  <c r="AH63" i="10"/>
  <c r="AI63" i="10"/>
  <c r="Q62" i="10"/>
  <c r="U62" i="10"/>
  <c r="W62" i="10"/>
  <c r="AH62" i="10"/>
  <c r="AI62" i="10"/>
  <c r="Q61" i="10"/>
  <c r="U61" i="10"/>
  <c r="W61" i="10"/>
  <c r="AH61" i="10"/>
  <c r="AI61" i="10"/>
  <c r="Q60" i="10"/>
  <c r="U60" i="10"/>
  <c r="R60" i="10"/>
  <c r="W60" i="10"/>
  <c r="AH60" i="10"/>
  <c r="AI60" i="10"/>
  <c r="Q59" i="10"/>
  <c r="U59" i="10"/>
  <c r="W59" i="10"/>
  <c r="AH59" i="10"/>
  <c r="AI59" i="10"/>
  <c r="Q58" i="10"/>
  <c r="U58" i="10"/>
  <c r="AH58" i="10"/>
  <c r="AI58" i="10"/>
  <c r="Q57" i="10"/>
  <c r="U57" i="10"/>
  <c r="W57" i="10"/>
  <c r="AH57" i="10"/>
  <c r="AI57" i="10"/>
  <c r="Q56" i="10"/>
  <c r="U56" i="10"/>
  <c r="R56" i="10"/>
  <c r="W56" i="10"/>
  <c r="AH56" i="10"/>
  <c r="AI56" i="10"/>
  <c r="Q55" i="10"/>
  <c r="U55" i="10"/>
  <c r="W55" i="10"/>
  <c r="AH55" i="10"/>
  <c r="AI55" i="10"/>
  <c r="Q54" i="10"/>
  <c r="U54" i="10"/>
  <c r="W54" i="10"/>
  <c r="AH54" i="10"/>
  <c r="AI54" i="10"/>
  <c r="Q52" i="10"/>
  <c r="U52" i="10"/>
  <c r="R52" i="10"/>
  <c r="W52" i="10"/>
  <c r="AH52" i="10"/>
  <c r="AI52" i="10"/>
  <c r="Q51" i="10"/>
  <c r="U51" i="10"/>
  <c r="W51" i="10"/>
  <c r="AH51" i="10"/>
  <c r="AI51" i="10"/>
  <c r="Q50" i="10"/>
  <c r="U50" i="10"/>
  <c r="R50" i="10"/>
  <c r="W50" i="10"/>
  <c r="AH50" i="10"/>
  <c r="AI50" i="10"/>
  <c r="Q49" i="10"/>
  <c r="U49" i="10"/>
  <c r="W49" i="10"/>
  <c r="AH49" i="10"/>
  <c r="AI49" i="10"/>
  <c r="Q48" i="10"/>
  <c r="U48" i="10"/>
  <c r="R48" i="10"/>
  <c r="W48" i="10"/>
  <c r="AH48" i="10"/>
  <c r="AI48" i="10"/>
  <c r="U47" i="10"/>
  <c r="W47" i="10"/>
  <c r="AH47" i="10"/>
  <c r="AI47" i="10"/>
  <c r="U46" i="10"/>
  <c r="W46" i="10"/>
  <c r="AH46" i="10"/>
  <c r="AI46" i="10"/>
  <c r="U45" i="10"/>
  <c r="W45" i="10"/>
  <c r="AH45" i="10"/>
  <c r="AI45" i="10"/>
  <c r="U44" i="10"/>
  <c r="W44" i="10"/>
  <c r="AH44" i="10"/>
  <c r="AI44" i="10"/>
  <c r="U43" i="10"/>
  <c r="W43" i="10"/>
  <c r="AH43" i="10"/>
  <c r="AI43" i="10"/>
  <c r="U42" i="10"/>
  <c r="W42" i="10"/>
  <c r="AH42" i="10"/>
  <c r="AI42" i="10"/>
  <c r="Q53" i="10"/>
  <c r="U53" i="10"/>
  <c r="W53" i="10"/>
  <c r="AH53" i="10"/>
  <c r="AI53" i="10"/>
  <c r="R41" i="10"/>
  <c r="P41" i="10"/>
  <c r="AH41" i="10"/>
  <c r="Q41" i="10"/>
  <c r="S44" i="57"/>
  <c r="AF37" i="10"/>
  <c r="AI37" i="10"/>
  <c r="AF38" i="10"/>
  <c r="AI38" i="10"/>
  <c r="AF39" i="10"/>
  <c r="AI39" i="10"/>
  <c r="S41" i="57"/>
  <c r="AG37" i="10"/>
  <c r="AG36" i="10"/>
  <c r="AG38" i="10"/>
  <c r="AG39" i="10"/>
  <c r="S40" i="57"/>
  <c r="S39" i="57"/>
  <c r="S38" i="57"/>
  <c r="S33" i="57"/>
  <c r="S31" i="57"/>
  <c r="S30" i="57"/>
  <c r="AF6" i="10"/>
  <c r="AG6" i="10"/>
  <c r="AF7" i="10"/>
  <c r="AG7" i="10"/>
  <c r="AF8" i="10"/>
  <c r="AG8" i="10"/>
  <c r="AF9" i="10"/>
  <c r="AG9" i="10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8" i="10"/>
  <c r="AG28" i="10"/>
  <c r="P29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S26" i="57"/>
  <c r="U6" i="10"/>
  <c r="AH6" i="10"/>
  <c r="AI6" i="10"/>
  <c r="U7" i="10"/>
  <c r="AH7" i="10"/>
  <c r="AI7" i="10"/>
  <c r="U8" i="10"/>
  <c r="AH8" i="10"/>
  <c r="AI8" i="10"/>
  <c r="AH9" i="10"/>
  <c r="AI9" i="10"/>
  <c r="U10" i="10"/>
  <c r="AH10" i="10"/>
  <c r="AI10" i="10"/>
  <c r="U11" i="10"/>
  <c r="AH11" i="10"/>
  <c r="AI11" i="10"/>
  <c r="U12" i="10"/>
  <c r="AH12" i="10"/>
  <c r="AI12" i="10"/>
  <c r="U13" i="10"/>
  <c r="AH13" i="10"/>
  <c r="AI13" i="10"/>
  <c r="U14" i="10"/>
  <c r="AH14" i="10"/>
  <c r="AI14" i="10"/>
  <c r="U15" i="10"/>
  <c r="AH15" i="10"/>
  <c r="AI15" i="10"/>
  <c r="U16" i="10"/>
  <c r="AH16" i="10"/>
  <c r="AI16" i="10"/>
  <c r="U17" i="10"/>
  <c r="AH17" i="10"/>
  <c r="AI17" i="10"/>
  <c r="U18" i="10"/>
  <c r="AH18" i="10"/>
  <c r="AI18" i="10"/>
  <c r="U19" i="10"/>
  <c r="AH19" i="10"/>
  <c r="AI19" i="10"/>
  <c r="U20" i="10"/>
  <c r="AH20" i="10"/>
  <c r="AI20" i="10"/>
  <c r="P21" i="10"/>
  <c r="U21" i="10"/>
  <c r="AH21" i="10"/>
  <c r="AI21" i="10"/>
  <c r="U22" i="10"/>
  <c r="AH22" i="10"/>
  <c r="AI22" i="10"/>
  <c r="U23" i="10"/>
  <c r="AH23" i="10"/>
  <c r="AI23" i="10"/>
  <c r="U24" i="10"/>
  <c r="AH24" i="10"/>
  <c r="AI24" i="10"/>
  <c r="U25" i="10"/>
  <c r="AH25" i="10"/>
  <c r="AI25" i="10"/>
  <c r="U26" i="10"/>
  <c r="AH26" i="10"/>
  <c r="AI26" i="10"/>
  <c r="AH28" i="10"/>
  <c r="AI28" i="10"/>
  <c r="AH29" i="10"/>
  <c r="AI29" i="10"/>
  <c r="AH30" i="10"/>
  <c r="AI30" i="10"/>
  <c r="AH31" i="10"/>
  <c r="AI31" i="10"/>
  <c r="AH32" i="10"/>
  <c r="AI32" i="10"/>
  <c r="AH33" i="10"/>
  <c r="AI33" i="10"/>
  <c r="AH34" i="10"/>
  <c r="AI34" i="10"/>
  <c r="S27" i="57"/>
  <c r="S25" i="57"/>
  <c r="S24" i="57"/>
  <c r="S19" i="57"/>
  <c r="S18" i="57"/>
  <c r="S17" i="57"/>
  <c r="AG4" i="10"/>
  <c r="S12" i="57"/>
  <c r="S5" i="57"/>
  <c r="S46" i="57"/>
  <c r="P4" i="10"/>
  <c r="S4" i="10"/>
  <c r="Y4" i="10"/>
  <c r="Z4" i="10"/>
  <c r="AB4" i="10"/>
  <c r="A6" i="10"/>
  <c r="P6" i="10"/>
  <c r="AA6" i="10"/>
  <c r="A7" i="10"/>
  <c r="P7" i="10"/>
  <c r="AA7" i="10"/>
  <c r="A8" i="10"/>
  <c r="P8" i="10"/>
  <c r="AA8" i="10"/>
  <c r="A9" i="10"/>
  <c r="AA9" i="10"/>
  <c r="A10" i="10"/>
  <c r="P10" i="10"/>
  <c r="AA10" i="10"/>
  <c r="A11" i="10"/>
  <c r="P11" i="10"/>
  <c r="AA11" i="10"/>
  <c r="A12" i="10"/>
  <c r="P12" i="10"/>
  <c r="AA12" i="10"/>
  <c r="A13" i="10"/>
  <c r="P13" i="10"/>
  <c r="AA13" i="10"/>
  <c r="A14" i="10"/>
  <c r="P14" i="10"/>
  <c r="AA14" i="10"/>
  <c r="A15" i="10"/>
  <c r="P15" i="10"/>
  <c r="AA15" i="10"/>
  <c r="A16" i="10"/>
  <c r="P16" i="10"/>
  <c r="AA16" i="10"/>
  <c r="A17" i="10"/>
  <c r="P17" i="10"/>
  <c r="AA17" i="10"/>
  <c r="A18" i="10"/>
  <c r="P18" i="10"/>
  <c r="AA18" i="10"/>
  <c r="A19" i="10"/>
  <c r="S19" i="10"/>
  <c r="AA19" i="10"/>
  <c r="A20" i="10"/>
  <c r="P20" i="10"/>
  <c r="AA20" i="10"/>
  <c r="A21" i="10"/>
  <c r="AA21" i="10"/>
  <c r="A22" i="10"/>
  <c r="P22" i="10"/>
  <c r="AA22" i="10"/>
  <c r="A23" i="10"/>
  <c r="P23" i="10"/>
  <c r="AA23" i="10"/>
  <c r="A24" i="10"/>
  <c r="S24" i="10"/>
  <c r="AA24" i="10"/>
  <c r="A25" i="10"/>
  <c r="P25" i="10"/>
  <c r="AA25" i="10"/>
  <c r="A26" i="10"/>
  <c r="S26" i="10"/>
  <c r="AA26" i="10"/>
  <c r="AC27" i="10"/>
  <c r="A28" i="10"/>
  <c r="S28" i="10"/>
  <c r="Z28" i="10"/>
  <c r="AA28" i="10"/>
  <c r="A29" i="10"/>
  <c r="S29" i="10"/>
  <c r="Z29" i="10"/>
  <c r="AA29" i="10"/>
  <c r="A30" i="10"/>
  <c r="S30" i="10"/>
  <c r="Z30" i="10"/>
  <c r="AA30" i="10"/>
  <c r="A31" i="10"/>
  <c r="S31" i="10"/>
  <c r="Z31" i="10"/>
  <c r="AA31" i="10"/>
  <c r="A32" i="10"/>
  <c r="S32" i="10"/>
  <c r="Z32" i="10"/>
  <c r="AA32" i="10"/>
  <c r="A33" i="10"/>
  <c r="S33" i="10"/>
  <c r="Z33" i="10"/>
  <c r="AA33" i="10"/>
  <c r="A34" i="10"/>
  <c r="S34" i="10"/>
  <c r="Z34" i="10"/>
  <c r="AA34" i="10"/>
  <c r="A36" i="10"/>
  <c r="S36" i="10"/>
  <c r="AA36" i="10"/>
  <c r="A37" i="10"/>
  <c r="S37" i="10"/>
  <c r="Z37" i="10"/>
  <c r="AA37" i="10"/>
  <c r="A38" i="10"/>
  <c r="S38" i="10"/>
  <c r="AA38" i="10"/>
  <c r="A39" i="10"/>
  <c r="S39" i="10"/>
  <c r="AA39" i="10"/>
  <c r="A41" i="10"/>
  <c r="W41" i="10"/>
  <c r="AD41" i="10"/>
  <c r="A42" i="10"/>
  <c r="AD42" i="10"/>
  <c r="A43" i="10"/>
  <c r="AD43" i="10"/>
  <c r="A44" i="10"/>
  <c r="AD44" i="10"/>
  <c r="A45" i="10"/>
  <c r="AD45" i="10"/>
  <c r="A46" i="10"/>
  <c r="AD46" i="10"/>
  <c r="A47" i="10"/>
  <c r="AD47" i="10"/>
  <c r="A48" i="10"/>
  <c r="AD48" i="10"/>
  <c r="A49" i="10"/>
  <c r="P49" i="10"/>
  <c r="AD49" i="10"/>
  <c r="A50" i="10"/>
  <c r="P50" i="10"/>
  <c r="AD50" i="10"/>
  <c r="A51" i="10"/>
  <c r="P51" i="10"/>
  <c r="AD51" i="10"/>
  <c r="A52" i="10"/>
  <c r="P52" i="10"/>
  <c r="AD52" i="10"/>
  <c r="A53" i="10"/>
  <c r="P53" i="10"/>
  <c r="AD53" i="10"/>
  <c r="A54" i="10"/>
  <c r="P54" i="10"/>
  <c r="AD54" i="10"/>
  <c r="A55" i="10"/>
  <c r="P55" i="10"/>
  <c r="AD55" i="10"/>
  <c r="A56" i="10"/>
  <c r="P56" i="10"/>
  <c r="AD56" i="10"/>
  <c r="A57" i="10"/>
  <c r="P57" i="10"/>
  <c r="AD57" i="10"/>
  <c r="A58" i="10"/>
  <c r="P58" i="10"/>
  <c r="A59" i="10"/>
  <c r="P59" i="10"/>
  <c r="AD59" i="10"/>
  <c r="A60" i="10"/>
  <c r="P60" i="10"/>
  <c r="AD60" i="10"/>
  <c r="A61" i="10"/>
  <c r="P61" i="10"/>
  <c r="AD61" i="10"/>
  <c r="A62" i="10"/>
  <c r="P62" i="10"/>
  <c r="AD62" i="10"/>
  <c r="A63" i="10"/>
  <c r="P63" i="10"/>
  <c r="AD63" i="10"/>
  <c r="A64" i="10"/>
  <c r="P64" i="10"/>
  <c r="AD64" i="10"/>
  <c r="A65" i="10"/>
  <c r="P65" i="10"/>
  <c r="AD65" i="10"/>
  <c r="Q66" i="10"/>
  <c r="Q67" i="10"/>
  <c r="Q68" i="10"/>
  <c r="C30" i="57"/>
  <c r="D30" i="57"/>
  <c r="E30" i="57"/>
  <c r="F30" i="57"/>
  <c r="G30" i="57"/>
  <c r="H30" i="57"/>
  <c r="I30" i="57"/>
  <c r="J30" i="57"/>
  <c r="K30" i="57"/>
  <c r="L30" i="57"/>
  <c r="M30" i="57"/>
  <c r="O30" i="57"/>
  <c r="P30" i="57"/>
  <c r="Q30" i="57"/>
  <c r="B30" i="57"/>
  <c r="C18" i="57"/>
  <c r="E18" i="57"/>
  <c r="F18" i="57"/>
  <c r="G18" i="57"/>
  <c r="H18" i="57"/>
  <c r="J17" i="57"/>
  <c r="J18" i="57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8" i="16"/>
  <c r="J29" i="16"/>
  <c r="J30" i="16"/>
  <c r="J31" i="16"/>
  <c r="J32" i="16"/>
  <c r="J33" i="16"/>
  <c r="J34" i="16"/>
  <c r="K17" i="57"/>
  <c r="K18" i="57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8" i="12"/>
  <c r="AC29" i="12"/>
  <c r="AC30" i="12"/>
  <c r="AC31" i="12"/>
  <c r="AC32" i="12"/>
  <c r="AC33" i="12"/>
  <c r="AC34" i="12"/>
  <c r="L17" i="57"/>
  <c r="L18" i="57"/>
  <c r="M17" i="57"/>
  <c r="M18" i="57"/>
  <c r="N17" i="57"/>
  <c r="N18" i="57"/>
  <c r="I6" i="42"/>
  <c r="I7" i="42"/>
  <c r="I8" i="42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8" i="42"/>
  <c r="I29" i="42"/>
  <c r="I30" i="42"/>
  <c r="I31" i="42"/>
  <c r="I32" i="42"/>
  <c r="I33" i="42"/>
  <c r="I34" i="42"/>
  <c r="O17" i="57"/>
  <c r="O18" i="57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I28" i="19"/>
  <c r="J28" i="19"/>
  <c r="J29" i="19"/>
  <c r="J30" i="19"/>
  <c r="I31" i="19"/>
  <c r="J31" i="19"/>
  <c r="I32" i="19"/>
  <c r="J32" i="19"/>
  <c r="J33" i="19"/>
  <c r="J34" i="19"/>
  <c r="P18" i="57"/>
  <c r="I6" i="59"/>
  <c r="I7" i="59"/>
  <c r="I8" i="59"/>
  <c r="I9" i="59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8" i="59"/>
  <c r="I29" i="59"/>
  <c r="I30" i="59"/>
  <c r="I31" i="59"/>
  <c r="I32" i="59"/>
  <c r="I33" i="59"/>
  <c r="I34" i="59"/>
  <c r="Q18" i="57"/>
  <c r="B4" i="57"/>
  <c r="B6" i="57"/>
  <c r="B5" i="57"/>
  <c r="R46" i="57"/>
  <c r="C76" i="5"/>
  <c r="C77" i="5"/>
  <c r="C78" i="5"/>
  <c r="D36" i="20"/>
  <c r="R36" i="20"/>
  <c r="E36" i="20"/>
  <c r="S36" i="20"/>
  <c r="T36" i="20"/>
  <c r="U36" i="20"/>
  <c r="D37" i="20"/>
  <c r="R37" i="20"/>
  <c r="E37" i="20"/>
  <c r="S37" i="20"/>
  <c r="T37" i="20"/>
  <c r="U37" i="20"/>
  <c r="D38" i="20"/>
  <c r="R38" i="20"/>
  <c r="E38" i="20"/>
  <c r="S38" i="20"/>
  <c r="T38" i="20"/>
  <c r="U38" i="20"/>
  <c r="D39" i="20"/>
  <c r="R39" i="20"/>
  <c r="E39" i="20"/>
  <c r="S39" i="20"/>
  <c r="T39" i="20"/>
  <c r="U39" i="20"/>
  <c r="R40" i="57"/>
  <c r="R39" i="57"/>
  <c r="R38" i="57"/>
  <c r="D6" i="20"/>
  <c r="R6" i="20"/>
  <c r="E6" i="20"/>
  <c r="S6" i="20"/>
  <c r="T6" i="20"/>
  <c r="U6" i="20"/>
  <c r="D7" i="20"/>
  <c r="R7" i="20"/>
  <c r="E7" i="20"/>
  <c r="S7" i="20"/>
  <c r="T7" i="20"/>
  <c r="U7" i="20"/>
  <c r="D8" i="20"/>
  <c r="R8" i="20"/>
  <c r="E8" i="20"/>
  <c r="S8" i="20"/>
  <c r="T8" i="20"/>
  <c r="U8" i="20"/>
  <c r="D9" i="20"/>
  <c r="R9" i="20"/>
  <c r="E9" i="20"/>
  <c r="S9" i="20"/>
  <c r="T9" i="20"/>
  <c r="U9" i="20"/>
  <c r="D10" i="20"/>
  <c r="R10" i="20"/>
  <c r="E10" i="20"/>
  <c r="S10" i="20"/>
  <c r="T10" i="20"/>
  <c r="U10" i="20"/>
  <c r="D11" i="20"/>
  <c r="R11" i="20"/>
  <c r="E11" i="20"/>
  <c r="S11" i="20"/>
  <c r="T11" i="20"/>
  <c r="U11" i="20"/>
  <c r="D12" i="20"/>
  <c r="R12" i="20"/>
  <c r="E12" i="20"/>
  <c r="S12" i="20"/>
  <c r="T12" i="20"/>
  <c r="U12" i="20"/>
  <c r="D13" i="20"/>
  <c r="R13" i="20"/>
  <c r="E13" i="20"/>
  <c r="S13" i="20"/>
  <c r="T13" i="20"/>
  <c r="U13" i="20"/>
  <c r="D14" i="20"/>
  <c r="R14" i="20"/>
  <c r="E14" i="20"/>
  <c r="S14" i="20"/>
  <c r="T14" i="20"/>
  <c r="U14" i="20"/>
  <c r="D15" i="20"/>
  <c r="R15" i="20"/>
  <c r="E15" i="20"/>
  <c r="S15" i="20"/>
  <c r="T15" i="20"/>
  <c r="U15" i="20"/>
  <c r="D16" i="20"/>
  <c r="R16" i="20"/>
  <c r="E16" i="20"/>
  <c r="S16" i="20"/>
  <c r="T16" i="20"/>
  <c r="U16" i="20"/>
  <c r="D17" i="20"/>
  <c r="R17" i="20"/>
  <c r="E17" i="20"/>
  <c r="S17" i="20"/>
  <c r="T17" i="20"/>
  <c r="U17" i="20"/>
  <c r="D18" i="20"/>
  <c r="R18" i="20"/>
  <c r="E18" i="20"/>
  <c r="S18" i="20"/>
  <c r="T18" i="20"/>
  <c r="U18" i="20"/>
  <c r="D19" i="20"/>
  <c r="R19" i="20"/>
  <c r="E19" i="20"/>
  <c r="S19" i="20"/>
  <c r="T19" i="20"/>
  <c r="U19" i="20"/>
  <c r="D20" i="20"/>
  <c r="R20" i="20"/>
  <c r="E20" i="20"/>
  <c r="S20" i="20"/>
  <c r="T20" i="20"/>
  <c r="U20" i="20"/>
  <c r="D21" i="20"/>
  <c r="R21" i="20"/>
  <c r="E21" i="20"/>
  <c r="S21" i="20"/>
  <c r="T21" i="20"/>
  <c r="U21" i="20"/>
  <c r="D22" i="20"/>
  <c r="R22" i="20"/>
  <c r="E22" i="20"/>
  <c r="S22" i="20"/>
  <c r="T22" i="20"/>
  <c r="U22" i="20"/>
  <c r="D23" i="20"/>
  <c r="R23" i="20"/>
  <c r="E23" i="20"/>
  <c r="S23" i="20"/>
  <c r="T23" i="20"/>
  <c r="U23" i="20"/>
  <c r="D24" i="20"/>
  <c r="R24" i="20"/>
  <c r="E24" i="20"/>
  <c r="S24" i="20"/>
  <c r="T24" i="20"/>
  <c r="U24" i="20"/>
  <c r="D25" i="20"/>
  <c r="R25" i="20"/>
  <c r="E25" i="20"/>
  <c r="S25" i="20"/>
  <c r="T25" i="20"/>
  <c r="U25" i="20"/>
  <c r="D26" i="20"/>
  <c r="R26" i="20"/>
  <c r="E26" i="20"/>
  <c r="S26" i="20"/>
  <c r="T26" i="20"/>
  <c r="U26" i="20"/>
  <c r="D28" i="20"/>
  <c r="R28" i="20"/>
  <c r="E28" i="20"/>
  <c r="S28" i="20"/>
  <c r="T28" i="20"/>
  <c r="U28" i="20"/>
  <c r="D29" i="20"/>
  <c r="R29" i="20"/>
  <c r="E29" i="20"/>
  <c r="S29" i="20"/>
  <c r="T29" i="20"/>
  <c r="U29" i="20"/>
  <c r="D30" i="20"/>
  <c r="R30" i="20"/>
  <c r="E30" i="20"/>
  <c r="S30" i="20"/>
  <c r="T30" i="20"/>
  <c r="U30" i="20"/>
  <c r="D31" i="20"/>
  <c r="R31" i="20"/>
  <c r="E31" i="20"/>
  <c r="S31" i="20"/>
  <c r="T31" i="20"/>
  <c r="U31" i="20"/>
  <c r="D32" i="20"/>
  <c r="R32" i="20"/>
  <c r="E32" i="20"/>
  <c r="S32" i="20"/>
  <c r="T32" i="20"/>
  <c r="U32" i="20"/>
  <c r="D33" i="20"/>
  <c r="R33" i="20"/>
  <c r="E33" i="20"/>
  <c r="S33" i="20"/>
  <c r="T33" i="20"/>
  <c r="U33" i="20"/>
  <c r="D34" i="20"/>
  <c r="R34" i="20"/>
  <c r="E34" i="20"/>
  <c r="S34" i="20"/>
  <c r="T34" i="20"/>
  <c r="U34" i="20"/>
  <c r="R26" i="57"/>
  <c r="R25" i="57"/>
  <c r="R11" i="57"/>
  <c r="E56" i="54"/>
  <c r="E57" i="54"/>
  <c r="O17" i="54"/>
  <c r="N17" i="54"/>
  <c r="O23" i="54"/>
  <c r="N23" i="54"/>
  <c r="O24" i="54"/>
  <c r="N24" i="54"/>
  <c r="O25" i="54"/>
  <c r="N25" i="54"/>
  <c r="O36" i="54"/>
  <c r="N36" i="54"/>
  <c r="O42" i="54"/>
  <c r="N42" i="54"/>
  <c r="L17" i="54"/>
  <c r="L23" i="54"/>
  <c r="L24" i="54"/>
  <c r="L25" i="54"/>
  <c r="L36" i="54"/>
  <c r="L42" i="54"/>
  <c r="J17" i="54"/>
  <c r="J23" i="54"/>
  <c r="J24" i="54"/>
  <c r="J25" i="54"/>
  <c r="J42" i="54"/>
  <c r="O55" i="54"/>
  <c r="U37" i="59"/>
  <c r="U36" i="59"/>
  <c r="U34" i="59"/>
  <c r="U31" i="59"/>
  <c r="U28" i="59"/>
  <c r="U26" i="59"/>
  <c r="U24" i="59"/>
  <c r="U23" i="59"/>
  <c r="U22" i="59"/>
  <c r="U21" i="59"/>
  <c r="U20" i="59"/>
  <c r="U18" i="59"/>
  <c r="U17" i="59"/>
  <c r="U16" i="59"/>
  <c r="U15" i="59"/>
  <c r="U14" i="59"/>
  <c r="U12" i="59"/>
  <c r="U10" i="59"/>
  <c r="U8" i="59"/>
  <c r="U7" i="59"/>
  <c r="U6" i="59"/>
  <c r="D66" i="59"/>
  <c r="D68" i="59"/>
  <c r="C66" i="59"/>
  <c r="C68" i="59"/>
  <c r="E67" i="59"/>
  <c r="E66" i="59"/>
  <c r="E65" i="59"/>
  <c r="E64" i="59"/>
  <c r="E63" i="59"/>
  <c r="E62" i="59"/>
  <c r="E61" i="59"/>
  <c r="E60" i="59"/>
  <c r="E59" i="59"/>
  <c r="E58" i="59"/>
  <c r="E57" i="59"/>
  <c r="E56" i="59"/>
  <c r="E55" i="59"/>
  <c r="E54" i="59"/>
  <c r="E53" i="59"/>
  <c r="E52" i="59"/>
  <c r="E51" i="59"/>
  <c r="E50" i="59"/>
  <c r="E49" i="59"/>
  <c r="E48" i="59"/>
  <c r="E47" i="59"/>
  <c r="E46" i="59"/>
  <c r="E45" i="59"/>
  <c r="E44" i="59"/>
  <c r="E43" i="59"/>
  <c r="E42" i="59"/>
  <c r="E41" i="59"/>
  <c r="I41" i="59"/>
  <c r="X41" i="59"/>
  <c r="Y41" i="59"/>
  <c r="I42" i="59"/>
  <c r="X42" i="59"/>
  <c r="Y42" i="59"/>
  <c r="I43" i="59"/>
  <c r="X43" i="59"/>
  <c r="Y43" i="59"/>
  <c r="I44" i="59"/>
  <c r="X44" i="59"/>
  <c r="Y44" i="59"/>
  <c r="I45" i="59"/>
  <c r="X45" i="59"/>
  <c r="Y45" i="59"/>
  <c r="I46" i="59"/>
  <c r="X46" i="59"/>
  <c r="Y46" i="59"/>
  <c r="I47" i="59"/>
  <c r="X47" i="59"/>
  <c r="Y47" i="59"/>
  <c r="I48" i="59"/>
  <c r="X48" i="59"/>
  <c r="Y48" i="59"/>
  <c r="I49" i="59"/>
  <c r="X49" i="59"/>
  <c r="Y49" i="59"/>
  <c r="I50" i="59"/>
  <c r="X50" i="59"/>
  <c r="Y50" i="59"/>
  <c r="I51" i="59"/>
  <c r="X51" i="59"/>
  <c r="Y51" i="59"/>
  <c r="I52" i="59"/>
  <c r="X52" i="59"/>
  <c r="Y52" i="59"/>
  <c r="I53" i="59"/>
  <c r="X53" i="59"/>
  <c r="Y53" i="59"/>
  <c r="I54" i="59"/>
  <c r="X54" i="59"/>
  <c r="Y54" i="59"/>
  <c r="I55" i="59"/>
  <c r="X55" i="59"/>
  <c r="Y55" i="59"/>
  <c r="I56" i="59"/>
  <c r="X56" i="59"/>
  <c r="Y56" i="59"/>
  <c r="I57" i="59"/>
  <c r="X57" i="59"/>
  <c r="Y57" i="59"/>
  <c r="I58" i="59"/>
  <c r="X58" i="59"/>
  <c r="Y58" i="59"/>
  <c r="I59" i="59"/>
  <c r="X59" i="59"/>
  <c r="Y59" i="59"/>
  <c r="I60" i="59"/>
  <c r="X60" i="59"/>
  <c r="Y60" i="59"/>
  <c r="I61" i="59"/>
  <c r="X61" i="59"/>
  <c r="Y61" i="59"/>
  <c r="I62" i="59"/>
  <c r="X62" i="59"/>
  <c r="Y62" i="59"/>
  <c r="I63" i="59"/>
  <c r="X63" i="59"/>
  <c r="Y63" i="59"/>
  <c r="I64" i="59"/>
  <c r="X64" i="59"/>
  <c r="Y64" i="59"/>
  <c r="I65" i="59"/>
  <c r="X65" i="59"/>
  <c r="Y65" i="59"/>
  <c r="Q47" i="57"/>
  <c r="Q45" i="57"/>
  <c r="Q44" i="57"/>
  <c r="S36" i="59"/>
  <c r="T36" i="59"/>
  <c r="V36" i="59"/>
  <c r="W36" i="59"/>
  <c r="S37" i="59"/>
  <c r="T37" i="59"/>
  <c r="V37" i="59"/>
  <c r="W37" i="59"/>
  <c r="S38" i="59"/>
  <c r="T38" i="59"/>
  <c r="V38" i="59"/>
  <c r="W38" i="59"/>
  <c r="S39" i="59"/>
  <c r="T39" i="59"/>
  <c r="V39" i="59"/>
  <c r="W39" i="59"/>
  <c r="Q40" i="57"/>
  <c r="Q42" i="57"/>
  <c r="I36" i="59"/>
  <c r="X36" i="59"/>
  <c r="Y36" i="59"/>
  <c r="I37" i="59"/>
  <c r="X37" i="59"/>
  <c r="Y37" i="59"/>
  <c r="I38" i="59"/>
  <c r="X38" i="59"/>
  <c r="Y38" i="59"/>
  <c r="I39" i="59"/>
  <c r="X39" i="59"/>
  <c r="Y39" i="59"/>
  <c r="Q41" i="57"/>
  <c r="Q39" i="57"/>
  <c r="Q38" i="57"/>
  <c r="Q31" i="57"/>
  <c r="T6" i="59"/>
  <c r="V6" i="59"/>
  <c r="W6" i="59"/>
  <c r="T7" i="59"/>
  <c r="V7" i="59"/>
  <c r="W7" i="59"/>
  <c r="T8" i="59"/>
  <c r="V8" i="59"/>
  <c r="W8" i="59"/>
  <c r="T9" i="59"/>
  <c r="V9" i="59"/>
  <c r="W9" i="59"/>
  <c r="T10" i="59"/>
  <c r="V10" i="59"/>
  <c r="W10" i="59"/>
  <c r="T11" i="59"/>
  <c r="V11" i="59"/>
  <c r="W11" i="59"/>
  <c r="T12" i="59"/>
  <c r="V12" i="59"/>
  <c r="W12" i="59"/>
  <c r="T13" i="59"/>
  <c r="V13" i="59"/>
  <c r="W13" i="59"/>
  <c r="T14" i="59"/>
  <c r="V14" i="59"/>
  <c r="W14" i="59"/>
  <c r="T15" i="59"/>
  <c r="V15" i="59"/>
  <c r="W15" i="59"/>
  <c r="T16" i="59"/>
  <c r="V16" i="59"/>
  <c r="W16" i="59"/>
  <c r="T17" i="59"/>
  <c r="V17" i="59"/>
  <c r="W17" i="59"/>
  <c r="T18" i="59"/>
  <c r="V18" i="59"/>
  <c r="W18" i="59"/>
  <c r="T19" i="59"/>
  <c r="V19" i="59"/>
  <c r="W19" i="59"/>
  <c r="T20" i="59"/>
  <c r="V20" i="59"/>
  <c r="W20" i="59"/>
  <c r="T21" i="59"/>
  <c r="V21" i="59"/>
  <c r="W21" i="59"/>
  <c r="T22" i="59"/>
  <c r="V22" i="59"/>
  <c r="W22" i="59"/>
  <c r="T23" i="59"/>
  <c r="V23" i="59"/>
  <c r="W23" i="59"/>
  <c r="T24" i="59"/>
  <c r="V24" i="59"/>
  <c r="W24" i="59"/>
  <c r="T25" i="59"/>
  <c r="V25" i="59"/>
  <c r="W25" i="59"/>
  <c r="T26" i="59"/>
  <c r="V26" i="59"/>
  <c r="W26" i="59"/>
  <c r="T28" i="59"/>
  <c r="V28" i="59"/>
  <c r="W28" i="59"/>
  <c r="T29" i="59"/>
  <c r="V29" i="59"/>
  <c r="W29" i="59"/>
  <c r="T30" i="59"/>
  <c r="V30" i="59"/>
  <c r="W30" i="59"/>
  <c r="T31" i="59"/>
  <c r="V31" i="59"/>
  <c r="W31" i="59"/>
  <c r="T32" i="59"/>
  <c r="V32" i="59"/>
  <c r="W32" i="59"/>
  <c r="T33" i="59"/>
  <c r="V33" i="59"/>
  <c r="W33" i="59"/>
  <c r="T34" i="59"/>
  <c r="V34" i="59"/>
  <c r="W34" i="59"/>
  <c r="Q26" i="57"/>
  <c r="Q28" i="57"/>
  <c r="X6" i="59"/>
  <c r="Y6" i="59"/>
  <c r="X7" i="59"/>
  <c r="Y7" i="59"/>
  <c r="X8" i="59"/>
  <c r="Y8" i="59"/>
  <c r="X9" i="59"/>
  <c r="Y9" i="59"/>
  <c r="X10" i="59"/>
  <c r="Y10" i="59"/>
  <c r="X11" i="59"/>
  <c r="Y11" i="59"/>
  <c r="X12" i="59"/>
  <c r="Y12" i="59"/>
  <c r="X13" i="59"/>
  <c r="Y13" i="59"/>
  <c r="X14" i="59"/>
  <c r="Y14" i="59"/>
  <c r="X15" i="59"/>
  <c r="Y15" i="59"/>
  <c r="X16" i="59"/>
  <c r="Y16" i="59"/>
  <c r="X17" i="59"/>
  <c r="Y17" i="59"/>
  <c r="X18" i="59"/>
  <c r="Y18" i="59"/>
  <c r="X19" i="59"/>
  <c r="Y19" i="59"/>
  <c r="X20" i="59"/>
  <c r="Y20" i="59"/>
  <c r="X21" i="59"/>
  <c r="Y21" i="59"/>
  <c r="X22" i="59"/>
  <c r="Y22" i="59"/>
  <c r="X23" i="59"/>
  <c r="Y23" i="59"/>
  <c r="X24" i="59"/>
  <c r="Y24" i="59"/>
  <c r="X25" i="59"/>
  <c r="Y25" i="59"/>
  <c r="X26" i="59"/>
  <c r="Y26" i="59"/>
  <c r="X28" i="59"/>
  <c r="Y28" i="59"/>
  <c r="X29" i="59"/>
  <c r="Y29" i="59"/>
  <c r="X30" i="59"/>
  <c r="Y30" i="59"/>
  <c r="X31" i="59"/>
  <c r="Y31" i="59"/>
  <c r="X32" i="59"/>
  <c r="Y32" i="59"/>
  <c r="X33" i="59"/>
  <c r="Y33" i="59"/>
  <c r="X34" i="59"/>
  <c r="Y34" i="59"/>
  <c r="Q27" i="57"/>
  <c r="Q24" i="57"/>
  <c r="Q25" i="57"/>
  <c r="Q17" i="57"/>
  <c r="Q14" i="57"/>
  <c r="X4" i="59"/>
  <c r="Y4" i="59"/>
  <c r="Q13" i="57"/>
  <c r="Q11" i="57"/>
  <c r="Q5" i="57"/>
  <c r="C44" i="5"/>
  <c r="E68" i="59"/>
  <c r="G65" i="59"/>
  <c r="A6" i="59"/>
  <c r="A7" i="59"/>
  <c r="A8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8" i="59"/>
  <c r="A29" i="59"/>
  <c r="A30" i="59"/>
  <c r="A31" i="59"/>
  <c r="A32" i="59"/>
  <c r="A33" i="59"/>
  <c r="A34" i="59"/>
  <c r="A36" i="59"/>
  <c r="A37" i="59"/>
  <c r="A38" i="59"/>
  <c r="A39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G64" i="59"/>
  <c r="G63" i="59"/>
  <c r="G62" i="59"/>
  <c r="G61" i="59"/>
  <c r="G60" i="59"/>
  <c r="G59" i="59"/>
  <c r="G58" i="59"/>
  <c r="G57" i="59"/>
  <c r="G56" i="59"/>
  <c r="G55" i="59"/>
  <c r="G54" i="59"/>
  <c r="G53" i="59"/>
  <c r="G52" i="59"/>
  <c r="G51" i="59"/>
  <c r="G50" i="59"/>
  <c r="G49" i="59"/>
  <c r="G48" i="59"/>
  <c r="G47" i="59"/>
  <c r="G46" i="59"/>
  <c r="G45" i="59"/>
  <c r="G44" i="59"/>
  <c r="G43" i="59"/>
  <c r="G42" i="59"/>
  <c r="G41" i="59"/>
  <c r="P39" i="59"/>
  <c r="P38" i="59"/>
  <c r="P37" i="59"/>
  <c r="P36" i="59"/>
  <c r="Q34" i="59"/>
  <c r="R34" i="59"/>
  <c r="P34" i="59"/>
  <c r="Q33" i="59"/>
  <c r="R33" i="59"/>
  <c r="P33" i="59"/>
  <c r="Q32" i="59"/>
  <c r="R32" i="59"/>
  <c r="P32" i="59"/>
  <c r="Q31" i="59"/>
  <c r="R31" i="59"/>
  <c r="P31" i="59"/>
  <c r="Q30" i="59"/>
  <c r="R30" i="59"/>
  <c r="P30" i="59"/>
  <c r="Q29" i="59"/>
  <c r="R29" i="59"/>
  <c r="P29" i="59"/>
  <c r="Q28" i="59"/>
  <c r="R28" i="59"/>
  <c r="P28" i="59"/>
  <c r="Q26" i="59"/>
  <c r="R26" i="59"/>
  <c r="P26" i="59"/>
  <c r="Q25" i="59"/>
  <c r="R25" i="59"/>
  <c r="P25" i="59"/>
  <c r="Q24" i="59"/>
  <c r="R24" i="59"/>
  <c r="P24" i="59"/>
  <c r="Q23" i="59"/>
  <c r="R23" i="59"/>
  <c r="P23" i="59"/>
  <c r="Q22" i="59"/>
  <c r="R22" i="59"/>
  <c r="P22" i="59"/>
  <c r="Q21" i="59"/>
  <c r="R21" i="59"/>
  <c r="P21" i="59"/>
  <c r="Q20" i="59"/>
  <c r="R20" i="59"/>
  <c r="P20" i="59"/>
  <c r="Q19" i="59"/>
  <c r="R19" i="59"/>
  <c r="P19" i="59"/>
  <c r="Q18" i="59"/>
  <c r="R18" i="59"/>
  <c r="P18" i="59"/>
  <c r="Q17" i="59"/>
  <c r="R17" i="59"/>
  <c r="P17" i="59"/>
  <c r="Q16" i="59"/>
  <c r="R16" i="59"/>
  <c r="P16" i="59"/>
  <c r="Q15" i="59"/>
  <c r="R15" i="59"/>
  <c r="P15" i="59"/>
  <c r="Q14" i="59"/>
  <c r="R14" i="59"/>
  <c r="P14" i="59"/>
  <c r="Q13" i="59"/>
  <c r="R13" i="59"/>
  <c r="P13" i="59"/>
  <c r="Q12" i="59"/>
  <c r="R12" i="59"/>
  <c r="P12" i="59"/>
  <c r="Q11" i="59"/>
  <c r="R11" i="59"/>
  <c r="P11" i="59"/>
  <c r="Q10" i="59"/>
  <c r="R10" i="59"/>
  <c r="P10" i="59"/>
  <c r="Q9" i="59"/>
  <c r="R9" i="59"/>
  <c r="P9" i="59"/>
  <c r="Q8" i="59"/>
  <c r="R8" i="59"/>
  <c r="P8" i="59"/>
  <c r="Q7" i="59"/>
  <c r="R7" i="59"/>
  <c r="P7" i="59"/>
  <c r="Q6" i="59"/>
  <c r="R6" i="59"/>
  <c r="P6" i="59"/>
  <c r="Q4" i="59"/>
  <c r="R4" i="59"/>
  <c r="G4" i="59"/>
  <c r="Y41" i="19"/>
  <c r="Z41" i="19"/>
  <c r="J42" i="19"/>
  <c r="Y42" i="19"/>
  <c r="Z42" i="19"/>
  <c r="J43" i="19"/>
  <c r="Y43" i="19"/>
  <c r="Z43" i="19"/>
  <c r="J44" i="19"/>
  <c r="Y44" i="19"/>
  <c r="Z44" i="19"/>
  <c r="J45" i="19"/>
  <c r="Y45" i="19"/>
  <c r="Z45" i="19"/>
  <c r="J46" i="19"/>
  <c r="Y46" i="19"/>
  <c r="Z46" i="19"/>
  <c r="J47" i="19"/>
  <c r="Y47" i="19"/>
  <c r="Z47" i="19"/>
  <c r="J48" i="19"/>
  <c r="Y48" i="19"/>
  <c r="Z48" i="19"/>
  <c r="J49" i="19"/>
  <c r="Y49" i="19"/>
  <c r="Z49" i="19"/>
  <c r="J50" i="19"/>
  <c r="Y50" i="19"/>
  <c r="Z50" i="19"/>
  <c r="J51" i="19"/>
  <c r="Y51" i="19"/>
  <c r="Z51" i="19"/>
  <c r="J52" i="19"/>
  <c r="Y52" i="19"/>
  <c r="Z52" i="19"/>
  <c r="J53" i="19"/>
  <c r="Y53" i="19"/>
  <c r="Z53" i="19"/>
  <c r="J54" i="19"/>
  <c r="Y54" i="19"/>
  <c r="Z54" i="19"/>
  <c r="J55" i="19"/>
  <c r="Y55" i="19"/>
  <c r="Z55" i="19"/>
  <c r="J56" i="19"/>
  <c r="Y56" i="19"/>
  <c r="Z56" i="19"/>
  <c r="J57" i="19"/>
  <c r="Y57" i="19"/>
  <c r="Z57" i="19"/>
  <c r="J58" i="19"/>
  <c r="Y58" i="19"/>
  <c r="Z58" i="19"/>
  <c r="J59" i="19"/>
  <c r="Y59" i="19"/>
  <c r="Z59" i="19"/>
  <c r="J60" i="19"/>
  <c r="Y60" i="19"/>
  <c r="Z60" i="19"/>
  <c r="J61" i="19"/>
  <c r="Y61" i="19"/>
  <c r="Z61" i="19"/>
  <c r="J62" i="19"/>
  <c r="Y62" i="19"/>
  <c r="Z62" i="19"/>
  <c r="J63" i="19"/>
  <c r="Y63" i="19"/>
  <c r="Z63" i="19"/>
  <c r="J64" i="19"/>
  <c r="Y64" i="19"/>
  <c r="Z64" i="19"/>
  <c r="J65" i="19"/>
  <c r="Y65" i="19"/>
  <c r="Z65" i="19"/>
  <c r="P47" i="57"/>
  <c r="P45" i="57"/>
  <c r="P44" i="57"/>
  <c r="T36" i="19"/>
  <c r="U36" i="19"/>
  <c r="V36" i="19"/>
  <c r="W36" i="19"/>
  <c r="X36" i="19"/>
  <c r="T37" i="19"/>
  <c r="U37" i="19"/>
  <c r="G37" i="19"/>
  <c r="V37" i="19"/>
  <c r="W37" i="19"/>
  <c r="X37" i="19"/>
  <c r="T38" i="19"/>
  <c r="U38" i="19"/>
  <c r="V38" i="19"/>
  <c r="W38" i="19"/>
  <c r="X38" i="19"/>
  <c r="T39" i="19"/>
  <c r="U39" i="19"/>
  <c r="V39" i="19"/>
  <c r="W39" i="19"/>
  <c r="X39" i="19"/>
  <c r="P40" i="57"/>
  <c r="P42" i="57"/>
  <c r="Y36" i="19"/>
  <c r="Z36" i="19"/>
  <c r="Y37" i="19"/>
  <c r="Z37" i="19"/>
  <c r="Y38" i="19"/>
  <c r="Z38" i="19"/>
  <c r="Y39" i="19"/>
  <c r="Z39" i="19"/>
  <c r="P41" i="57"/>
  <c r="P39" i="57"/>
  <c r="P38" i="57"/>
  <c r="P31" i="57"/>
  <c r="T6" i="19"/>
  <c r="U6" i="19"/>
  <c r="V6" i="19"/>
  <c r="W6" i="19"/>
  <c r="X6" i="19"/>
  <c r="T7" i="19"/>
  <c r="U7" i="19"/>
  <c r="V7" i="19"/>
  <c r="W7" i="19"/>
  <c r="X7" i="19"/>
  <c r="T8" i="19"/>
  <c r="U8" i="19"/>
  <c r="V8" i="19"/>
  <c r="W8" i="19"/>
  <c r="X8" i="19"/>
  <c r="T9" i="19"/>
  <c r="U9" i="19"/>
  <c r="V9" i="19"/>
  <c r="W9" i="19"/>
  <c r="X9" i="19"/>
  <c r="T10" i="19"/>
  <c r="U10" i="19"/>
  <c r="V10" i="19"/>
  <c r="W10" i="19"/>
  <c r="X10" i="19"/>
  <c r="T11" i="19"/>
  <c r="U11" i="19"/>
  <c r="V11" i="19"/>
  <c r="W11" i="19"/>
  <c r="X11" i="19"/>
  <c r="T12" i="19"/>
  <c r="U12" i="19"/>
  <c r="V12" i="19"/>
  <c r="W12" i="19"/>
  <c r="X12" i="19"/>
  <c r="T13" i="19"/>
  <c r="U13" i="19"/>
  <c r="V13" i="19"/>
  <c r="W13" i="19"/>
  <c r="X13" i="19"/>
  <c r="T14" i="19"/>
  <c r="U14" i="19"/>
  <c r="V14" i="19"/>
  <c r="W14" i="19"/>
  <c r="X14" i="19"/>
  <c r="T15" i="19"/>
  <c r="U15" i="19"/>
  <c r="V15" i="19"/>
  <c r="W15" i="19"/>
  <c r="X15" i="19"/>
  <c r="T16" i="19"/>
  <c r="U16" i="19"/>
  <c r="V16" i="19"/>
  <c r="W16" i="19"/>
  <c r="X16" i="19"/>
  <c r="T17" i="19"/>
  <c r="U17" i="19"/>
  <c r="V17" i="19"/>
  <c r="W17" i="19"/>
  <c r="X17" i="19"/>
  <c r="T18" i="19"/>
  <c r="U18" i="19"/>
  <c r="V18" i="19"/>
  <c r="W18" i="19"/>
  <c r="X18" i="19"/>
  <c r="T19" i="19"/>
  <c r="U19" i="19"/>
  <c r="V19" i="19"/>
  <c r="W19" i="19"/>
  <c r="X19" i="19"/>
  <c r="T20" i="19"/>
  <c r="U20" i="19"/>
  <c r="V20" i="19"/>
  <c r="W20" i="19"/>
  <c r="X20" i="19"/>
  <c r="T21" i="19"/>
  <c r="U21" i="19"/>
  <c r="V21" i="19"/>
  <c r="W21" i="19"/>
  <c r="X21" i="19"/>
  <c r="T22" i="19"/>
  <c r="U22" i="19"/>
  <c r="V22" i="19"/>
  <c r="W22" i="19"/>
  <c r="X22" i="19"/>
  <c r="T23" i="19"/>
  <c r="U23" i="19"/>
  <c r="V23" i="19"/>
  <c r="W23" i="19"/>
  <c r="X23" i="19"/>
  <c r="T24" i="19"/>
  <c r="U24" i="19"/>
  <c r="V24" i="19"/>
  <c r="W24" i="19"/>
  <c r="X24" i="19"/>
  <c r="T25" i="19"/>
  <c r="U25" i="19"/>
  <c r="V25" i="19"/>
  <c r="W25" i="19"/>
  <c r="X25" i="19"/>
  <c r="T26" i="19"/>
  <c r="U26" i="19"/>
  <c r="V26" i="19"/>
  <c r="W26" i="19"/>
  <c r="X26" i="19"/>
  <c r="T28" i="19"/>
  <c r="U28" i="19"/>
  <c r="V28" i="19"/>
  <c r="W28" i="19"/>
  <c r="X28" i="19"/>
  <c r="T29" i="19"/>
  <c r="U29" i="19"/>
  <c r="V29" i="19"/>
  <c r="W29" i="19"/>
  <c r="X29" i="19"/>
  <c r="T30" i="19"/>
  <c r="U30" i="19"/>
  <c r="V30" i="19"/>
  <c r="W30" i="19"/>
  <c r="X30" i="19"/>
  <c r="T31" i="19"/>
  <c r="U31" i="19"/>
  <c r="V31" i="19"/>
  <c r="W31" i="19"/>
  <c r="X31" i="19"/>
  <c r="T32" i="19"/>
  <c r="U32" i="19"/>
  <c r="V32" i="19"/>
  <c r="W32" i="19"/>
  <c r="X32" i="19"/>
  <c r="T33" i="19"/>
  <c r="U33" i="19"/>
  <c r="V33" i="19"/>
  <c r="W33" i="19"/>
  <c r="X33" i="19"/>
  <c r="T34" i="19"/>
  <c r="U34" i="19"/>
  <c r="V34" i="19"/>
  <c r="W34" i="19"/>
  <c r="X34" i="19"/>
  <c r="P26" i="57"/>
  <c r="P28" i="57"/>
  <c r="Y6" i="19"/>
  <c r="Z6" i="19"/>
  <c r="Y7" i="19"/>
  <c r="Z7" i="19"/>
  <c r="Y8" i="19"/>
  <c r="Z8" i="19"/>
  <c r="Y9" i="19"/>
  <c r="Z9" i="19"/>
  <c r="Y10" i="19"/>
  <c r="Z10" i="19"/>
  <c r="Y11" i="19"/>
  <c r="Z11" i="19"/>
  <c r="Y12" i="19"/>
  <c r="Z12" i="19"/>
  <c r="Y13" i="19"/>
  <c r="Z13" i="19"/>
  <c r="Y14" i="19"/>
  <c r="Z14" i="19"/>
  <c r="Y15" i="19"/>
  <c r="Z15" i="19"/>
  <c r="Z16" i="19"/>
  <c r="Y17" i="19"/>
  <c r="Z17" i="19"/>
  <c r="Y18" i="19"/>
  <c r="Z18" i="19"/>
  <c r="Y19" i="19"/>
  <c r="Z19" i="19"/>
  <c r="Y20" i="19"/>
  <c r="Z20" i="19"/>
  <c r="Y21" i="19"/>
  <c r="Z21" i="19"/>
  <c r="Y22" i="19"/>
  <c r="Z22" i="19"/>
  <c r="Y23" i="19"/>
  <c r="Z23" i="19"/>
  <c r="Y24" i="19"/>
  <c r="Z24" i="19"/>
  <c r="Y25" i="19"/>
  <c r="Z25" i="19"/>
  <c r="Y26" i="19"/>
  <c r="Z26" i="19"/>
  <c r="Y28" i="19"/>
  <c r="Z28" i="19"/>
  <c r="Y29" i="19"/>
  <c r="Z29" i="19"/>
  <c r="Y30" i="19"/>
  <c r="Z30" i="19"/>
  <c r="Y31" i="19"/>
  <c r="Z31" i="19"/>
  <c r="Y32" i="19"/>
  <c r="Z32" i="19"/>
  <c r="Y33" i="19"/>
  <c r="Z33" i="19"/>
  <c r="Y34" i="19"/>
  <c r="Z34" i="19"/>
  <c r="P27" i="57"/>
  <c r="P25" i="57"/>
  <c r="X6" i="42"/>
  <c r="U6" i="42"/>
  <c r="V6" i="42"/>
  <c r="Y6" i="42"/>
  <c r="X7" i="42"/>
  <c r="U7" i="42"/>
  <c r="V7" i="42"/>
  <c r="Y7" i="42"/>
  <c r="X8" i="42"/>
  <c r="U8" i="42"/>
  <c r="V8" i="42"/>
  <c r="Y8" i="42"/>
  <c r="X9" i="42"/>
  <c r="U9" i="42"/>
  <c r="V9" i="42"/>
  <c r="Y9" i="42"/>
  <c r="X10" i="42"/>
  <c r="U10" i="42"/>
  <c r="V10" i="42"/>
  <c r="Y10" i="42"/>
  <c r="X11" i="42"/>
  <c r="U11" i="42"/>
  <c r="V11" i="42"/>
  <c r="Y11" i="42"/>
  <c r="X12" i="42"/>
  <c r="U12" i="42"/>
  <c r="V12" i="42"/>
  <c r="Y12" i="42"/>
  <c r="X13" i="42"/>
  <c r="U13" i="42"/>
  <c r="V13" i="42"/>
  <c r="Y13" i="42"/>
  <c r="X14" i="42"/>
  <c r="U14" i="42"/>
  <c r="V14" i="42"/>
  <c r="Y14" i="42"/>
  <c r="X15" i="42"/>
  <c r="U15" i="42"/>
  <c r="V15" i="42"/>
  <c r="Y15" i="42"/>
  <c r="X16" i="42"/>
  <c r="U16" i="42"/>
  <c r="V16" i="42"/>
  <c r="Y16" i="42"/>
  <c r="X17" i="42"/>
  <c r="U17" i="42"/>
  <c r="V17" i="42"/>
  <c r="Y17" i="42"/>
  <c r="X18" i="42"/>
  <c r="U18" i="42"/>
  <c r="V18" i="42"/>
  <c r="Y18" i="42"/>
  <c r="X19" i="42"/>
  <c r="U19" i="42"/>
  <c r="V19" i="42"/>
  <c r="Y19" i="42"/>
  <c r="X20" i="42"/>
  <c r="U20" i="42"/>
  <c r="V20" i="42"/>
  <c r="Y20" i="42"/>
  <c r="X21" i="42"/>
  <c r="U21" i="42"/>
  <c r="V21" i="42"/>
  <c r="Y21" i="42"/>
  <c r="X22" i="42"/>
  <c r="U22" i="42"/>
  <c r="V22" i="42"/>
  <c r="Y22" i="42"/>
  <c r="X23" i="42"/>
  <c r="U23" i="42"/>
  <c r="V23" i="42"/>
  <c r="Y23" i="42"/>
  <c r="X24" i="42"/>
  <c r="U24" i="42"/>
  <c r="V24" i="42"/>
  <c r="Y24" i="42"/>
  <c r="X25" i="42"/>
  <c r="U25" i="42"/>
  <c r="V25" i="42"/>
  <c r="Y25" i="42"/>
  <c r="X26" i="42"/>
  <c r="U26" i="42"/>
  <c r="V26" i="42"/>
  <c r="Y26" i="42"/>
  <c r="X28" i="42"/>
  <c r="U28" i="42"/>
  <c r="V28" i="42"/>
  <c r="Y28" i="42"/>
  <c r="X29" i="42"/>
  <c r="U29" i="42"/>
  <c r="V29" i="42"/>
  <c r="Y29" i="42"/>
  <c r="X30" i="42"/>
  <c r="U30" i="42"/>
  <c r="V30" i="42"/>
  <c r="Y30" i="42"/>
  <c r="X31" i="42"/>
  <c r="U31" i="42"/>
  <c r="V31" i="42"/>
  <c r="Y31" i="42"/>
  <c r="X32" i="42"/>
  <c r="U32" i="42"/>
  <c r="V32" i="42"/>
  <c r="Y32" i="42"/>
  <c r="X33" i="42"/>
  <c r="U33" i="42"/>
  <c r="V33" i="42"/>
  <c r="Y33" i="42"/>
  <c r="X34" i="42"/>
  <c r="U34" i="42"/>
  <c r="V34" i="42"/>
  <c r="Y34" i="42"/>
  <c r="O27" i="57"/>
  <c r="S6" i="42"/>
  <c r="T6" i="42"/>
  <c r="W6" i="42"/>
  <c r="S7" i="42"/>
  <c r="T7" i="42"/>
  <c r="W7" i="42"/>
  <c r="S8" i="42"/>
  <c r="T8" i="42"/>
  <c r="W8" i="42"/>
  <c r="S9" i="42"/>
  <c r="T9" i="42"/>
  <c r="W9" i="42"/>
  <c r="S10" i="42"/>
  <c r="T10" i="42"/>
  <c r="W10" i="42"/>
  <c r="S11" i="42"/>
  <c r="T11" i="42"/>
  <c r="W11" i="42"/>
  <c r="S12" i="42"/>
  <c r="T12" i="42"/>
  <c r="W12" i="42"/>
  <c r="S13" i="42"/>
  <c r="T13" i="42"/>
  <c r="W13" i="42"/>
  <c r="S14" i="42"/>
  <c r="T14" i="42"/>
  <c r="W14" i="42"/>
  <c r="S15" i="42"/>
  <c r="T15" i="42"/>
  <c r="W15" i="42"/>
  <c r="S16" i="42"/>
  <c r="T16" i="42"/>
  <c r="W16" i="42"/>
  <c r="S17" i="42"/>
  <c r="T17" i="42"/>
  <c r="W17" i="42"/>
  <c r="S18" i="42"/>
  <c r="T18" i="42"/>
  <c r="W18" i="42"/>
  <c r="S19" i="42"/>
  <c r="T19" i="42"/>
  <c r="W19" i="42"/>
  <c r="S20" i="42"/>
  <c r="T20" i="42"/>
  <c r="W20" i="42"/>
  <c r="S21" i="42"/>
  <c r="T21" i="42"/>
  <c r="W21" i="42"/>
  <c r="S22" i="42"/>
  <c r="T22" i="42"/>
  <c r="W22" i="42"/>
  <c r="S23" i="42"/>
  <c r="T23" i="42"/>
  <c r="W23" i="42"/>
  <c r="S24" i="42"/>
  <c r="T24" i="42"/>
  <c r="W24" i="42"/>
  <c r="S25" i="42"/>
  <c r="T25" i="42"/>
  <c r="W25" i="42"/>
  <c r="S26" i="42"/>
  <c r="T26" i="42"/>
  <c r="W26" i="42"/>
  <c r="S28" i="42"/>
  <c r="T28" i="42"/>
  <c r="W28" i="42"/>
  <c r="S29" i="42"/>
  <c r="T29" i="42"/>
  <c r="W29" i="42"/>
  <c r="S30" i="42"/>
  <c r="T30" i="42"/>
  <c r="W30" i="42"/>
  <c r="S31" i="42"/>
  <c r="T31" i="42"/>
  <c r="W31" i="42"/>
  <c r="S32" i="42"/>
  <c r="T32" i="42"/>
  <c r="W32" i="42"/>
  <c r="S33" i="42"/>
  <c r="T33" i="42"/>
  <c r="W33" i="42"/>
  <c r="S34" i="42"/>
  <c r="T34" i="42"/>
  <c r="W34" i="42"/>
  <c r="O26" i="57"/>
  <c r="O25" i="57"/>
  <c r="P24" i="57"/>
  <c r="P17" i="57"/>
  <c r="Y4" i="19"/>
  <c r="Z4" i="19"/>
  <c r="P13" i="57"/>
  <c r="P9" i="57"/>
  <c r="P11" i="57"/>
  <c r="P5" i="57"/>
  <c r="C27" i="46"/>
  <c r="H37" i="19"/>
  <c r="H36" i="19"/>
  <c r="H29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8" i="19"/>
  <c r="A29" i="19"/>
  <c r="A30" i="19"/>
  <c r="A31" i="19"/>
  <c r="A32" i="19"/>
  <c r="A33" i="19"/>
  <c r="A34" i="19"/>
  <c r="A36" i="19"/>
  <c r="A37" i="19"/>
  <c r="A38" i="19"/>
  <c r="A39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Q39" i="19"/>
  <c r="Q38" i="19"/>
  <c r="Q37" i="19"/>
  <c r="Q36" i="19"/>
  <c r="Q34" i="19"/>
  <c r="Q33" i="19"/>
  <c r="Q32" i="19"/>
  <c r="Q31" i="19"/>
  <c r="Q30" i="19"/>
  <c r="Q29" i="19"/>
  <c r="Q28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Q10" i="19"/>
  <c r="Q9" i="19"/>
  <c r="Q8" i="19"/>
  <c r="Q7" i="19"/>
  <c r="Q6" i="19"/>
  <c r="R4" i="19"/>
  <c r="S4" i="19"/>
  <c r="D41" i="42"/>
  <c r="I41" i="42"/>
  <c r="X41" i="42"/>
  <c r="D42" i="42"/>
  <c r="I42" i="42"/>
  <c r="X42" i="42"/>
  <c r="D43" i="42"/>
  <c r="I43" i="42"/>
  <c r="X43" i="42"/>
  <c r="D44" i="42"/>
  <c r="I44" i="42"/>
  <c r="X44" i="42"/>
  <c r="D45" i="42"/>
  <c r="I45" i="42"/>
  <c r="X45" i="42"/>
  <c r="E41" i="42"/>
  <c r="Y41" i="42"/>
  <c r="E42" i="42"/>
  <c r="Y42" i="42"/>
  <c r="E43" i="42"/>
  <c r="Y43" i="42"/>
  <c r="E44" i="42"/>
  <c r="Y44" i="42"/>
  <c r="E45" i="42"/>
  <c r="Y45" i="42"/>
  <c r="D46" i="42"/>
  <c r="I46" i="42"/>
  <c r="X46" i="42"/>
  <c r="E46" i="42"/>
  <c r="Y46" i="42"/>
  <c r="D47" i="42"/>
  <c r="I47" i="42"/>
  <c r="X47" i="42"/>
  <c r="E47" i="42"/>
  <c r="Y47" i="42"/>
  <c r="D48" i="42"/>
  <c r="I48" i="42"/>
  <c r="X48" i="42"/>
  <c r="E48" i="42"/>
  <c r="Y48" i="42"/>
  <c r="D49" i="42"/>
  <c r="I49" i="42"/>
  <c r="X49" i="42"/>
  <c r="E49" i="42"/>
  <c r="Y49" i="42"/>
  <c r="D50" i="42"/>
  <c r="I50" i="42"/>
  <c r="X50" i="42"/>
  <c r="E50" i="42"/>
  <c r="Y50" i="42"/>
  <c r="D51" i="42"/>
  <c r="I51" i="42"/>
  <c r="X51" i="42"/>
  <c r="E51" i="42"/>
  <c r="Y51" i="42"/>
  <c r="D52" i="42"/>
  <c r="I52" i="42"/>
  <c r="X52" i="42"/>
  <c r="E52" i="42"/>
  <c r="Y52" i="42"/>
  <c r="D53" i="42"/>
  <c r="I53" i="42"/>
  <c r="X53" i="42"/>
  <c r="E53" i="42"/>
  <c r="Y53" i="42"/>
  <c r="D54" i="42"/>
  <c r="I54" i="42"/>
  <c r="X54" i="42"/>
  <c r="E54" i="42"/>
  <c r="Y54" i="42"/>
  <c r="D55" i="42"/>
  <c r="I55" i="42"/>
  <c r="X55" i="42"/>
  <c r="E55" i="42"/>
  <c r="Y55" i="42"/>
  <c r="D56" i="42"/>
  <c r="I56" i="42"/>
  <c r="X56" i="42"/>
  <c r="E56" i="42"/>
  <c r="Y56" i="42"/>
  <c r="D57" i="42"/>
  <c r="I57" i="42"/>
  <c r="X57" i="42"/>
  <c r="E57" i="42"/>
  <c r="Y57" i="42"/>
  <c r="D58" i="42"/>
  <c r="I58" i="42"/>
  <c r="X58" i="42"/>
  <c r="E58" i="42"/>
  <c r="Y58" i="42"/>
  <c r="D59" i="42"/>
  <c r="I59" i="42"/>
  <c r="X59" i="42"/>
  <c r="E59" i="42"/>
  <c r="Y59" i="42"/>
  <c r="D60" i="42"/>
  <c r="I60" i="42"/>
  <c r="X60" i="42"/>
  <c r="E60" i="42"/>
  <c r="Y60" i="42"/>
  <c r="D61" i="42"/>
  <c r="I61" i="42"/>
  <c r="X61" i="42"/>
  <c r="E61" i="42"/>
  <c r="Y61" i="42"/>
  <c r="D62" i="42"/>
  <c r="I62" i="42"/>
  <c r="X62" i="42"/>
  <c r="E62" i="42"/>
  <c r="Y62" i="42"/>
  <c r="D63" i="42"/>
  <c r="I63" i="42"/>
  <c r="X63" i="42"/>
  <c r="E63" i="42"/>
  <c r="Y63" i="42"/>
  <c r="D64" i="42"/>
  <c r="I64" i="42"/>
  <c r="X64" i="42"/>
  <c r="E64" i="42"/>
  <c r="Y64" i="42"/>
  <c r="D65" i="42"/>
  <c r="I65" i="42"/>
  <c r="X65" i="42"/>
  <c r="E65" i="42"/>
  <c r="Y65" i="42"/>
  <c r="O47" i="57"/>
  <c r="O44" i="57"/>
  <c r="U36" i="42"/>
  <c r="V36" i="42"/>
  <c r="S36" i="42"/>
  <c r="T36" i="42"/>
  <c r="W36" i="42"/>
  <c r="U37" i="42"/>
  <c r="V37" i="42"/>
  <c r="S37" i="42"/>
  <c r="T37" i="42"/>
  <c r="W37" i="42"/>
  <c r="U38" i="42"/>
  <c r="V38" i="42"/>
  <c r="S38" i="42"/>
  <c r="T38" i="42"/>
  <c r="W38" i="42"/>
  <c r="U39" i="42"/>
  <c r="V39" i="42"/>
  <c r="S39" i="42"/>
  <c r="T39" i="42"/>
  <c r="W39" i="42"/>
  <c r="O40" i="57"/>
  <c r="O42" i="57"/>
  <c r="I36" i="42"/>
  <c r="X36" i="42"/>
  <c r="Y36" i="42"/>
  <c r="I37" i="42"/>
  <c r="X37" i="42"/>
  <c r="Y37" i="42"/>
  <c r="I38" i="42"/>
  <c r="X38" i="42"/>
  <c r="Y38" i="42"/>
  <c r="I39" i="42"/>
  <c r="X39" i="42"/>
  <c r="Y39" i="42"/>
  <c r="O41" i="57"/>
  <c r="O39" i="57"/>
  <c r="O38" i="57"/>
  <c r="O33" i="57"/>
  <c r="O28" i="57"/>
  <c r="O24" i="57"/>
  <c r="O19" i="57"/>
  <c r="U4" i="42"/>
  <c r="D67" i="42"/>
  <c r="I4" i="42"/>
  <c r="E66" i="42"/>
  <c r="E67" i="42"/>
  <c r="E68" i="42"/>
  <c r="G6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8" i="42"/>
  <c r="A29" i="42"/>
  <c r="A30" i="42"/>
  <c r="A31" i="42"/>
  <c r="A32" i="42"/>
  <c r="A33" i="42"/>
  <c r="A34" i="42"/>
  <c r="A36" i="42"/>
  <c r="A37" i="42"/>
  <c r="A38" i="42"/>
  <c r="A39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P39" i="42"/>
  <c r="P38" i="42"/>
  <c r="P34" i="42"/>
  <c r="P33" i="42"/>
  <c r="P32" i="42"/>
  <c r="P31" i="42"/>
  <c r="P30" i="42"/>
  <c r="P29" i="42"/>
  <c r="P28" i="42"/>
  <c r="P26" i="42"/>
  <c r="P25" i="42"/>
  <c r="P24" i="42"/>
  <c r="P23" i="42"/>
  <c r="P22" i="42"/>
  <c r="P21" i="42"/>
  <c r="P20" i="42"/>
  <c r="P19" i="42"/>
  <c r="P18" i="42"/>
  <c r="P17" i="42"/>
  <c r="P16" i="42"/>
  <c r="P15" i="42"/>
  <c r="P14" i="42"/>
  <c r="P13" i="42"/>
  <c r="P12" i="42"/>
  <c r="P11" i="42"/>
  <c r="P10" i="42"/>
  <c r="P9" i="42"/>
  <c r="P8" i="42"/>
  <c r="P7" i="42"/>
  <c r="P6" i="42"/>
  <c r="V4" i="42"/>
  <c r="Y4" i="42"/>
  <c r="S4" i="42"/>
  <c r="T4" i="42"/>
  <c r="W4" i="42"/>
  <c r="Q4" i="42"/>
  <c r="R4" i="42"/>
  <c r="G4" i="42"/>
  <c r="H41" i="58"/>
  <c r="W41" i="58"/>
  <c r="D41" i="58"/>
  <c r="X41" i="58"/>
  <c r="H42" i="58"/>
  <c r="W42" i="58"/>
  <c r="D42" i="58"/>
  <c r="X42" i="58"/>
  <c r="H43" i="58"/>
  <c r="W43" i="58"/>
  <c r="D43" i="58"/>
  <c r="X43" i="58"/>
  <c r="H44" i="58"/>
  <c r="W44" i="58"/>
  <c r="D44" i="58"/>
  <c r="X44" i="58"/>
  <c r="H45" i="58"/>
  <c r="W45" i="58"/>
  <c r="D45" i="58"/>
  <c r="X45" i="58"/>
  <c r="H46" i="58"/>
  <c r="W46" i="58"/>
  <c r="D46" i="58"/>
  <c r="X46" i="58"/>
  <c r="H47" i="58"/>
  <c r="W47" i="58"/>
  <c r="D47" i="58"/>
  <c r="X47" i="58"/>
  <c r="H48" i="58"/>
  <c r="W48" i="58"/>
  <c r="D48" i="58"/>
  <c r="X48" i="58"/>
  <c r="H49" i="58"/>
  <c r="W49" i="58"/>
  <c r="D49" i="58"/>
  <c r="X49" i="58"/>
  <c r="H50" i="58"/>
  <c r="W50" i="58"/>
  <c r="D50" i="58"/>
  <c r="X50" i="58"/>
  <c r="H51" i="58"/>
  <c r="W51" i="58"/>
  <c r="D51" i="58"/>
  <c r="X51" i="58"/>
  <c r="H52" i="58"/>
  <c r="W52" i="58"/>
  <c r="D52" i="58"/>
  <c r="X52" i="58"/>
  <c r="H53" i="58"/>
  <c r="W53" i="58"/>
  <c r="D53" i="58"/>
  <c r="X53" i="58"/>
  <c r="H54" i="58"/>
  <c r="W54" i="58"/>
  <c r="D54" i="58"/>
  <c r="X54" i="58"/>
  <c r="H55" i="58"/>
  <c r="W55" i="58"/>
  <c r="D55" i="58"/>
  <c r="X55" i="58"/>
  <c r="H56" i="58"/>
  <c r="W56" i="58"/>
  <c r="D56" i="58"/>
  <c r="X56" i="58"/>
  <c r="H57" i="58"/>
  <c r="W57" i="58"/>
  <c r="D57" i="58"/>
  <c r="X57" i="58"/>
  <c r="H58" i="58"/>
  <c r="W58" i="58"/>
  <c r="D58" i="58"/>
  <c r="X58" i="58"/>
  <c r="H59" i="58"/>
  <c r="W59" i="58"/>
  <c r="D59" i="58"/>
  <c r="X59" i="58"/>
  <c r="H60" i="58"/>
  <c r="W60" i="58"/>
  <c r="D60" i="58"/>
  <c r="X60" i="58"/>
  <c r="H61" i="58"/>
  <c r="W61" i="58"/>
  <c r="D61" i="58"/>
  <c r="X61" i="58"/>
  <c r="H62" i="58"/>
  <c r="W62" i="58"/>
  <c r="D62" i="58"/>
  <c r="X62" i="58"/>
  <c r="H63" i="58"/>
  <c r="W63" i="58"/>
  <c r="D63" i="58"/>
  <c r="X63" i="58"/>
  <c r="H64" i="58"/>
  <c r="W64" i="58"/>
  <c r="D64" i="58"/>
  <c r="X64" i="58"/>
  <c r="H65" i="58"/>
  <c r="W65" i="58"/>
  <c r="D65" i="58"/>
  <c r="X65" i="58"/>
  <c r="N47" i="57"/>
  <c r="N45" i="57"/>
  <c r="N49" i="57"/>
  <c r="N44" i="57"/>
  <c r="T39" i="58"/>
  <c r="T38" i="58"/>
  <c r="T37" i="58"/>
  <c r="T36" i="58"/>
  <c r="T34" i="58"/>
  <c r="T33" i="58"/>
  <c r="T32" i="58"/>
  <c r="T31" i="58"/>
  <c r="T30" i="58"/>
  <c r="T29" i="58"/>
  <c r="T28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U36" i="58"/>
  <c r="R36" i="58"/>
  <c r="S36" i="58"/>
  <c r="V36" i="58"/>
  <c r="U37" i="58"/>
  <c r="R37" i="58"/>
  <c r="S37" i="58"/>
  <c r="V37" i="58"/>
  <c r="U38" i="58"/>
  <c r="R38" i="58"/>
  <c r="S38" i="58"/>
  <c r="V38" i="58"/>
  <c r="U39" i="58"/>
  <c r="R39" i="58"/>
  <c r="S39" i="58"/>
  <c r="V39" i="58"/>
  <c r="N40" i="57"/>
  <c r="N42" i="57"/>
  <c r="W36" i="58"/>
  <c r="X36" i="58"/>
  <c r="W37" i="58"/>
  <c r="X37" i="58"/>
  <c r="W38" i="58"/>
  <c r="X38" i="58"/>
  <c r="W39" i="58"/>
  <c r="X39" i="58"/>
  <c r="N41" i="57"/>
  <c r="N39" i="57"/>
  <c r="N38" i="57"/>
  <c r="N35" i="57"/>
  <c r="N34" i="57"/>
  <c r="N33" i="57"/>
  <c r="U6" i="58"/>
  <c r="R6" i="58"/>
  <c r="S6" i="58"/>
  <c r="V6" i="58"/>
  <c r="U7" i="58"/>
  <c r="R7" i="58"/>
  <c r="S7" i="58"/>
  <c r="V7" i="58"/>
  <c r="U8" i="58"/>
  <c r="R8" i="58"/>
  <c r="S8" i="58"/>
  <c r="V8" i="58"/>
  <c r="U9" i="58"/>
  <c r="R9" i="58"/>
  <c r="S9" i="58"/>
  <c r="V9" i="58"/>
  <c r="U10" i="58"/>
  <c r="R10" i="58"/>
  <c r="S10" i="58"/>
  <c r="V10" i="58"/>
  <c r="U11" i="58"/>
  <c r="R11" i="58"/>
  <c r="S11" i="58"/>
  <c r="V11" i="58"/>
  <c r="U12" i="58"/>
  <c r="R12" i="58"/>
  <c r="S12" i="58"/>
  <c r="V12" i="58"/>
  <c r="U13" i="58"/>
  <c r="R13" i="58"/>
  <c r="S13" i="58"/>
  <c r="V13" i="58"/>
  <c r="U14" i="58"/>
  <c r="R14" i="58"/>
  <c r="S14" i="58"/>
  <c r="V14" i="58"/>
  <c r="U15" i="58"/>
  <c r="R15" i="58"/>
  <c r="S15" i="58"/>
  <c r="V15" i="58"/>
  <c r="U16" i="58"/>
  <c r="R16" i="58"/>
  <c r="S16" i="58"/>
  <c r="V16" i="58"/>
  <c r="U17" i="58"/>
  <c r="R17" i="58"/>
  <c r="S17" i="58"/>
  <c r="V17" i="58"/>
  <c r="U18" i="58"/>
  <c r="R18" i="58"/>
  <c r="S18" i="58"/>
  <c r="V18" i="58"/>
  <c r="U19" i="58"/>
  <c r="R19" i="58"/>
  <c r="S19" i="58"/>
  <c r="V19" i="58"/>
  <c r="U20" i="58"/>
  <c r="R20" i="58"/>
  <c r="S20" i="58"/>
  <c r="V20" i="58"/>
  <c r="U21" i="58"/>
  <c r="R21" i="58"/>
  <c r="S21" i="58"/>
  <c r="V21" i="58"/>
  <c r="U22" i="58"/>
  <c r="R22" i="58"/>
  <c r="S22" i="58"/>
  <c r="V22" i="58"/>
  <c r="U23" i="58"/>
  <c r="R23" i="58"/>
  <c r="S23" i="58"/>
  <c r="V23" i="58"/>
  <c r="U24" i="58"/>
  <c r="R24" i="58"/>
  <c r="S24" i="58"/>
  <c r="V24" i="58"/>
  <c r="U25" i="58"/>
  <c r="R25" i="58"/>
  <c r="S25" i="58"/>
  <c r="V25" i="58"/>
  <c r="U26" i="58"/>
  <c r="R26" i="58"/>
  <c r="S26" i="58"/>
  <c r="V26" i="58"/>
  <c r="U28" i="58"/>
  <c r="R28" i="58"/>
  <c r="S28" i="58"/>
  <c r="V28" i="58"/>
  <c r="U29" i="58"/>
  <c r="R29" i="58"/>
  <c r="S29" i="58"/>
  <c r="V29" i="58"/>
  <c r="U30" i="58"/>
  <c r="R30" i="58"/>
  <c r="S30" i="58"/>
  <c r="V30" i="58"/>
  <c r="U31" i="58"/>
  <c r="R31" i="58"/>
  <c r="S31" i="58"/>
  <c r="V31" i="58"/>
  <c r="U32" i="58"/>
  <c r="R32" i="58"/>
  <c r="S32" i="58"/>
  <c r="V32" i="58"/>
  <c r="U33" i="58"/>
  <c r="R33" i="58"/>
  <c r="S33" i="58"/>
  <c r="V33" i="58"/>
  <c r="U34" i="58"/>
  <c r="R34" i="58"/>
  <c r="S34" i="58"/>
  <c r="V34" i="58"/>
  <c r="N26" i="57"/>
  <c r="N28" i="57"/>
  <c r="W6" i="58"/>
  <c r="X6" i="58"/>
  <c r="W7" i="58"/>
  <c r="X7" i="58"/>
  <c r="W8" i="58"/>
  <c r="X8" i="58"/>
  <c r="W9" i="58"/>
  <c r="X9" i="58"/>
  <c r="W10" i="58"/>
  <c r="X10" i="58"/>
  <c r="W11" i="58"/>
  <c r="X11" i="58"/>
  <c r="W12" i="58"/>
  <c r="X12" i="58"/>
  <c r="W13" i="58"/>
  <c r="X13" i="58"/>
  <c r="W14" i="58"/>
  <c r="X14" i="58"/>
  <c r="W15" i="58"/>
  <c r="X15" i="58"/>
  <c r="W16" i="58"/>
  <c r="X16" i="58"/>
  <c r="W17" i="58"/>
  <c r="X17" i="58"/>
  <c r="W18" i="58"/>
  <c r="X18" i="58"/>
  <c r="W19" i="58"/>
  <c r="X19" i="58"/>
  <c r="W20" i="58"/>
  <c r="X20" i="58"/>
  <c r="W21" i="58"/>
  <c r="X21" i="58"/>
  <c r="W22" i="58"/>
  <c r="X22" i="58"/>
  <c r="W23" i="58"/>
  <c r="X23" i="58"/>
  <c r="W24" i="58"/>
  <c r="X24" i="58"/>
  <c r="W25" i="58"/>
  <c r="X25" i="58"/>
  <c r="X26" i="58"/>
  <c r="W28" i="58"/>
  <c r="X28" i="58"/>
  <c r="W29" i="58"/>
  <c r="X29" i="58"/>
  <c r="W30" i="58"/>
  <c r="X30" i="58"/>
  <c r="W31" i="58"/>
  <c r="X31" i="58"/>
  <c r="W32" i="58"/>
  <c r="X32" i="58"/>
  <c r="W33" i="58"/>
  <c r="X33" i="58"/>
  <c r="W34" i="58"/>
  <c r="X34" i="58"/>
  <c r="N27" i="57"/>
  <c r="N25" i="57"/>
  <c r="N24" i="57"/>
  <c r="N21" i="57"/>
  <c r="N20" i="57"/>
  <c r="J27" i="58"/>
  <c r="N19" i="57"/>
  <c r="N14" i="57"/>
  <c r="W4" i="58"/>
  <c r="X4" i="58"/>
  <c r="N13" i="57"/>
  <c r="N11" i="57"/>
  <c r="N9" i="57"/>
  <c r="N7" i="57"/>
  <c r="N5" i="57"/>
  <c r="O4" i="58"/>
  <c r="D66" i="58"/>
  <c r="D67" i="58"/>
  <c r="D68" i="58"/>
  <c r="F65" i="58"/>
  <c r="A6" i="58"/>
  <c r="A7" i="58"/>
  <c r="A8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8" i="58"/>
  <c r="A29" i="58"/>
  <c r="A30" i="58"/>
  <c r="A31" i="58"/>
  <c r="A32" i="58"/>
  <c r="A33" i="58"/>
  <c r="A34" i="58"/>
  <c r="A36" i="58"/>
  <c r="A37" i="58"/>
  <c r="A38" i="58"/>
  <c r="A39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F64" i="58"/>
  <c r="F63" i="58"/>
  <c r="F62" i="58"/>
  <c r="F61" i="58"/>
  <c r="F60" i="58"/>
  <c r="F59" i="58"/>
  <c r="F58" i="58"/>
  <c r="F57" i="58"/>
  <c r="F56" i="58"/>
  <c r="F55" i="58"/>
  <c r="F54" i="58"/>
  <c r="F53" i="58"/>
  <c r="F52" i="58"/>
  <c r="F51" i="58"/>
  <c r="F50" i="58"/>
  <c r="F49" i="58"/>
  <c r="F48" i="58"/>
  <c r="F47" i="58"/>
  <c r="F46" i="58"/>
  <c r="F45" i="58"/>
  <c r="F44" i="58"/>
  <c r="F43" i="58"/>
  <c r="F42" i="58"/>
  <c r="F41" i="58"/>
  <c r="G26" i="58"/>
  <c r="L4" i="58"/>
  <c r="M4" i="58"/>
  <c r="F4" i="58"/>
  <c r="H41" i="18"/>
  <c r="W41" i="18"/>
  <c r="H42" i="18"/>
  <c r="W42" i="18"/>
  <c r="H43" i="18"/>
  <c r="W43" i="18"/>
  <c r="H44" i="18"/>
  <c r="W44" i="18"/>
  <c r="H45" i="18"/>
  <c r="W45" i="18"/>
  <c r="H46" i="18"/>
  <c r="W46" i="18"/>
  <c r="H47" i="18"/>
  <c r="W47" i="18"/>
  <c r="H48" i="18"/>
  <c r="W48" i="18"/>
  <c r="H49" i="18"/>
  <c r="W49" i="18"/>
  <c r="H50" i="18"/>
  <c r="W50" i="18"/>
  <c r="H51" i="18"/>
  <c r="W51" i="18"/>
  <c r="D42" i="18"/>
  <c r="X42" i="18"/>
  <c r="D41" i="18"/>
  <c r="X41" i="18"/>
  <c r="D43" i="18"/>
  <c r="X43" i="18"/>
  <c r="D44" i="18"/>
  <c r="X44" i="18"/>
  <c r="D45" i="18"/>
  <c r="X45" i="18"/>
  <c r="D46" i="18"/>
  <c r="X46" i="18"/>
  <c r="D47" i="18"/>
  <c r="X47" i="18"/>
  <c r="D48" i="18"/>
  <c r="X48" i="18"/>
  <c r="D49" i="18"/>
  <c r="X49" i="18"/>
  <c r="D50" i="18"/>
  <c r="X50" i="18"/>
  <c r="D51" i="18"/>
  <c r="X51" i="18"/>
  <c r="H52" i="18"/>
  <c r="W52" i="18"/>
  <c r="D52" i="18"/>
  <c r="X52" i="18"/>
  <c r="H53" i="18"/>
  <c r="W53" i="18"/>
  <c r="D53" i="18"/>
  <c r="X53" i="18"/>
  <c r="H54" i="18"/>
  <c r="W54" i="18"/>
  <c r="D54" i="18"/>
  <c r="X54" i="18"/>
  <c r="H55" i="18"/>
  <c r="W55" i="18"/>
  <c r="D55" i="18"/>
  <c r="X55" i="18"/>
  <c r="H56" i="18"/>
  <c r="W56" i="18"/>
  <c r="D56" i="18"/>
  <c r="X56" i="18"/>
  <c r="H57" i="18"/>
  <c r="W57" i="18"/>
  <c r="D57" i="18"/>
  <c r="X57" i="18"/>
  <c r="H58" i="18"/>
  <c r="W58" i="18"/>
  <c r="D58" i="18"/>
  <c r="X58" i="18"/>
  <c r="H59" i="18"/>
  <c r="W59" i="18"/>
  <c r="D59" i="18"/>
  <c r="X59" i="18"/>
  <c r="H60" i="18"/>
  <c r="W60" i="18"/>
  <c r="D60" i="18"/>
  <c r="X60" i="18"/>
  <c r="H61" i="18"/>
  <c r="W61" i="18"/>
  <c r="D61" i="18"/>
  <c r="X61" i="18"/>
  <c r="H62" i="18"/>
  <c r="W62" i="18"/>
  <c r="D62" i="18"/>
  <c r="X62" i="18"/>
  <c r="H63" i="18"/>
  <c r="W63" i="18"/>
  <c r="D63" i="18"/>
  <c r="X63" i="18"/>
  <c r="H64" i="18"/>
  <c r="W64" i="18"/>
  <c r="D64" i="18"/>
  <c r="X64" i="18"/>
  <c r="H65" i="18"/>
  <c r="W65" i="18"/>
  <c r="D65" i="18"/>
  <c r="X65" i="18"/>
  <c r="M47" i="57"/>
  <c r="M45" i="57"/>
  <c r="M44" i="57"/>
  <c r="R39" i="18"/>
  <c r="S39" i="18"/>
  <c r="T39" i="18"/>
  <c r="U39" i="18"/>
  <c r="V39" i="18"/>
  <c r="R36" i="18"/>
  <c r="S36" i="18"/>
  <c r="T36" i="18"/>
  <c r="U36" i="18"/>
  <c r="V36" i="18"/>
  <c r="T37" i="18"/>
  <c r="U37" i="18"/>
  <c r="R37" i="18"/>
  <c r="S37" i="18"/>
  <c r="V37" i="18"/>
  <c r="T38" i="18"/>
  <c r="U38" i="18"/>
  <c r="R38" i="18"/>
  <c r="S38" i="18"/>
  <c r="V38" i="18"/>
  <c r="M40" i="57"/>
  <c r="M42" i="57"/>
  <c r="W39" i="18"/>
  <c r="X39" i="18"/>
  <c r="W36" i="18"/>
  <c r="X36" i="18"/>
  <c r="W37" i="18"/>
  <c r="X37" i="18"/>
  <c r="W38" i="18"/>
  <c r="X38" i="18"/>
  <c r="M41" i="57"/>
  <c r="M39" i="57"/>
  <c r="M38" i="57"/>
  <c r="M35" i="57"/>
  <c r="M34" i="57"/>
  <c r="M33" i="57"/>
  <c r="M31" i="57"/>
  <c r="T6" i="18"/>
  <c r="U6" i="18"/>
  <c r="R6" i="18"/>
  <c r="S6" i="18"/>
  <c r="V6" i="18"/>
  <c r="T7" i="18"/>
  <c r="U7" i="18"/>
  <c r="R7" i="18"/>
  <c r="S7" i="18"/>
  <c r="V7" i="18"/>
  <c r="T8" i="18"/>
  <c r="U8" i="18"/>
  <c r="R8" i="18"/>
  <c r="S8" i="18"/>
  <c r="V8" i="18"/>
  <c r="T10" i="18"/>
  <c r="U10" i="18"/>
  <c r="R10" i="18"/>
  <c r="S10" i="18"/>
  <c r="V10" i="18"/>
  <c r="T12" i="18"/>
  <c r="U12" i="18"/>
  <c r="R12" i="18"/>
  <c r="S12" i="18"/>
  <c r="V12" i="18"/>
  <c r="T14" i="18"/>
  <c r="U14" i="18"/>
  <c r="R14" i="18"/>
  <c r="S14" i="18"/>
  <c r="V14" i="18"/>
  <c r="T17" i="18"/>
  <c r="U17" i="18"/>
  <c r="R17" i="18"/>
  <c r="S17" i="18"/>
  <c r="V17" i="18"/>
  <c r="T19" i="18"/>
  <c r="U19" i="18"/>
  <c r="R19" i="18"/>
  <c r="S19" i="18"/>
  <c r="V19" i="18"/>
  <c r="T20" i="18"/>
  <c r="U20" i="18"/>
  <c r="R20" i="18"/>
  <c r="S20" i="18"/>
  <c r="V20" i="18"/>
  <c r="T21" i="18"/>
  <c r="U21" i="18"/>
  <c r="R21" i="18"/>
  <c r="S21" i="18"/>
  <c r="V21" i="18"/>
  <c r="T22" i="18"/>
  <c r="U22" i="18"/>
  <c r="R22" i="18"/>
  <c r="S22" i="18"/>
  <c r="V22" i="18"/>
  <c r="T23" i="18"/>
  <c r="U23" i="18"/>
  <c r="R23" i="18"/>
  <c r="S23" i="18"/>
  <c r="V23" i="18"/>
  <c r="T24" i="18"/>
  <c r="U24" i="18"/>
  <c r="R24" i="18"/>
  <c r="S24" i="18"/>
  <c r="V24" i="18"/>
  <c r="T25" i="18"/>
  <c r="U25" i="18"/>
  <c r="R25" i="18"/>
  <c r="S25" i="18"/>
  <c r="V25" i="18"/>
  <c r="T26" i="18"/>
  <c r="U26" i="18"/>
  <c r="R26" i="18"/>
  <c r="S26" i="18"/>
  <c r="V26" i="18"/>
  <c r="T28" i="18"/>
  <c r="U28" i="18"/>
  <c r="R28" i="18"/>
  <c r="S28" i="18"/>
  <c r="V28" i="18"/>
  <c r="T30" i="18"/>
  <c r="U30" i="18"/>
  <c r="R30" i="18"/>
  <c r="S30" i="18"/>
  <c r="V30" i="18"/>
  <c r="T31" i="18"/>
  <c r="U31" i="18"/>
  <c r="R31" i="18"/>
  <c r="S31" i="18"/>
  <c r="V31" i="18"/>
  <c r="T33" i="18"/>
  <c r="U33" i="18"/>
  <c r="R33" i="18"/>
  <c r="S33" i="18"/>
  <c r="V33" i="18"/>
  <c r="T34" i="18"/>
  <c r="U34" i="18"/>
  <c r="R34" i="18"/>
  <c r="S34" i="18"/>
  <c r="V34" i="18"/>
  <c r="M26" i="57"/>
  <c r="M28" i="57"/>
  <c r="W31" i="18"/>
  <c r="X31" i="18"/>
  <c r="W32" i="18"/>
  <c r="X32" i="18"/>
  <c r="W6" i="18"/>
  <c r="X6" i="18"/>
  <c r="W7" i="18"/>
  <c r="X7" i="18"/>
  <c r="W8" i="18"/>
  <c r="X8" i="18"/>
  <c r="W9" i="18"/>
  <c r="X9" i="18"/>
  <c r="W10" i="18"/>
  <c r="X10" i="18"/>
  <c r="W11" i="18"/>
  <c r="X11" i="18"/>
  <c r="W12" i="18"/>
  <c r="X12" i="18"/>
  <c r="W13" i="18"/>
  <c r="X13" i="18"/>
  <c r="W14" i="18"/>
  <c r="X14" i="18"/>
  <c r="W15" i="18"/>
  <c r="X15" i="18"/>
  <c r="W16" i="18"/>
  <c r="X16" i="18"/>
  <c r="W17" i="18"/>
  <c r="X17" i="18"/>
  <c r="W18" i="18"/>
  <c r="X18" i="18"/>
  <c r="W19" i="18"/>
  <c r="X19" i="18"/>
  <c r="W20" i="18"/>
  <c r="X20" i="18"/>
  <c r="W21" i="18"/>
  <c r="X21" i="18"/>
  <c r="W22" i="18"/>
  <c r="X22" i="18"/>
  <c r="W23" i="18"/>
  <c r="X23" i="18"/>
  <c r="W24" i="18"/>
  <c r="X24" i="18"/>
  <c r="W25" i="18"/>
  <c r="X25" i="18"/>
  <c r="X26" i="18"/>
  <c r="W28" i="18"/>
  <c r="X28" i="18"/>
  <c r="W29" i="18"/>
  <c r="X29" i="18"/>
  <c r="W30" i="18"/>
  <c r="X30" i="18"/>
  <c r="W33" i="18"/>
  <c r="X33" i="18"/>
  <c r="W34" i="18"/>
  <c r="X34" i="18"/>
  <c r="M27" i="57"/>
  <c r="M25" i="57"/>
  <c r="M24" i="57"/>
  <c r="M21" i="57"/>
  <c r="M20" i="57"/>
  <c r="M19" i="57"/>
  <c r="W4" i="18"/>
  <c r="X4" i="18"/>
  <c r="M13" i="57"/>
  <c r="Q61" i="69"/>
  <c r="O4" i="18"/>
  <c r="M9" i="57"/>
  <c r="M7" i="57"/>
  <c r="M5" i="57"/>
  <c r="M4" i="31"/>
  <c r="Q4" i="31"/>
  <c r="M5" i="31"/>
  <c r="Q5" i="31"/>
  <c r="M6" i="31"/>
  <c r="Q6" i="31"/>
  <c r="M7" i="31"/>
  <c r="Q7" i="31"/>
  <c r="M8" i="31"/>
  <c r="Q8" i="31"/>
  <c r="M9" i="31"/>
  <c r="Q9" i="31"/>
  <c r="M10" i="31"/>
  <c r="Q10" i="31"/>
  <c r="M11" i="31"/>
  <c r="Q11" i="31"/>
  <c r="M12" i="31"/>
  <c r="Q12" i="31"/>
  <c r="M13" i="31"/>
  <c r="Q13" i="31"/>
  <c r="M14" i="31"/>
  <c r="Q14" i="31"/>
  <c r="M15" i="31"/>
  <c r="Q15" i="31"/>
  <c r="M16" i="31"/>
  <c r="Q16" i="31"/>
  <c r="M17" i="31"/>
  <c r="Q17" i="31"/>
  <c r="M18" i="31"/>
  <c r="Q18" i="31"/>
  <c r="M19" i="31"/>
  <c r="Q19" i="31"/>
  <c r="M20" i="31"/>
  <c r="Q20" i="31"/>
  <c r="M21" i="31"/>
  <c r="Q21" i="31"/>
  <c r="M22" i="31"/>
  <c r="Q22" i="31"/>
  <c r="M23" i="31"/>
  <c r="Q23" i="31"/>
  <c r="M24" i="31"/>
  <c r="Q24" i="31"/>
  <c r="M25" i="31"/>
  <c r="Q25" i="31"/>
  <c r="M26" i="31"/>
  <c r="Q26" i="31"/>
  <c r="M27" i="31"/>
  <c r="Q27" i="31"/>
  <c r="M28" i="31"/>
  <c r="Q28" i="31"/>
  <c r="M29" i="31"/>
  <c r="Q29" i="31"/>
  <c r="M30" i="31"/>
  <c r="Q30" i="31"/>
  <c r="M31" i="31"/>
  <c r="Q31" i="31"/>
  <c r="M32" i="31"/>
  <c r="Q32" i="31"/>
  <c r="M33" i="31"/>
  <c r="Q33" i="31"/>
  <c r="M34" i="31"/>
  <c r="Q34" i="31"/>
  <c r="M35" i="31"/>
  <c r="Q35" i="31"/>
  <c r="M36" i="31"/>
  <c r="Q36" i="31"/>
  <c r="M37" i="31"/>
  <c r="Q37" i="31"/>
  <c r="M38" i="31"/>
  <c r="Q38" i="31"/>
  <c r="M39" i="31"/>
  <c r="Q39" i="31"/>
  <c r="M40" i="31"/>
  <c r="Q40" i="31"/>
  <c r="M41" i="31"/>
  <c r="Q41" i="31"/>
  <c r="M42" i="31"/>
  <c r="Q42" i="31"/>
  <c r="M43" i="31"/>
  <c r="Q43" i="31"/>
  <c r="M44" i="31"/>
  <c r="Q44" i="31"/>
  <c r="M45" i="31"/>
  <c r="Q45" i="31"/>
  <c r="M46" i="31"/>
  <c r="Q46" i="31"/>
  <c r="M47" i="31"/>
  <c r="Q47" i="31"/>
  <c r="M48" i="31"/>
  <c r="Q48" i="31"/>
  <c r="M49" i="31"/>
  <c r="Q49" i="31"/>
  <c r="M50" i="31"/>
  <c r="Q50" i="31"/>
  <c r="M51" i="31"/>
  <c r="Q51" i="31"/>
  <c r="M52" i="31"/>
  <c r="Q52" i="31"/>
  <c r="M53" i="31"/>
  <c r="Q53" i="31"/>
  <c r="M54" i="31"/>
  <c r="Q54" i="31"/>
  <c r="Q56" i="31"/>
  <c r="Q61" i="31"/>
  <c r="R61" i="31"/>
  <c r="O4" i="12"/>
  <c r="G56" i="69"/>
  <c r="E4" i="69"/>
  <c r="Q4" i="69"/>
  <c r="C5" i="69"/>
  <c r="E5" i="69"/>
  <c r="Q5" i="69"/>
  <c r="C6" i="69"/>
  <c r="E6" i="69"/>
  <c r="Q6" i="69"/>
  <c r="C7" i="69"/>
  <c r="E7" i="69"/>
  <c r="Q7" i="69"/>
  <c r="C8" i="69"/>
  <c r="E8" i="69"/>
  <c r="Q8" i="69"/>
  <c r="C9" i="69"/>
  <c r="E9" i="69"/>
  <c r="Q9" i="69"/>
  <c r="C10" i="69"/>
  <c r="E10" i="69"/>
  <c r="Q10" i="69"/>
  <c r="C11" i="69"/>
  <c r="E11" i="69"/>
  <c r="Q11" i="69"/>
  <c r="C12" i="69"/>
  <c r="E12" i="69"/>
  <c r="Q12" i="69"/>
  <c r="C13" i="69"/>
  <c r="E13" i="69"/>
  <c r="Q13" i="69"/>
  <c r="C14" i="69"/>
  <c r="E14" i="69"/>
  <c r="Q14" i="69"/>
  <c r="C15" i="69"/>
  <c r="E15" i="69"/>
  <c r="Q15" i="69"/>
  <c r="C16" i="69"/>
  <c r="E16" i="69"/>
  <c r="Q16" i="69"/>
  <c r="C17" i="69"/>
  <c r="E17" i="69"/>
  <c r="Q17" i="69"/>
  <c r="C18" i="69"/>
  <c r="E18" i="69"/>
  <c r="Q18" i="69"/>
  <c r="C19" i="69"/>
  <c r="E19" i="69"/>
  <c r="Q19" i="69"/>
  <c r="C20" i="69"/>
  <c r="E20" i="69"/>
  <c r="Q20" i="69"/>
  <c r="C21" i="69"/>
  <c r="E21" i="69"/>
  <c r="Q21" i="69"/>
  <c r="C22" i="69"/>
  <c r="E22" i="69"/>
  <c r="Q22" i="69"/>
  <c r="C23" i="69"/>
  <c r="E23" i="69"/>
  <c r="Q23" i="69"/>
  <c r="C24" i="69"/>
  <c r="E24" i="69"/>
  <c r="Q24" i="69"/>
  <c r="C25" i="69"/>
  <c r="E25" i="69"/>
  <c r="Q25" i="69"/>
  <c r="C26" i="69"/>
  <c r="E26" i="69"/>
  <c r="Q26" i="69"/>
  <c r="C27" i="69"/>
  <c r="E27" i="69"/>
  <c r="Q27" i="69"/>
  <c r="C28" i="69"/>
  <c r="E28" i="69"/>
  <c r="Q28" i="69"/>
  <c r="C29" i="69"/>
  <c r="E29" i="69"/>
  <c r="Q29" i="69"/>
  <c r="C30" i="69"/>
  <c r="E30" i="69"/>
  <c r="Q30" i="69"/>
  <c r="C31" i="69"/>
  <c r="E31" i="69"/>
  <c r="Q31" i="69"/>
  <c r="C32" i="69"/>
  <c r="E32" i="69"/>
  <c r="Q32" i="69"/>
  <c r="C33" i="69"/>
  <c r="E33" i="69"/>
  <c r="Q33" i="69"/>
  <c r="C34" i="69"/>
  <c r="E34" i="69"/>
  <c r="Q34" i="69"/>
  <c r="C35" i="69"/>
  <c r="E35" i="69"/>
  <c r="Q35" i="69"/>
  <c r="C36" i="69"/>
  <c r="E36" i="69"/>
  <c r="Q36" i="69"/>
  <c r="C37" i="69"/>
  <c r="E37" i="69"/>
  <c r="Q37" i="69"/>
  <c r="C38" i="69"/>
  <c r="E38" i="69"/>
  <c r="Q38" i="69"/>
  <c r="C39" i="69"/>
  <c r="E39" i="69"/>
  <c r="Q39" i="69"/>
  <c r="C40" i="69"/>
  <c r="E40" i="69"/>
  <c r="Q40" i="69"/>
  <c r="C41" i="69"/>
  <c r="E41" i="69"/>
  <c r="Q41" i="69"/>
  <c r="C42" i="69"/>
  <c r="E42" i="69"/>
  <c r="Q42" i="69"/>
  <c r="C43" i="69"/>
  <c r="E43" i="69"/>
  <c r="Q43" i="69"/>
  <c r="C44" i="69"/>
  <c r="E44" i="69"/>
  <c r="Q44" i="69"/>
  <c r="C45" i="69"/>
  <c r="E45" i="69"/>
  <c r="Q45" i="69"/>
  <c r="C46" i="69"/>
  <c r="E46" i="69"/>
  <c r="Q46" i="69"/>
  <c r="C47" i="69"/>
  <c r="E47" i="69"/>
  <c r="Q47" i="69"/>
  <c r="C48" i="69"/>
  <c r="E48" i="69"/>
  <c r="Q48" i="69"/>
  <c r="C49" i="69"/>
  <c r="E49" i="69"/>
  <c r="Q49" i="69"/>
  <c r="C50" i="69"/>
  <c r="E50" i="69"/>
  <c r="Q50" i="69"/>
  <c r="C51" i="69"/>
  <c r="E51" i="69"/>
  <c r="Q51" i="69"/>
  <c r="C52" i="69"/>
  <c r="E52" i="69"/>
  <c r="Q52" i="69"/>
  <c r="C53" i="69"/>
  <c r="E53" i="69"/>
  <c r="Q53" i="69"/>
  <c r="C54" i="69"/>
  <c r="E54" i="69"/>
  <c r="Q54" i="69"/>
  <c r="Q65" i="69"/>
  <c r="Q64" i="69"/>
  <c r="Q60" i="69"/>
  <c r="K57" i="69"/>
  <c r="M57" i="69"/>
  <c r="L57" i="69"/>
  <c r="Q56" i="69"/>
  <c r="K56" i="69"/>
  <c r="M56" i="69"/>
  <c r="L56" i="69"/>
  <c r="K55" i="69"/>
  <c r="M55" i="69"/>
  <c r="L55" i="69"/>
  <c r="M54" i="69"/>
  <c r="A5" i="69"/>
  <c r="A6" i="69"/>
  <c r="A7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M53" i="69"/>
  <c r="M52" i="69"/>
  <c r="M51" i="69"/>
  <c r="M50" i="69"/>
  <c r="M49" i="69"/>
  <c r="M48" i="69"/>
  <c r="M47" i="69"/>
  <c r="M46" i="69"/>
  <c r="M45" i="69"/>
  <c r="M44" i="69"/>
  <c r="M43" i="69"/>
  <c r="M42" i="69"/>
  <c r="M41" i="69"/>
  <c r="M40" i="69"/>
  <c r="M39" i="69"/>
  <c r="M38" i="69"/>
  <c r="M37" i="69"/>
  <c r="M36" i="69"/>
  <c r="M35" i="69"/>
  <c r="M34" i="69"/>
  <c r="M33" i="69"/>
  <c r="M32" i="69"/>
  <c r="M31" i="69"/>
  <c r="M30" i="69"/>
  <c r="M29" i="69"/>
  <c r="M28" i="69"/>
  <c r="M27" i="69"/>
  <c r="M26" i="69"/>
  <c r="M25" i="69"/>
  <c r="M24" i="69"/>
  <c r="M23" i="69"/>
  <c r="M22" i="69"/>
  <c r="M21" i="69"/>
  <c r="M20" i="69"/>
  <c r="M19" i="69"/>
  <c r="M18" i="69"/>
  <c r="M17" i="69"/>
  <c r="M16" i="69"/>
  <c r="M15" i="69"/>
  <c r="M14" i="69"/>
  <c r="M13" i="69"/>
  <c r="M12" i="69"/>
  <c r="M11" i="69"/>
  <c r="M10" i="69"/>
  <c r="M9" i="69"/>
  <c r="M8" i="69"/>
  <c r="M7" i="69"/>
  <c r="M6" i="69"/>
  <c r="M5" i="69"/>
  <c r="M4" i="69"/>
  <c r="G26" i="18"/>
  <c r="D66" i="18"/>
  <c r="D67" i="18"/>
  <c r="D68" i="18"/>
  <c r="F6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8" i="18"/>
  <c r="A29" i="18"/>
  <c r="A30" i="18"/>
  <c r="A31" i="18"/>
  <c r="A32" i="18"/>
  <c r="A33" i="18"/>
  <c r="A34" i="18"/>
  <c r="A36" i="18"/>
  <c r="A37" i="18"/>
  <c r="A38" i="18"/>
  <c r="A39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V4" i="18"/>
  <c r="Q61" i="33"/>
  <c r="L4" i="18"/>
  <c r="M4" i="18"/>
  <c r="F4" i="18"/>
  <c r="AJ17" i="12"/>
  <c r="AK17" i="12"/>
  <c r="AL17" i="12"/>
  <c r="AK20" i="12"/>
  <c r="Z41" i="12"/>
  <c r="H41" i="12"/>
  <c r="AA41" i="12"/>
  <c r="W41" i="12"/>
  <c r="D41" i="12"/>
  <c r="X41" i="12"/>
  <c r="AD41" i="12"/>
  <c r="Z42" i="12"/>
  <c r="H42" i="12"/>
  <c r="AA42" i="12"/>
  <c r="W42" i="12"/>
  <c r="D42" i="12"/>
  <c r="X42" i="12"/>
  <c r="AD42" i="12"/>
  <c r="Z43" i="12"/>
  <c r="H43" i="12"/>
  <c r="AA43" i="12"/>
  <c r="W43" i="12"/>
  <c r="D43" i="12"/>
  <c r="X43" i="12"/>
  <c r="AD43" i="12"/>
  <c r="Z44" i="12"/>
  <c r="H44" i="12"/>
  <c r="AA44" i="12"/>
  <c r="W44" i="12"/>
  <c r="D44" i="12"/>
  <c r="X44" i="12"/>
  <c r="AD44" i="12"/>
  <c r="Z45" i="12"/>
  <c r="H45" i="12"/>
  <c r="AA45" i="12"/>
  <c r="W45" i="12"/>
  <c r="D45" i="12"/>
  <c r="X45" i="12"/>
  <c r="AD45" i="12"/>
  <c r="Z46" i="12"/>
  <c r="H46" i="12"/>
  <c r="AA46" i="12"/>
  <c r="W46" i="12"/>
  <c r="D46" i="12"/>
  <c r="X46" i="12"/>
  <c r="AD46" i="12"/>
  <c r="Z47" i="12"/>
  <c r="H47" i="12"/>
  <c r="AA47" i="12"/>
  <c r="W47" i="12"/>
  <c r="D47" i="12"/>
  <c r="X47" i="12"/>
  <c r="AD47" i="12"/>
  <c r="Z48" i="12"/>
  <c r="H48" i="12"/>
  <c r="AA48" i="12"/>
  <c r="W48" i="12"/>
  <c r="D48" i="12"/>
  <c r="X48" i="12"/>
  <c r="AD48" i="12"/>
  <c r="Z49" i="12"/>
  <c r="H49" i="12"/>
  <c r="AA49" i="12"/>
  <c r="W49" i="12"/>
  <c r="D49" i="12"/>
  <c r="X49" i="12"/>
  <c r="AD49" i="12"/>
  <c r="Z50" i="12"/>
  <c r="H50" i="12"/>
  <c r="AA50" i="12"/>
  <c r="W50" i="12"/>
  <c r="D50" i="12"/>
  <c r="X50" i="12"/>
  <c r="AD50" i="12"/>
  <c r="Z51" i="12"/>
  <c r="H51" i="12"/>
  <c r="AA51" i="12"/>
  <c r="W51" i="12"/>
  <c r="D51" i="12"/>
  <c r="X51" i="12"/>
  <c r="AD51" i="12"/>
  <c r="Z52" i="12"/>
  <c r="H52" i="12"/>
  <c r="AA52" i="12"/>
  <c r="W52" i="12"/>
  <c r="D52" i="12"/>
  <c r="X52" i="12"/>
  <c r="AD52" i="12"/>
  <c r="Z53" i="12"/>
  <c r="H53" i="12"/>
  <c r="AA53" i="12"/>
  <c r="W53" i="12"/>
  <c r="D53" i="12"/>
  <c r="X53" i="12"/>
  <c r="AD53" i="12"/>
  <c r="Z54" i="12"/>
  <c r="H54" i="12"/>
  <c r="AA54" i="12"/>
  <c r="W54" i="12"/>
  <c r="D54" i="12"/>
  <c r="X54" i="12"/>
  <c r="AD54" i="12"/>
  <c r="Z55" i="12"/>
  <c r="H55" i="12"/>
  <c r="AA55" i="12"/>
  <c r="W55" i="12"/>
  <c r="D55" i="12"/>
  <c r="X55" i="12"/>
  <c r="AD55" i="12"/>
  <c r="Z56" i="12"/>
  <c r="H56" i="12"/>
  <c r="AA56" i="12"/>
  <c r="W56" i="12"/>
  <c r="D56" i="12"/>
  <c r="X56" i="12"/>
  <c r="AD56" i="12"/>
  <c r="Z57" i="12"/>
  <c r="H57" i="12"/>
  <c r="AA57" i="12"/>
  <c r="W57" i="12"/>
  <c r="D57" i="12"/>
  <c r="X57" i="12"/>
  <c r="AD57" i="12"/>
  <c r="Z58" i="12"/>
  <c r="H58" i="12"/>
  <c r="AA58" i="12"/>
  <c r="W58" i="12"/>
  <c r="D58" i="12"/>
  <c r="X58" i="12"/>
  <c r="AD58" i="12"/>
  <c r="Z59" i="12"/>
  <c r="H59" i="12"/>
  <c r="AA59" i="12"/>
  <c r="W59" i="12"/>
  <c r="D59" i="12"/>
  <c r="X59" i="12"/>
  <c r="AD59" i="12"/>
  <c r="Z60" i="12"/>
  <c r="H60" i="12"/>
  <c r="AA60" i="12"/>
  <c r="W60" i="12"/>
  <c r="D60" i="12"/>
  <c r="X60" i="12"/>
  <c r="AD60" i="12"/>
  <c r="Z61" i="12"/>
  <c r="H61" i="12"/>
  <c r="AA61" i="12"/>
  <c r="W61" i="12"/>
  <c r="D61" i="12"/>
  <c r="X61" i="12"/>
  <c r="AD61" i="12"/>
  <c r="Z62" i="12"/>
  <c r="H62" i="12"/>
  <c r="AA62" i="12"/>
  <c r="W62" i="12"/>
  <c r="D62" i="12"/>
  <c r="X62" i="12"/>
  <c r="AD62" i="12"/>
  <c r="Z63" i="12"/>
  <c r="H63" i="12"/>
  <c r="AA63" i="12"/>
  <c r="W63" i="12"/>
  <c r="D63" i="12"/>
  <c r="X63" i="12"/>
  <c r="AD63" i="12"/>
  <c r="Z64" i="12"/>
  <c r="H64" i="12"/>
  <c r="AA64" i="12"/>
  <c r="W64" i="12"/>
  <c r="D64" i="12"/>
  <c r="X64" i="12"/>
  <c r="AD64" i="12"/>
  <c r="Z65" i="12"/>
  <c r="H65" i="12"/>
  <c r="AA65" i="12"/>
  <c r="W65" i="12"/>
  <c r="D65" i="12"/>
  <c r="X65" i="12"/>
  <c r="AD65" i="12"/>
  <c r="L47" i="57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L45" i="57"/>
  <c r="L44" i="57"/>
  <c r="R36" i="12"/>
  <c r="S36" i="12"/>
  <c r="C77" i="61"/>
  <c r="C75" i="61"/>
  <c r="T36" i="12"/>
  <c r="U36" i="12"/>
  <c r="V36" i="12"/>
  <c r="R37" i="12"/>
  <c r="S37" i="12"/>
  <c r="C78" i="61"/>
  <c r="T37" i="12"/>
  <c r="U37" i="12"/>
  <c r="V37" i="12"/>
  <c r="R38" i="12"/>
  <c r="S38" i="12"/>
  <c r="C81" i="61"/>
  <c r="C80" i="61"/>
  <c r="T38" i="12"/>
  <c r="U38" i="12"/>
  <c r="V38" i="12"/>
  <c r="R39" i="12"/>
  <c r="S39" i="12"/>
  <c r="C83" i="61"/>
  <c r="C82" i="61"/>
  <c r="T39" i="12"/>
  <c r="U39" i="12"/>
  <c r="V39" i="12"/>
  <c r="L40" i="57"/>
  <c r="L42" i="57"/>
  <c r="AA36" i="12"/>
  <c r="W36" i="12"/>
  <c r="X36" i="12"/>
  <c r="AD36" i="12"/>
  <c r="AA37" i="12"/>
  <c r="W37" i="12"/>
  <c r="X37" i="12"/>
  <c r="AD37" i="12"/>
  <c r="AA38" i="12"/>
  <c r="W38" i="12"/>
  <c r="X38" i="12"/>
  <c r="AD38" i="12"/>
  <c r="AA39" i="12"/>
  <c r="W39" i="12"/>
  <c r="X39" i="12"/>
  <c r="AD39" i="12"/>
  <c r="L41" i="57"/>
  <c r="L39" i="57"/>
  <c r="L38" i="57"/>
  <c r="L35" i="57"/>
  <c r="L34" i="57"/>
  <c r="L33" i="57"/>
  <c r="L31" i="57"/>
  <c r="AA34" i="12"/>
  <c r="AA33" i="12"/>
  <c r="AA32" i="12"/>
  <c r="AA31" i="12"/>
  <c r="AA30" i="12"/>
  <c r="AA29" i="12"/>
  <c r="AA28" i="12"/>
  <c r="AA26" i="12"/>
  <c r="AA25" i="12"/>
  <c r="AA24" i="12"/>
  <c r="AA23" i="12"/>
  <c r="AA22" i="12"/>
  <c r="AA21" i="12"/>
  <c r="AA20" i="12"/>
  <c r="AA19" i="12"/>
  <c r="AA18" i="12"/>
  <c r="AA17" i="12"/>
  <c r="AA16" i="12"/>
  <c r="AA15" i="12"/>
  <c r="AA14" i="12"/>
  <c r="AA13" i="12"/>
  <c r="AA12" i="12"/>
  <c r="AA11" i="12"/>
  <c r="AA10" i="12"/>
  <c r="AA9" i="12"/>
  <c r="AA8" i="12"/>
  <c r="AA7" i="12"/>
  <c r="AA6" i="12"/>
  <c r="AA4" i="12"/>
  <c r="R19" i="12"/>
  <c r="S19" i="12"/>
  <c r="C40" i="61"/>
  <c r="C39" i="61"/>
  <c r="T19" i="12"/>
  <c r="U19" i="12"/>
  <c r="V19" i="12"/>
  <c r="R30" i="12"/>
  <c r="S30" i="12"/>
  <c r="C64" i="61"/>
  <c r="C65" i="61"/>
  <c r="C63" i="61"/>
  <c r="T30" i="12"/>
  <c r="U30" i="12"/>
  <c r="V30" i="12"/>
  <c r="L26" i="57"/>
  <c r="L28" i="57"/>
  <c r="W6" i="12"/>
  <c r="X6" i="12"/>
  <c r="AD6" i="12"/>
  <c r="W7" i="12"/>
  <c r="X7" i="12"/>
  <c r="AD7" i="12"/>
  <c r="W8" i="12"/>
  <c r="X8" i="12"/>
  <c r="AD8" i="12"/>
  <c r="W9" i="12"/>
  <c r="X9" i="12"/>
  <c r="AD9" i="12"/>
  <c r="W10" i="12"/>
  <c r="X10" i="12"/>
  <c r="AD10" i="12"/>
  <c r="W11" i="12"/>
  <c r="X11" i="12"/>
  <c r="AD11" i="12"/>
  <c r="W12" i="12"/>
  <c r="X12" i="12"/>
  <c r="AD12" i="12"/>
  <c r="W13" i="12"/>
  <c r="X13" i="12"/>
  <c r="AD13" i="12"/>
  <c r="W14" i="12"/>
  <c r="X14" i="12"/>
  <c r="AD14" i="12"/>
  <c r="W15" i="12"/>
  <c r="X15" i="12"/>
  <c r="AD15" i="12"/>
  <c r="W16" i="12"/>
  <c r="X16" i="12"/>
  <c r="AD16" i="12"/>
  <c r="W17" i="12"/>
  <c r="X17" i="12"/>
  <c r="AD17" i="12"/>
  <c r="W18" i="12"/>
  <c r="X18" i="12"/>
  <c r="AD18" i="12"/>
  <c r="W19" i="12"/>
  <c r="X19" i="12"/>
  <c r="AD19" i="12"/>
  <c r="W20" i="12"/>
  <c r="X20" i="12"/>
  <c r="AD20" i="12"/>
  <c r="W21" i="12"/>
  <c r="X21" i="12"/>
  <c r="AD21" i="12"/>
  <c r="W22" i="12"/>
  <c r="X22" i="12"/>
  <c r="AD22" i="12"/>
  <c r="W23" i="12"/>
  <c r="X23" i="12"/>
  <c r="AD23" i="12"/>
  <c r="W24" i="12"/>
  <c r="X24" i="12"/>
  <c r="AD24" i="12"/>
  <c r="W25" i="12"/>
  <c r="X25" i="12"/>
  <c r="AD25" i="12"/>
  <c r="W26" i="12"/>
  <c r="X26" i="12"/>
  <c r="AD26" i="12"/>
  <c r="W28" i="12"/>
  <c r="X28" i="12"/>
  <c r="AD28" i="12"/>
  <c r="W29" i="12"/>
  <c r="X29" i="12"/>
  <c r="AD29" i="12"/>
  <c r="W30" i="12"/>
  <c r="X30" i="12"/>
  <c r="AD30" i="12"/>
  <c r="W31" i="12"/>
  <c r="X31" i="12"/>
  <c r="AD31" i="12"/>
  <c r="W32" i="12"/>
  <c r="X32" i="12"/>
  <c r="AD32" i="12"/>
  <c r="W33" i="12"/>
  <c r="X33" i="12"/>
  <c r="AD33" i="12"/>
  <c r="W34" i="12"/>
  <c r="X34" i="12"/>
  <c r="AD34" i="12"/>
  <c r="L27" i="57"/>
  <c r="L25" i="57"/>
  <c r="L24" i="57"/>
  <c r="L21" i="57"/>
  <c r="L20" i="57"/>
  <c r="L19" i="57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K44" i="57"/>
  <c r="T36" i="16"/>
  <c r="U36" i="16"/>
  <c r="F125" i="44"/>
  <c r="V36" i="16"/>
  <c r="W36" i="16"/>
  <c r="X36" i="16"/>
  <c r="T37" i="16"/>
  <c r="U37" i="16"/>
  <c r="F37" i="16"/>
  <c r="F132" i="44"/>
  <c r="F133" i="44"/>
  <c r="C134" i="44"/>
  <c r="D134" i="44"/>
  <c r="E134" i="44"/>
  <c r="F134" i="44"/>
  <c r="F129" i="44"/>
  <c r="V37" i="16"/>
  <c r="W37" i="16"/>
  <c r="X37" i="16"/>
  <c r="T38" i="16"/>
  <c r="U38" i="16"/>
  <c r="F136" i="44"/>
  <c r="F135" i="44"/>
  <c r="V38" i="16"/>
  <c r="W38" i="16"/>
  <c r="X38" i="16"/>
  <c r="T39" i="16"/>
  <c r="U39" i="16"/>
  <c r="V39" i="16"/>
  <c r="W39" i="16"/>
  <c r="X39" i="16"/>
  <c r="K40" i="57"/>
  <c r="K42" i="57"/>
  <c r="Y39" i="16"/>
  <c r="Z39" i="16"/>
  <c r="Y36" i="16"/>
  <c r="Z36" i="16"/>
  <c r="Y37" i="16"/>
  <c r="Z37" i="16"/>
  <c r="Y38" i="16"/>
  <c r="Z38" i="16"/>
  <c r="K41" i="57"/>
  <c r="K39" i="57"/>
  <c r="K38" i="57"/>
  <c r="K35" i="57"/>
  <c r="K34" i="57"/>
  <c r="K33" i="57"/>
  <c r="K31" i="57"/>
  <c r="T6" i="16"/>
  <c r="U6" i="16"/>
  <c r="F11" i="44"/>
  <c r="V6" i="16"/>
  <c r="W6" i="16"/>
  <c r="X6" i="16"/>
  <c r="T7" i="16"/>
  <c r="U7" i="16"/>
  <c r="F16" i="44"/>
  <c r="V7" i="16"/>
  <c r="W7" i="16"/>
  <c r="X7" i="16"/>
  <c r="T8" i="16"/>
  <c r="U8" i="16"/>
  <c r="F18" i="44"/>
  <c r="V8" i="16"/>
  <c r="W8" i="16"/>
  <c r="X8" i="16"/>
  <c r="T9" i="16"/>
  <c r="U9" i="16"/>
  <c r="F22" i="44"/>
  <c r="F23" i="44"/>
  <c r="F24" i="44"/>
  <c r="F20" i="44"/>
  <c r="V9" i="16"/>
  <c r="W9" i="16"/>
  <c r="X9" i="16"/>
  <c r="T10" i="16"/>
  <c r="U10" i="16"/>
  <c r="F26" i="44"/>
  <c r="V10" i="16"/>
  <c r="W10" i="16"/>
  <c r="X10" i="16"/>
  <c r="T11" i="16"/>
  <c r="U11" i="16"/>
  <c r="F28" i="44"/>
  <c r="V11" i="16"/>
  <c r="W11" i="16"/>
  <c r="X11" i="16"/>
  <c r="T12" i="16"/>
  <c r="U12" i="16"/>
  <c r="F31" i="44"/>
  <c r="F30" i="44"/>
  <c r="V12" i="16"/>
  <c r="W12" i="16"/>
  <c r="X12" i="16"/>
  <c r="T13" i="16"/>
  <c r="U13" i="16"/>
  <c r="F33" i="44"/>
  <c r="F34" i="44"/>
  <c r="F39" i="44"/>
  <c r="F32" i="44"/>
  <c r="V13" i="16"/>
  <c r="W13" i="16"/>
  <c r="X13" i="16"/>
  <c r="T14" i="16"/>
  <c r="U14" i="16"/>
  <c r="F42" i="44"/>
  <c r="F40" i="44"/>
  <c r="V14" i="16"/>
  <c r="W14" i="16"/>
  <c r="X14" i="16"/>
  <c r="T15" i="16"/>
  <c r="U15" i="16"/>
  <c r="C50" i="44"/>
  <c r="F50" i="44"/>
  <c r="F52" i="44"/>
  <c r="F56" i="44"/>
  <c r="F46" i="44"/>
  <c r="V15" i="16"/>
  <c r="W15" i="16"/>
  <c r="X15" i="16"/>
  <c r="T16" i="16"/>
  <c r="U16" i="16"/>
  <c r="F57" i="44"/>
  <c r="V16" i="16"/>
  <c r="W16" i="16"/>
  <c r="X16" i="16"/>
  <c r="T17" i="16"/>
  <c r="U17" i="16"/>
  <c r="F60" i="44"/>
  <c r="V17" i="16"/>
  <c r="W17" i="16"/>
  <c r="X17" i="16"/>
  <c r="T18" i="16"/>
  <c r="U18" i="16"/>
  <c r="V18" i="16"/>
  <c r="W18" i="16"/>
  <c r="X18" i="16"/>
  <c r="T19" i="16"/>
  <c r="U19" i="16"/>
  <c r="F66" i="44"/>
  <c r="F64" i="44"/>
  <c r="V19" i="16"/>
  <c r="W19" i="16"/>
  <c r="X19" i="16"/>
  <c r="T20" i="16"/>
  <c r="U20" i="16"/>
  <c r="V20" i="16"/>
  <c r="W20" i="16"/>
  <c r="X20" i="16"/>
  <c r="T21" i="16"/>
  <c r="U21" i="16"/>
  <c r="F70" i="44"/>
  <c r="F69" i="44"/>
  <c r="V21" i="16"/>
  <c r="W21" i="16"/>
  <c r="X21" i="16"/>
  <c r="T22" i="16"/>
  <c r="U22" i="16"/>
  <c r="V22" i="16"/>
  <c r="W22" i="16"/>
  <c r="X22" i="16"/>
  <c r="T23" i="16"/>
  <c r="U23" i="16"/>
  <c r="V23" i="16"/>
  <c r="W23" i="16"/>
  <c r="X23" i="16"/>
  <c r="T24" i="16"/>
  <c r="U24" i="16"/>
  <c r="F76" i="44"/>
  <c r="F75" i="44"/>
  <c r="V24" i="16"/>
  <c r="W24" i="16"/>
  <c r="X24" i="16"/>
  <c r="T25" i="16"/>
  <c r="U25" i="16"/>
  <c r="F78" i="44"/>
  <c r="F81" i="44"/>
  <c r="F77" i="44"/>
  <c r="V25" i="16"/>
  <c r="W25" i="16"/>
  <c r="X25" i="16"/>
  <c r="T26" i="16"/>
  <c r="U26" i="16"/>
  <c r="F86" i="44"/>
  <c r="V26" i="16"/>
  <c r="W26" i="16"/>
  <c r="X26" i="16"/>
  <c r="T28" i="16"/>
  <c r="U28" i="16"/>
  <c r="F88" i="44"/>
  <c r="V28" i="16"/>
  <c r="W28" i="16"/>
  <c r="X28" i="16"/>
  <c r="T29" i="16"/>
  <c r="U29" i="16"/>
  <c r="C98" i="44"/>
  <c r="D98" i="44"/>
  <c r="E98" i="44"/>
  <c r="F98" i="44"/>
  <c r="F97" i="44"/>
  <c r="V29" i="16"/>
  <c r="W29" i="16"/>
  <c r="X29" i="16"/>
  <c r="T30" i="16"/>
  <c r="U30" i="16"/>
  <c r="F100" i="44"/>
  <c r="F99" i="44"/>
  <c r="V30" i="16"/>
  <c r="W30" i="16"/>
  <c r="X30" i="16"/>
  <c r="T31" i="16"/>
  <c r="U31" i="16"/>
  <c r="C102" i="44"/>
  <c r="D102" i="44"/>
  <c r="E102" i="44"/>
  <c r="F102" i="44"/>
  <c r="C103" i="44"/>
  <c r="D103" i="44"/>
  <c r="E103" i="44"/>
  <c r="F103" i="44"/>
  <c r="C106" i="44"/>
  <c r="D106" i="44"/>
  <c r="E106" i="44"/>
  <c r="F106" i="44"/>
  <c r="C108" i="44"/>
  <c r="D108" i="44"/>
  <c r="E108" i="44"/>
  <c r="F108" i="44"/>
  <c r="F101" i="44"/>
  <c r="V31" i="16"/>
  <c r="W31" i="16"/>
  <c r="X31" i="16"/>
  <c r="T32" i="16"/>
  <c r="U32" i="16"/>
  <c r="F116" i="44"/>
  <c r="F112" i="44"/>
  <c r="V32" i="16"/>
  <c r="W32" i="16"/>
  <c r="X32" i="16"/>
  <c r="T33" i="16"/>
  <c r="U33" i="16"/>
  <c r="F118" i="44"/>
  <c r="C119" i="44"/>
  <c r="D119" i="44"/>
  <c r="E119" i="44"/>
  <c r="F119" i="44"/>
  <c r="C120" i="44"/>
  <c r="D120" i="44"/>
  <c r="E120" i="44"/>
  <c r="F120" i="44"/>
  <c r="C122" i="44"/>
  <c r="D122" i="44"/>
  <c r="E122" i="44"/>
  <c r="F122" i="44"/>
  <c r="F117" i="44"/>
  <c r="V33" i="16"/>
  <c r="W33" i="16"/>
  <c r="X33" i="16"/>
  <c r="T34" i="16"/>
  <c r="U34" i="16"/>
  <c r="V34" i="16"/>
  <c r="W34" i="16"/>
  <c r="X34" i="16"/>
  <c r="K26" i="57"/>
  <c r="K28" i="57"/>
  <c r="Y6" i="16"/>
  <c r="Z6" i="16"/>
  <c r="Y7" i="16"/>
  <c r="Z7" i="16"/>
  <c r="Y8" i="16"/>
  <c r="Z8" i="16"/>
  <c r="Y9" i="16"/>
  <c r="Z9" i="16"/>
  <c r="Y10" i="16"/>
  <c r="Z10" i="16"/>
  <c r="Y11" i="16"/>
  <c r="Z11" i="16"/>
  <c r="Y12" i="16"/>
  <c r="Z12" i="16"/>
  <c r="Y13" i="16"/>
  <c r="Z13" i="16"/>
  <c r="Y14" i="16"/>
  <c r="Z14" i="16"/>
  <c r="Y15" i="16"/>
  <c r="Z15" i="16"/>
  <c r="Y16" i="16"/>
  <c r="Z16" i="16"/>
  <c r="Y17" i="16"/>
  <c r="Z17" i="16"/>
  <c r="Y18" i="16"/>
  <c r="Z18" i="16"/>
  <c r="Y19" i="16"/>
  <c r="Z19" i="16"/>
  <c r="Y20" i="16"/>
  <c r="Z20" i="16"/>
  <c r="Y21" i="16"/>
  <c r="Z21" i="16"/>
  <c r="Y22" i="16"/>
  <c r="Z22" i="16"/>
  <c r="Y23" i="16"/>
  <c r="Z23" i="16"/>
  <c r="Y24" i="16"/>
  <c r="Z24" i="16"/>
  <c r="Y25" i="16"/>
  <c r="Z25" i="16"/>
  <c r="Y26" i="16"/>
  <c r="Z26" i="16"/>
  <c r="Y28" i="16"/>
  <c r="Z28" i="16"/>
  <c r="Y29" i="16"/>
  <c r="Z29" i="16"/>
  <c r="Y30" i="16"/>
  <c r="Z30" i="16"/>
  <c r="Y31" i="16"/>
  <c r="Z31" i="16"/>
  <c r="Y32" i="16"/>
  <c r="Z32" i="16"/>
  <c r="Y33" i="16"/>
  <c r="Z33" i="16"/>
  <c r="Y34" i="16"/>
  <c r="Z34" i="16"/>
  <c r="K27" i="57"/>
  <c r="K25" i="57"/>
  <c r="K24" i="57"/>
  <c r="K21" i="57"/>
  <c r="K20" i="57"/>
  <c r="K19" i="57"/>
  <c r="Q65" i="66"/>
  <c r="Y4" i="16"/>
  <c r="Z4" i="16"/>
  <c r="K13" i="57"/>
  <c r="K9" i="57"/>
  <c r="K7" i="57"/>
  <c r="K5" i="57"/>
  <c r="L14" i="57"/>
  <c r="R65" i="31"/>
  <c r="W4" i="12"/>
  <c r="X4" i="12"/>
  <c r="AD4" i="12"/>
  <c r="L13" i="57"/>
  <c r="L9" i="57"/>
  <c r="Q65" i="12"/>
  <c r="Q64" i="12"/>
  <c r="Q63" i="12"/>
  <c r="Q62" i="12"/>
  <c r="Q61" i="12"/>
  <c r="Q60" i="12"/>
  <c r="Q59" i="12"/>
  <c r="Q58" i="12"/>
  <c r="Q57" i="12"/>
  <c r="Q56" i="12"/>
  <c r="Q55" i="12"/>
  <c r="Q54" i="12"/>
  <c r="Q53" i="12"/>
  <c r="Q52" i="12"/>
  <c r="Q51" i="12"/>
  <c r="Q50" i="12"/>
  <c r="Q49" i="12"/>
  <c r="Q48" i="12"/>
  <c r="Q47" i="12"/>
  <c r="Q46" i="12"/>
  <c r="Q45" i="12"/>
  <c r="Q44" i="12"/>
  <c r="Q43" i="12"/>
  <c r="Q42" i="12"/>
  <c r="Q41" i="12"/>
  <c r="Q40" i="12"/>
  <c r="L7" i="57"/>
  <c r="L5" i="57"/>
  <c r="D82" i="61"/>
  <c r="D75" i="61"/>
  <c r="D70" i="61"/>
  <c r="D63" i="61"/>
  <c r="D59" i="61"/>
  <c r="D39" i="61"/>
  <c r="Q62" i="31"/>
  <c r="R62" i="31"/>
  <c r="J56" i="31"/>
  <c r="J57" i="31"/>
  <c r="H57" i="31"/>
  <c r="F56" i="31"/>
  <c r="R4" i="31"/>
  <c r="R5" i="31"/>
  <c r="R6" i="31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71" i="31"/>
  <c r="R69" i="31"/>
  <c r="R68" i="31"/>
  <c r="R67" i="31"/>
  <c r="R56" i="31"/>
  <c r="N5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6" i="31"/>
  <c r="N15" i="31"/>
  <c r="N14" i="31"/>
  <c r="N13" i="31"/>
  <c r="N12" i="31"/>
  <c r="N11" i="31"/>
  <c r="N10" i="31"/>
  <c r="N9" i="31"/>
  <c r="N8" i="31"/>
  <c r="N7" i="31"/>
  <c r="N6" i="31"/>
  <c r="N5" i="31"/>
  <c r="N4" i="31"/>
  <c r="D69" i="12"/>
  <c r="H56" i="66"/>
  <c r="D62" i="66"/>
  <c r="Q4" i="66"/>
  <c r="Q5" i="66"/>
  <c r="Q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53" i="66"/>
  <c r="Q54" i="66"/>
  <c r="Q71" i="66"/>
  <c r="Q69" i="66"/>
  <c r="Q68" i="66"/>
  <c r="Q67" i="66"/>
  <c r="Q61" i="66"/>
  <c r="D60" i="66"/>
  <c r="Q56" i="66"/>
  <c r="D56" i="66"/>
  <c r="M54" i="66"/>
  <c r="C5" i="66"/>
  <c r="C6" i="66"/>
  <c r="C7" i="66"/>
  <c r="C8" i="66"/>
  <c r="C9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F54" i="66"/>
  <c r="A5" i="66"/>
  <c r="A6" i="66"/>
  <c r="A7" i="66"/>
  <c r="A8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M53" i="66"/>
  <c r="F53" i="66"/>
  <c r="M52" i="66"/>
  <c r="F52" i="66"/>
  <c r="M51" i="66"/>
  <c r="F51" i="66"/>
  <c r="M50" i="66"/>
  <c r="F50" i="66"/>
  <c r="M49" i="66"/>
  <c r="F49" i="66"/>
  <c r="M48" i="66"/>
  <c r="F48" i="66"/>
  <c r="M47" i="66"/>
  <c r="F47" i="66"/>
  <c r="M46" i="66"/>
  <c r="F46" i="66"/>
  <c r="M45" i="66"/>
  <c r="F45" i="66"/>
  <c r="M44" i="66"/>
  <c r="F44" i="66"/>
  <c r="M43" i="66"/>
  <c r="F43" i="66"/>
  <c r="M42" i="66"/>
  <c r="F42" i="66"/>
  <c r="M41" i="66"/>
  <c r="F41" i="66"/>
  <c r="M40" i="66"/>
  <c r="F40" i="66"/>
  <c r="M39" i="66"/>
  <c r="F39" i="66"/>
  <c r="M38" i="66"/>
  <c r="F38" i="66"/>
  <c r="M37" i="66"/>
  <c r="F37" i="66"/>
  <c r="M36" i="66"/>
  <c r="F36" i="66"/>
  <c r="M35" i="66"/>
  <c r="F35" i="66"/>
  <c r="M34" i="66"/>
  <c r="F34" i="66"/>
  <c r="M33" i="66"/>
  <c r="F33" i="66"/>
  <c r="M32" i="66"/>
  <c r="F32" i="66"/>
  <c r="M31" i="66"/>
  <c r="F31" i="66"/>
  <c r="M30" i="66"/>
  <c r="F30" i="66"/>
  <c r="M29" i="66"/>
  <c r="F29" i="66"/>
  <c r="M28" i="66"/>
  <c r="F28" i="66"/>
  <c r="M27" i="66"/>
  <c r="F27" i="66"/>
  <c r="M26" i="66"/>
  <c r="F26" i="66"/>
  <c r="M25" i="66"/>
  <c r="F25" i="66"/>
  <c r="M24" i="66"/>
  <c r="F24" i="66"/>
  <c r="M23" i="66"/>
  <c r="F23" i="66"/>
  <c r="M22" i="66"/>
  <c r="F22" i="66"/>
  <c r="M21" i="66"/>
  <c r="F21" i="66"/>
  <c r="M20" i="66"/>
  <c r="F20" i="66"/>
  <c r="M19" i="66"/>
  <c r="F19" i="66"/>
  <c r="M18" i="66"/>
  <c r="F18" i="66"/>
  <c r="M17" i="66"/>
  <c r="F17" i="66"/>
  <c r="M16" i="66"/>
  <c r="F16" i="66"/>
  <c r="M15" i="66"/>
  <c r="F15" i="66"/>
  <c r="M14" i="66"/>
  <c r="F14" i="66"/>
  <c r="M13" i="66"/>
  <c r="F13" i="66"/>
  <c r="M12" i="66"/>
  <c r="F12" i="66"/>
  <c r="M11" i="66"/>
  <c r="F11" i="66"/>
  <c r="M10" i="66"/>
  <c r="F10" i="66"/>
  <c r="M9" i="66"/>
  <c r="F9" i="66"/>
  <c r="M8" i="66"/>
  <c r="F8" i="66"/>
  <c r="M7" i="66"/>
  <c r="F7" i="66"/>
  <c r="M6" i="66"/>
  <c r="F6" i="66"/>
  <c r="M5" i="66"/>
  <c r="F5" i="66"/>
  <c r="M4" i="66"/>
  <c r="F4" i="6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D67" i="16"/>
  <c r="E66" i="16"/>
  <c r="E67" i="16"/>
  <c r="E68" i="16"/>
  <c r="Y65" i="16"/>
  <c r="Z65" i="16"/>
  <c r="H6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8" i="16"/>
  <c r="A29" i="16"/>
  <c r="A30" i="16"/>
  <c r="A31" i="16"/>
  <c r="A32" i="16"/>
  <c r="A33" i="16"/>
  <c r="A34" i="16"/>
  <c r="A36" i="16"/>
  <c r="A37" i="16"/>
  <c r="A38" i="16"/>
  <c r="A39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Y64" i="16"/>
  <c r="Z64" i="16"/>
  <c r="H64" i="16"/>
  <c r="Y63" i="16"/>
  <c r="Z63" i="16"/>
  <c r="H63" i="16"/>
  <c r="Y62" i="16"/>
  <c r="Z62" i="16"/>
  <c r="H62" i="16"/>
  <c r="Y61" i="16"/>
  <c r="Z61" i="16"/>
  <c r="H61" i="16"/>
  <c r="Y60" i="16"/>
  <c r="Z60" i="16"/>
  <c r="H60" i="16"/>
  <c r="Y59" i="16"/>
  <c r="Z59" i="16"/>
  <c r="H59" i="16"/>
  <c r="Y58" i="16"/>
  <c r="Z58" i="16"/>
  <c r="H58" i="16"/>
  <c r="Y57" i="16"/>
  <c r="Z57" i="16"/>
  <c r="H57" i="16"/>
  <c r="Y56" i="16"/>
  <c r="Z56" i="16"/>
  <c r="H56" i="16"/>
  <c r="Y55" i="16"/>
  <c r="Z55" i="16"/>
  <c r="H55" i="16"/>
  <c r="Y54" i="16"/>
  <c r="Z54" i="16"/>
  <c r="H54" i="16"/>
  <c r="Y53" i="16"/>
  <c r="Z53" i="16"/>
  <c r="H53" i="16"/>
  <c r="Y52" i="16"/>
  <c r="Z52" i="16"/>
  <c r="H52" i="16"/>
  <c r="Y51" i="16"/>
  <c r="Z51" i="16"/>
  <c r="H51" i="16"/>
  <c r="Y50" i="16"/>
  <c r="Z50" i="16"/>
  <c r="H50" i="16"/>
  <c r="Y49" i="16"/>
  <c r="Z49" i="16"/>
  <c r="H49" i="16"/>
  <c r="Y48" i="16"/>
  <c r="Z48" i="16"/>
  <c r="H48" i="16"/>
  <c r="Y47" i="16"/>
  <c r="Z47" i="16"/>
  <c r="H47" i="16"/>
  <c r="Y46" i="16"/>
  <c r="Z46" i="16"/>
  <c r="H46" i="16"/>
  <c r="Y45" i="16"/>
  <c r="Z45" i="16"/>
  <c r="H45" i="16"/>
  <c r="H44" i="16"/>
  <c r="Y44" i="16"/>
  <c r="Z44" i="16"/>
  <c r="H43" i="16"/>
  <c r="Y43" i="16"/>
  <c r="Z43" i="16"/>
  <c r="H42" i="16"/>
  <c r="Y42" i="16"/>
  <c r="Z42" i="16"/>
  <c r="Y41" i="16"/>
  <c r="Z41" i="16"/>
  <c r="H41" i="16"/>
  <c r="H37" i="16"/>
  <c r="H31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X4" i="16"/>
  <c r="H4" i="16"/>
  <c r="D41" i="45"/>
  <c r="I41" i="45"/>
  <c r="X41" i="45"/>
  <c r="Y41" i="45"/>
  <c r="G42" i="45"/>
  <c r="X42" i="45"/>
  <c r="D42" i="45"/>
  <c r="Y42" i="45"/>
  <c r="G43" i="45"/>
  <c r="X43" i="45"/>
  <c r="D43" i="45"/>
  <c r="Y43" i="45"/>
  <c r="G44" i="45"/>
  <c r="X44" i="45"/>
  <c r="D44" i="45"/>
  <c r="Y44" i="45"/>
  <c r="D45" i="45"/>
  <c r="I45" i="45"/>
  <c r="X45" i="45"/>
  <c r="Y45" i="45"/>
  <c r="D46" i="45"/>
  <c r="I46" i="45"/>
  <c r="X46" i="45"/>
  <c r="Y46" i="45"/>
  <c r="D47" i="45"/>
  <c r="I47" i="45"/>
  <c r="X47" i="45"/>
  <c r="Y47" i="45"/>
  <c r="D48" i="45"/>
  <c r="I48" i="45"/>
  <c r="X48" i="45"/>
  <c r="Y48" i="45"/>
  <c r="D49" i="45"/>
  <c r="I49" i="45"/>
  <c r="X49" i="45"/>
  <c r="Y49" i="45"/>
  <c r="D50" i="45"/>
  <c r="I50" i="45"/>
  <c r="X50" i="45"/>
  <c r="Y50" i="45"/>
  <c r="D51" i="45"/>
  <c r="I51" i="45"/>
  <c r="X51" i="45"/>
  <c r="Y51" i="45"/>
  <c r="D52" i="45"/>
  <c r="I52" i="45"/>
  <c r="X52" i="45"/>
  <c r="Y52" i="45"/>
  <c r="D53" i="45"/>
  <c r="I53" i="45"/>
  <c r="X53" i="45"/>
  <c r="Y53" i="45"/>
  <c r="D54" i="45"/>
  <c r="I54" i="45"/>
  <c r="X54" i="45"/>
  <c r="Y54" i="45"/>
  <c r="D55" i="45"/>
  <c r="I55" i="45"/>
  <c r="X55" i="45"/>
  <c r="Y55" i="45"/>
  <c r="D56" i="45"/>
  <c r="I56" i="45"/>
  <c r="X56" i="45"/>
  <c r="Y56" i="45"/>
  <c r="D57" i="45"/>
  <c r="I57" i="45"/>
  <c r="X57" i="45"/>
  <c r="Y57" i="45"/>
  <c r="D58" i="45"/>
  <c r="I58" i="45"/>
  <c r="X58" i="45"/>
  <c r="Y58" i="45"/>
  <c r="D59" i="45"/>
  <c r="I59" i="45"/>
  <c r="X59" i="45"/>
  <c r="Y59" i="45"/>
  <c r="D60" i="45"/>
  <c r="I60" i="45"/>
  <c r="X60" i="45"/>
  <c r="Y60" i="45"/>
  <c r="D61" i="45"/>
  <c r="I61" i="45"/>
  <c r="X61" i="45"/>
  <c r="Y61" i="45"/>
  <c r="D62" i="45"/>
  <c r="I62" i="45"/>
  <c r="X62" i="45"/>
  <c r="Y62" i="45"/>
  <c r="D63" i="45"/>
  <c r="I63" i="45"/>
  <c r="X63" i="45"/>
  <c r="Y63" i="45"/>
  <c r="D64" i="45"/>
  <c r="I64" i="45"/>
  <c r="X64" i="45"/>
  <c r="Y64" i="45"/>
  <c r="D65" i="45"/>
  <c r="I65" i="45"/>
  <c r="X65" i="45"/>
  <c r="Y65" i="45"/>
  <c r="J47" i="57"/>
  <c r="I42" i="45"/>
  <c r="I43" i="45"/>
  <c r="I44" i="45"/>
  <c r="J45" i="57"/>
  <c r="J44" i="57"/>
  <c r="S36" i="45"/>
  <c r="T36" i="45"/>
  <c r="E125" i="44"/>
  <c r="U36" i="45"/>
  <c r="V36" i="45"/>
  <c r="W36" i="45"/>
  <c r="S37" i="45"/>
  <c r="T37" i="45"/>
  <c r="E37" i="45"/>
  <c r="E129" i="44"/>
  <c r="U37" i="45"/>
  <c r="V37" i="45"/>
  <c r="W37" i="45"/>
  <c r="S38" i="45"/>
  <c r="T38" i="45"/>
  <c r="E135" i="44"/>
  <c r="U38" i="45"/>
  <c r="V38" i="45"/>
  <c r="W38" i="45"/>
  <c r="S39" i="45"/>
  <c r="T39" i="45"/>
  <c r="U39" i="45"/>
  <c r="V39" i="45"/>
  <c r="W39" i="45"/>
  <c r="J40" i="57"/>
  <c r="J42" i="57"/>
  <c r="X36" i="45"/>
  <c r="Y36" i="45"/>
  <c r="X37" i="45"/>
  <c r="Y37" i="45"/>
  <c r="X38" i="45"/>
  <c r="Y38" i="45"/>
  <c r="X39" i="45"/>
  <c r="Y39" i="45"/>
  <c r="J41" i="57"/>
  <c r="J39" i="57"/>
  <c r="J38" i="57"/>
  <c r="J35" i="57"/>
  <c r="J34" i="57"/>
  <c r="J33" i="57"/>
  <c r="J31" i="57"/>
  <c r="S6" i="45"/>
  <c r="T6" i="45"/>
  <c r="D12" i="44"/>
  <c r="E12" i="44"/>
  <c r="E11" i="44"/>
  <c r="U6" i="45"/>
  <c r="V6" i="45"/>
  <c r="W6" i="45"/>
  <c r="S7" i="45"/>
  <c r="T7" i="45"/>
  <c r="E16" i="44"/>
  <c r="U7" i="45"/>
  <c r="V7" i="45"/>
  <c r="W7" i="45"/>
  <c r="S8" i="45"/>
  <c r="T8" i="45"/>
  <c r="E18" i="44"/>
  <c r="U8" i="45"/>
  <c r="V8" i="45"/>
  <c r="W8" i="45"/>
  <c r="S9" i="45"/>
  <c r="T9" i="45"/>
  <c r="E20" i="44"/>
  <c r="U9" i="45"/>
  <c r="V9" i="45"/>
  <c r="W9" i="45"/>
  <c r="S10" i="45"/>
  <c r="T10" i="45"/>
  <c r="E26" i="44"/>
  <c r="U10" i="45"/>
  <c r="V10" i="45"/>
  <c r="W10" i="45"/>
  <c r="S11" i="45"/>
  <c r="T11" i="45"/>
  <c r="E29" i="44"/>
  <c r="E28" i="44"/>
  <c r="U11" i="45"/>
  <c r="V11" i="45"/>
  <c r="W11" i="45"/>
  <c r="S12" i="45"/>
  <c r="T12" i="45"/>
  <c r="E30" i="44"/>
  <c r="U12" i="45"/>
  <c r="V12" i="45"/>
  <c r="W12" i="45"/>
  <c r="S13" i="45"/>
  <c r="T13" i="45"/>
  <c r="E32" i="44"/>
  <c r="U13" i="45"/>
  <c r="V13" i="45"/>
  <c r="W13" i="45"/>
  <c r="S14" i="45"/>
  <c r="T14" i="45"/>
  <c r="E40" i="44"/>
  <c r="U14" i="45"/>
  <c r="V14" i="45"/>
  <c r="W14" i="45"/>
  <c r="S15" i="45"/>
  <c r="T15" i="45"/>
  <c r="E46" i="44"/>
  <c r="U15" i="45"/>
  <c r="V15" i="45"/>
  <c r="W15" i="45"/>
  <c r="S16" i="45"/>
  <c r="T16" i="45"/>
  <c r="E57" i="44"/>
  <c r="U16" i="45"/>
  <c r="V16" i="45"/>
  <c r="W16" i="45"/>
  <c r="S17" i="45"/>
  <c r="T17" i="45"/>
  <c r="E60" i="44"/>
  <c r="U17" i="45"/>
  <c r="V17" i="45"/>
  <c r="W17" i="45"/>
  <c r="S18" i="45"/>
  <c r="T18" i="45"/>
  <c r="U18" i="45"/>
  <c r="V18" i="45"/>
  <c r="W18" i="45"/>
  <c r="S19" i="45"/>
  <c r="T19" i="45"/>
  <c r="E64" i="44"/>
  <c r="U19" i="45"/>
  <c r="V19" i="45"/>
  <c r="W19" i="45"/>
  <c r="S20" i="45"/>
  <c r="T20" i="45"/>
  <c r="U20" i="45"/>
  <c r="V20" i="45"/>
  <c r="W20" i="45"/>
  <c r="S21" i="45"/>
  <c r="T21" i="45"/>
  <c r="E69" i="44"/>
  <c r="U21" i="45"/>
  <c r="V21" i="45"/>
  <c r="W21" i="45"/>
  <c r="S22" i="45"/>
  <c r="T22" i="45"/>
  <c r="E71" i="44"/>
  <c r="U22" i="45"/>
  <c r="V22" i="45"/>
  <c r="W22" i="45"/>
  <c r="S23" i="45"/>
  <c r="T23" i="45"/>
  <c r="U23" i="45"/>
  <c r="V23" i="45"/>
  <c r="W23" i="45"/>
  <c r="S24" i="45"/>
  <c r="T24" i="45"/>
  <c r="E75" i="44"/>
  <c r="U24" i="45"/>
  <c r="V24" i="45"/>
  <c r="W24" i="45"/>
  <c r="S25" i="45"/>
  <c r="T25" i="45"/>
  <c r="E77" i="44"/>
  <c r="U25" i="45"/>
  <c r="V25" i="45"/>
  <c r="W25" i="45"/>
  <c r="S26" i="45"/>
  <c r="T26" i="45"/>
  <c r="E86" i="44"/>
  <c r="U26" i="45"/>
  <c r="V26" i="45"/>
  <c r="W26" i="45"/>
  <c r="S28" i="45"/>
  <c r="T28" i="45"/>
  <c r="E88" i="44"/>
  <c r="U28" i="45"/>
  <c r="V28" i="45"/>
  <c r="W28" i="45"/>
  <c r="S29" i="45"/>
  <c r="T29" i="45"/>
  <c r="E97" i="44"/>
  <c r="U29" i="45"/>
  <c r="V29" i="45"/>
  <c r="W29" i="45"/>
  <c r="S30" i="45"/>
  <c r="T30" i="45"/>
  <c r="E99" i="44"/>
  <c r="U30" i="45"/>
  <c r="V30" i="45"/>
  <c r="W30" i="45"/>
  <c r="S31" i="45"/>
  <c r="T31" i="45"/>
  <c r="E101" i="44"/>
  <c r="U31" i="45"/>
  <c r="V31" i="45"/>
  <c r="W31" i="45"/>
  <c r="S32" i="45"/>
  <c r="T32" i="45"/>
  <c r="E112" i="44"/>
  <c r="U32" i="45"/>
  <c r="V32" i="45"/>
  <c r="W32" i="45"/>
  <c r="S33" i="45"/>
  <c r="T33" i="45"/>
  <c r="E117" i="44"/>
  <c r="U33" i="45"/>
  <c r="V33" i="45"/>
  <c r="W33" i="45"/>
  <c r="S34" i="45"/>
  <c r="T34" i="45"/>
  <c r="U34" i="45"/>
  <c r="V34" i="45"/>
  <c r="W34" i="45"/>
  <c r="J26" i="57"/>
  <c r="J28" i="57"/>
  <c r="X6" i="45"/>
  <c r="Y6" i="45"/>
  <c r="X7" i="45"/>
  <c r="Y7" i="45"/>
  <c r="X8" i="45"/>
  <c r="Y8" i="45"/>
  <c r="X9" i="45"/>
  <c r="Y9" i="45"/>
  <c r="X10" i="45"/>
  <c r="Y10" i="45"/>
  <c r="X11" i="45"/>
  <c r="Y11" i="45"/>
  <c r="X12" i="45"/>
  <c r="Y12" i="45"/>
  <c r="X13" i="45"/>
  <c r="Y13" i="45"/>
  <c r="X14" i="45"/>
  <c r="Y14" i="45"/>
  <c r="X15" i="45"/>
  <c r="Y15" i="45"/>
  <c r="X16" i="45"/>
  <c r="Y16" i="45"/>
  <c r="X17" i="45"/>
  <c r="Y17" i="45"/>
  <c r="X18" i="45"/>
  <c r="Y18" i="45"/>
  <c r="X19" i="45"/>
  <c r="Y19" i="45"/>
  <c r="X20" i="45"/>
  <c r="Y20" i="45"/>
  <c r="X21" i="45"/>
  <c r="Y21" i="45"/>
  <c r="X22" i="45"/>
  <c r="Y22" i="45"/>
  <c r="X23" i="45"/>
  <c r="Y23" i="45"/>
  <c r="X24" i="45"/>
  <c r="Y24" i="45"/>
  <c r="X25" i="45"/>
  <c r="Y25" i="45"/>
  <c r="X26" i="45"/>
  <c r="Y26" i="45"/>
  <c r="X28" i="45"/>
  <c r="Y28" i="45"/>
  <c r="X29" i="45"/>
  <c r="Y29" i="45"/>
  <c r="X30" i="45"/>
  <c r="Y30" i="45"/>
  <c r="X31" i="45"/>
  <c r="Y31" i="45"/>
  <c r="X32" i="45"/>
  <c r="Y32" i="45"/>
  <c r="X33" i="45"/>
  <c r="Y33" i="45"/>
  <c r="X34" i="45"/>
  <c r="Y34" i="45"/>
  <c r="J27" i="57"/>
  <c r="J25" i="57"/>
  <c r="J24" i="57"/>
  <c r="J21" i="57"/>
  <c r="J20" i="57"/>
  <c r="K27" i="45"/>
  <c r="J19" i="57"/>
  <c r="J14" i="57"/>
  <c r="Q65" i="52"/>
  <c r="X4" i="45"/>
  <c r="Y4" i="45"/>
  <c r="J13" i="57"/>
  <c r="Q61" i="52"/>
  <c r="P4" i="45"/>
  <c r="J9" i="57"/>
  <c r="J7" i="57"/>
  <c r="H56" i="52"/>
  <c r="F4" i="52"/>
  <c r="Q4" i="52"/>
  <c r="C5" i="52"/>
  <c r="F5" i="52"/>
  <c r="Q5" i="52"/>
  <c r="C6" i="52"/>
  <c r="F6" i="52"/>
  <c r="Q6" i="52"/>
  <c r="C7" i="52"/>
  <c r="F7" i="52"/>
  <c r="Q7" i="52"/>
  <c r="C8" i="52"/>
  <c r="F8" i="52"/>
  <c r="Q8" i="52"/>
  <c r="C9" i="52"/>
  <c r="F9" i="52"/>
  <c r="Q9" i="52"/>
  <c r="C10" i="52"/>
  <c r="F10" i="52"/>
  <c r="Q10" i="52"/>
  <c r="C11" i="52"/>
  <c r="F11" i="52"/>
  <c r="Q11" i="52"/>
  <c r="C12" i="52"/>
  <c r="F12" i="52"/>
  <c r="Q12" i="52"/>
  <c r="C13" i="52"/>
  <c r="F13" i="52"/>
  <c r="Q13" i="52"/>
  <c r="C14" i="52"/>
  <c r="F14" i="52"/>
  <c r="Q14" i="52"/>
  <c r="C15" i="52"/>
  <c r="F15" i="52"/>
  <c r="Q15" i="52"/>
  <c r="C16" i="52"/>
  <c r="F16" i="52"/>
  <c r="Q16" i="52"/>
  <c r="C17" i="52"/>
  <c r="F17" i="52"/>
  <c r="Q17" i="52"/>
  <c r="C18" i="52"/>
  <c r="F18" i="52"/>
  <c r="Q18" i="52"/>
  <c r="C19" i="52"/>
  <c r="F19" i="52"/>
  <c r="Q19" i="52"/>
  <c r="C20" i="52"/>
  <c r="F20" i="52"/>
  <c r="Q20" i="52"/>
  <c r="C21" i="52"/>
  <c r="F21" i="52"/>
  <c r="Q21" i="52"/>
  <c r="C22" i="52"/>
  <c r="F22" i="52"/>
  <c r="Q22" i="52"/>
  <c r="C23" i="52"/>
  <c r="F23" i="52"/>
  <c r="Q23" i="52"/>
  <c r="C24" i="52"/>
  <c r="F24" i="52"/>
  <c r="Q24" i="52"/>
  <c r="C25" i="52"/>
  <c r="F25" i="52"/>
  <c r="Q25" i="52"/>
  <c r="C26" i="52"/>
  <c r="F26" i="52"/>
  <c r="Q26" i="52"/>
  <c r="C27" i="52"/>
  <c r="F27" i="52"/>
  <c r="Q27" i="52"/>
  <c r="C28" i="52"/>
  <c r="F28" i="52"/>
  <c r="Q28" i="52"/>
  <c r="C29" i="52"/>
  <c r="F29" i="52"/>
  <c r="Q29" i="52"/>
  <c r="C30" i="52"/>
  <c r="F30" i="52"/>
  <c r="Q30" i="52"/>
  <c r="C31" i="52"/>
  <c r="F31" i="52"/>
  <c r="Q31" i="52"/>
  <c r="C32" i="52"/>
  <c r="F32" i="52"/>
  <c r="Q32" i="52"/>
  <c r="C33" i="52"/>
  <c r="F33" i="52"/>
  <c r="Q33" i="52"/>
  <c r="C34" i="52"/>
  <c r="F34" i="52"/>
  <c r="Q34" i="52"/>
  <c r="C35" i="52"/>
  <c r="F35" i="52"/>
  <c r="Q35" i="52"/>
  <c r="C36" i="52"/>
  <c r="F36" i="52"/>
  <c r="Q36" i="52"/>
  <c r="C37" i="52"/>
  <c r="F37" i="52"/>
  <c r="Q37" i="52"/>
  <c r="C38" i="52"/>
  <c r="F38" i="52"/>
  <c r="Q38" i="52"/>
  <c r="C39" i="52"/>
  <c r="F39" i="52"/>
  <c r="Q39" i="52"/>
  <c r="C40" i="52"/>
  <c r="F40" i="52"/>
  <c r="Q40" i="52"/>
  <c r="C41" i="52"/>
  <c r="F41" i="52"/>
  <c r="Q41" i="52"/>
  <c r="C42" i="52"/>
  <c r="F42" i="52"/>
  <c r="Q42" i="52"/>
  <c r="C43" i="52"/>
  <c r="F43" i="52"/>
  <c r="Q43" i="52"/>
  <c r="C44" i="52"/>
  <c r="F44" i="52"/>
  <c r="Q44" i="52"/>
  <c r="C45" i="52"/>
  <c r="F45" i="52"/>
  <c r="Q45" i="52"/>
  <c r="C46" i="52"/>
  <c r="F46" i="52"/>
  <c r="Q46" i="52"/>
  <c r="C47" i="52"/>
  <c r="F47" i="52"/>
  <c r="Q47" i="52"/>
  <c r="C48" i="52"/>
  <c r="F48" i="52"/>
  <c r="Q48" i="52"/>
  <c r="C49" i="52"/>
  <c r="F49" i="52"/>
  <c r="Q49" i="52"/>
  <c r="C50" i="52"/>
  <c r="F50" i="52"/>
  <c r="Q50" i="52"/>
  <c r="C51" i="52"/>
  <c r="F51" i="52"/>
  <c r="Q51" i="52"/>
  <c r="C52" i="52"/>
  <c r="F52" i="52"/>
  <c r="Q52" i="52"/>
  <c r="C53" i="52"/>
  <c r="F53" i="52"/>
  <c r="Q53" i="52"/>
  <c r="C54" i="52"/>
  <c r="F54" i="52"/>
  <c r="Q54" i="52"/>
  <c r="Q71" i="52"/>
  <c r="Q69" i="52"/>
  <c r="Q68" i="52"/>
  <c r="Q67" i="52"/>
  <c r="D60" i="52"/>
  <c r="Q56" i="52"/>
  <c r="D56" i="52"/>
  <c r="M54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M4" i="52"/>
  <c r="J5" i="57"/>
  <c r="I40" i="45"/>
  <c r="D65" i="15"/>
  <c r="I65" i="15"/>
  <c r="D64" i="15"/>
  <c r="I64" i="15"/>
  <c r="D63" i="15"/>
  <c r="I63" i="15"/>
  <c r="D62" i="15"/>
  <c r="I62" i="15"/>
  <c r="D61" i="15"/>
  <c r="I61" i="15"/>
  <c r="D60" i="15"/>
  <c r="I60" i="15"/>
  <c r="D59" i="15"/>
  <c r="I59" i="15"/>
  <c r="D58" i="15"/>
  <c r="I58" i="15"/>
  <c r="D57" i="15"/>
  <c r="I57" i="15"/>
  <c r="D56" i="15"/>
  <c r="I56" i="15"/>
  <c r="D55" i="15"/>
  <c r="I55" i="15"/>
  <c r="D54" i="15"/>
  <c r="I54" i="15"/>
  <c r="D53" i="15"/>
  <c r="I53" i="15"/>
  <c r="D52" i="15"/>
  <c r="I52" i="15"/>
  <c r="D51" i="15"/>
  <c r="I51" i="15"/>
  <c r="D50" i="15"/>
  <c r="I50" i="15"/>
  <c r="D49" i="15"/>
  <c r="I49" i="15"/>
  <c r="D48" i="15"/>
  <c r="I48" i="15"/>
  <c r="D47" i="15"/>
  <c r="I47" i="15"/>
  <c r="D46" i="15"/>
  <c r="I46" i="15"/>
  <c r="D45" i="15"/>
  <c r="I45" i="15"/>
  <c r="D44" i="15"/>
  <c r="I44" i="15"/>
  <c r="D43" i="15"/>
  <c r="I43" i="15"/>
  <c r="D42" i="15"/>
  <c r="I42" i="15"/>
  <c r="D41" i="15"/>
  <c r="I41" i="15"/>
  <c r="I40" i="15"/>
  <c r="I27" i="15"/>
  <c r="D65" i="14"/>
  <c r="I65" i="14"/>
  <c r="D64" i="14"/>
  <c r="I64" i="14"/>
  <c r="D63" i="14"/>
  <c r="I63" i="14"/>
  <c r="D62" i="14"/>
  <c r="I62" i="14"/>
  <c r="D61" i="14"/>
  <c r="I61" i="14"/>
  <c r="D60" i="14"/>
  <c r="I60" i="14"/>
  <c r="D59" i="14"/>
  <c r="I59" i="14"/>
  <c r="D58" i="14"/>
  <c r="I58" i="14"/>
  <c r="D57" i="14"/>
  <c r="I57" i="14"/>
  <c r="D56" i="14"/>
  <c r="I56" i="14"/>
  <c r="D55" i="14"/>
  <c r="I55" i="14"/>
  <c r="D54" i="14"/>
  <c r="I54" i="14"/>
  <c r="D53" i="14"/>
  <c r="I53" i="14"/>
  <c r="D52" i="14"/>
  <c r="I52" i="14"/>
  <c r="D51" i="14"/>
  <c r="I51" i="14"/>
  <c r="D50" i="14"/>
  <c r="I50" i="14"/>
  <c r="D49" i="14"/>
  <c r="I49" i="14"/>
  <c r="D48" i="14"/>
  <c r="I48" i="14"/>
  <c r="D47" i="14"/>
  <c r="I47" i="14"/>
  <c r="D46" i="14"/>
  <c r="I46" i="14"/>
  <c r="D45" i="14"/>
  <c r="I45" i="14"/>
  <c r="D44" i="14"/>
  <c r="I44" i="14"/>
  <c r="D43" i="14"/>
  <c r="I43" i="14"/>
  <c r="D42" i="14"/>
  <c r="I42" i="14"/>
  <c r="D41" i="14"/>
  <c r="I41" i="14"/>
  <c r="D66" i="45"/>
  <c r="D67" i="45"/>
  <c r="D68" i="45"/>
  <c r="G6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8" i="45"/>
  <c r="A29" i="45"/>
  <c r="A30" i="45"/>
  <c r="A31" i="45"/>
  <c r="A32" i="45"/>
  <c r="A33" i="45"/>
  <c r="A34" i="45"/>
  <c r="A36" i="45"/>
  <c r="A37" i="45"/>
  <c r="A38" i="45"/>
  <c r="A39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G64" i="45"/>
  <c r="G63" i="45"/>
  <c r="G62" i="45"/>
  <c r="G61" i="45"/>
  <c r="G60" i="45"/>
  <c r="G59" i="45"/>
  <c r="G58" i="45"/>
  <c r="G57" i="45"/>
  <c r="G56" i="45"/>
  <c r="G55" i="45"/>
  <c r="G54" i="45"/>
  <c r="G53" i="45"/>
  <c r="G52" i="45"/>
  <c r="G51" i="45"/>
  <c r="G50" i="45"/>
  <c r="G49" i="45"/>
  <c r="G48" i="45"/>
  <c r="G47" i="45"/>
  <c r="G46" i="45"/>
  <c r="G45" i="45"/>
  <c r="G41" i="45"/>
  <c r="P39" i="45"/>
  <c r="P38" i="45"/>
  <c r="G37" i="45"/>
  <c r="P37" i="45"/>
  <c r="P36" i="45"/>
  <c r="G31" i="45"/>
  <c r="G26" i="45"/>
  <c r="G25" i="45"/>
  <c r="G24" i="45"/>
  <c r="G23" i="45"/>
  <c r="G22" i="45"/>
  <c r="G21" i="45"/>
  <c r="G20" i="45"/>
  <c r="G19" i="45"/>
  <c r="G18" i="45"/>
  <c r="G17" i="45"/>
  <c r="G16" i="45"/>
  <c r="G15" i="45"/>
  <c r="G14" i="45"/>
  <c r="G13" i="45"/>
  <c r="G12" i="45"/>
  <c r="G11" i="45"/>
  <c r="G10" i="45"/>
  <c r="G9" i="45"/>
  <c r="G8" i="45"/>
  <c r="G7" i="45"/>
  <c r="G6" i="45"/>
  <c r="W4" i="45"/>
  <c r="M4" i="45"/>
  <c r="N4" i="45"/>
  <c r="G4" i="45"/>
  <c r="X65" i="15"/>
  <c r="X64" i="15"/>
  <c r="X63" i="15"/>
  <c r="X62" i="15"/>
  <c r="X61" i="15"/>
  <c r="X60" i="15"/>
  <c r="X59" i="15"/>
  <c r="X58" i="15"/>
  <c r="X57" i="15"/>
  <c r="X56" i="15"/>
  <c r="X55" i="15"/>
  <c r="X54" i="15"/>
  <c r="X53" i="15"/>
  <c r="X52" i="15"/>
  <c r="X51" i="15"/>
  <c r="X50" i="15"/>
  <c r="X49" i="15"/>
  <c r="X48" i="15"/>
  <c r="X47" i="15"/>
  <c r="X46" i="15"/>
  <c r="X45" i="15"/>
  <c r="G44" i="15"/>
  <c r="X44" i="15"/>
  <c r="G43" i="15"/>
  <c r="X43" i="15"/>
  <c r="I44" i="57"/>
  <c r="S36" i="15"/>
  <c r="T36" i="15"/>
  <c r="D125" i="44"/>
  <c r="U36" i="15"/>
  <c r="V36" i="15"/>
  <c r="W36" i="15"/>
  <c r="S37" i="15"/>
  <c r="T37" i="15"/>
  <c r="D131" i="44"/>
  <c r="D129" i="44"/>
  <c r="U37" i="15"/>
  <c r="V37" i="15"/>
  <c r="W37" i="15"/>
  <c r="S38" i="15"/>
  <c r="T38" i="15"/>
  <c r="D135" i="44"/>
  <c r="U38" i="15"/>
  <c r="V38" i="15"/>
  <c r="W38" i="15"/>
  <c r="S39" i="15"/>
  <c r="T39" i="15"/>
  <c r="U39" i="15"/>
  <c r="V39" i="15"/>
  <c r="W39" i="15"/>
  <c r="I40" i="57"/>
  <c r="I42" i="57"/>
  <c r="X36" i="15"/>
  <c r="Y36" i="15"/>
  <c r="X37" i="15"/>
  <c r="Y37" i="15"/>
  <c r="X38" i="15"/>
  <c r="Y38" i="15"/>
  <c r="X39" i="15"/>
  <c r="Y39" i="15"/>
  <c r="I41" i="57"/>
  <c r="I39" i="57"/>
  <c r="I38" i="57"/>
  <c r="I35" i="57"/>
  <c r="I34" i="57"/>
  <c r="I33" i="57"/>
  <c r="I31" i="57"/>
  <c r="C27" i="57"/>
  <c r="W6" i="2"/>
  <c r="C55" i="36"/>
  <c r="C57" i="36"/>
  <c r="C51" i="36"/>
  <c r="T6" i="2"/>
  <c r="U6" i="2"/>
  <c r="X6" i="2"/>
  <c r="W7" i="2"/>
  <c r="C61" i="36"/>
  <c r="C60" i="36"/>
  <c r="T7" i="2"/>
  <c r="U7" i="2"/>
  <c r="X7" i="2"/>
  <c r="W8" i="2"/>
  <c r="C66" i="36"/>
  <c r="C63" i="36"/>
  <c r="T8" i="2"/>
  <c r="U8" i="2"/>
  <c r="X8" i="2"/>
  <c r="W9" i="2"/>
  <c r="C72" i="36"/>
  <c r="C73" i="36"/>
  <c r="C69" i="36"/>
  <c r="T9" i="2"/>
  <c r="U9" i="2"/>
  <c r="X9" i="2"/>
  <c r="W10" i="2"/>
  <c r="C78" i="36"/>
  <c r="C80" i="36"/>
  <c r="C76" i="36"/>
  <c r="T10" i="2"/>
  <c r="U10" i="2"/>
  <c r="X10" i="2"/>
  <c r="W11" i="2"/>
  <c r="C82" i="36"/>
  <c r="T11" i="2"/>
  <c r="U11" i="2"/>
  <c r="X11" i="2"/>
  <c r="W12" i="2"/>
  <c r="C92" i="36"/>
  <c r="C91" i="36"/>
  <c r="T12" i="2"/>
  <c r="U12" i="2"/>
  <c r="X12" i="2"/>
  <c r="W13" i="2"/>
  <c r="C97" i="36"/>
  <c r="C100" i="36"/>
  <c r="C101" i="36"/>
  <c r="C102" i="36"/>
  <c r="C103" i="36"/>
  <c r="C107" i="36"/>
  <c r="C108" i="36"/>
  <c r="C95" i="36"/>
  <c r="T13" i="2"/>
  <c r="U13" i="2"/>
  <c r="X13" i="2"/>
  <c r="W14" i="2"/>
  <c r="C118" i="36"/>
  <c r="C112" i="36"/>
  <c r="T14" i="2"/>
  <c r="U14" i="2"/>
  <c r="X14" i="2"/>
  <c r="W15" i="2"/>
  <c r="C123" i="36"/>
  <c r="C127" i="36"/>
  <c r="C129" i="36"/>
  <c r="C135" i="36"/>
  <c r="C137" i="36"/>
  <c r="C121" i="36"/>
  <c r="T15" i="2"/>
  <c r="U15" i="2"/>
  <c r="X15" i="2"/>
  <c r="W16" i="2"/>
  <c r="C144" i="36"/>
  <c r="T16" i="2"/>
  <c r="U16" i="2"/>
  <c r="X16" i="2"/>
  <c r="W17" i="2"/>
  <c r="C148" i="36"/>
  <c r="C146" i="36"/>
  <c r="T17" i="2"/>
  <c r="U17" i="2"/>
  <c r="X17" i="2"/>
  <c r="W18" i="2"/>
  <c r="C150" i="36"/>
  <c r="T18" i="2"/>
  <c r="U18" i="2"/>
  <c r="X18" i="2"/>
  <c r="W19" i="2"/>
  <c r="C152" i="36"/>
  <c r="T19" i="2"/>
  <c r="U19" i="2"/>
  <c r="X19" i="2"/>
  <c r="W20" i="2"/>
  <c r="C159" i="36"/>
  <c r="T20" i="2"/>
  <c r="U20" i="2"/>
  <c r="X20" i="2"/>
  <c r="W21" i="2"/>
  <c r="C168" i="36"/>
  <c r="C162" i="36"/>
  <c r="T21" i="2"/>
  <c r="U21" i="2"/>
  <c r="X21" i="2"/>
  <c r="W22" i="2"/>
  <c r="C171" i="36"/>
  <c r="T22" i="2"/>
  <c r="U22" i="2"/>
  <c r="X22" i="2"/>
  <c r="W23" i="2"/>
  <c r="C178" i="36"/>
  <c r="T23" i="2"/>
  <c r="U23" i="2"/>
  <c r="X23" i="2"/>
  <c r="W24" i="2"/>
  <c r="C181" i="36"/>
  <c r="C180" i="36"/>
  <c r="T24" i="2"/>
  <c r="U24" i="2"/>
  <c r="X24" i="2"/>
  <c r="W25" i="2"/>
  <c r="C188" i="36"/>
  <c r="C189" i="36"/>
  <c r="C187" i="36"/>
  <c r="T25" i="2"/>
  <c r="U25" i="2"/>
  <c r="X25" i="2"/>
  <c r="W26" i="2"/>
  <c r="C202" i="36"/>
  <c r="T26" i="2"/>
  <c r="U26" i="2"/>
  <c r="X26" i="2"/>
  <c r="W28" i="2"/>
  <c r="C215" i="36"/>
  <c r="C227" i="36"/>
  <c r="C232" i="36"/>
  <c r="C234" i="36"/>
  <c r="C236" i="36"/>
  <c r="C242" i="36"/>
  <c r="C208" i="36"/>
  <c r="T28" i="2"/>
  <c r="U28" i="2"/>
  <c r="X28" i="2"/>
  <c r="W29" i="2"/>
  <c r="C246" i="36"/>
  <c r="C251" i="36"/>
  <c r="C253" i="36"/>
  <c r="C243" i="36"/>
  <c r="T29" i="2"/>
  <c r="U29" i="2"/>
  <c r="X29" i="2"/>
  <c r="W30" i="2"/>
  <c r="C255" i="36"/>
  <c r="C262" i="36"/>
  <c r="C254" i="36"/>
  <c r="T30" i="2"/>
  <c r="U30" i="2"/>
  <c r="X30" i="2"/>
  <c r="W31" i="2"/>
  <c r="C265" i="36"/>
  <c r="C266" i="36"/>
  <c r="C267" i="36"/>
  <c r="C263" i="36"/>
  <c r="T31" i="2"/>
  <c r="U31" i="2"/>
  <c r="X31" i="2"/>
  <c r="W32" i="2"/>
  <c r="C268" i="36"/>
  <c r="T32" i="2"/>
  <c r="U32" i="2"/>
  <c r="X32" i="2"/>
  <c r="W33" i="2"/>
  <c r="C290" i="36"/>
  <c r="C274" i="36"/>
  <c r="T33" i="2"/>
  <c r="U33" i="2"/>
  <c r="X33" i="2"/>
  <c r="W34" i="2"/>
  <c r="C291" i="36"/>
  <c r="T34" i="2"/>
  <c r="U34" i="2"/>
  <c r="X34" i="2"/>
  <c r="D27" i="57"/>
  <c r="W6" i="11"/>
  <c r="D52" i="36"/>
  <c r="D53" i="36"/>
  <c r="D51" i="36"/>
  <c r="T6" i="11"/>
  <c r="U6" i="11"/>
  <c r="X6" i="11"/>
  <c r="W7" i="11"/>
  <c r="D60" i="36"/>
  <c r="T7" i="11"/>
  <c r="U7" i="11"/>
  <c r="X7" i="11"/>
  <c r="W8" i="11"/>
  <c r="D63" i="36"/>
  <c r="T8" i="11"/>
  <c r="U8" i="11"/>
  <c r="X8" i="11"/>
  <c r="W9" i="11"/>
  <c r="D71" i="36"/>
  <c r="D69" i="36"/>
  <c r="T9" i="11"/>
  <c r="U9" i="11"/>
  <c r="X9" i="11"/>
  <c r="W10" i="11"/>
  <c r="D76" i="36"/>
  <c r="T10" i="11"/>
  <c r="U10" i="11"/>
  <c r="X10" i="11"/>
  <c r="W11" i="11"/>
  <c r="D84" i="36"/>
  <c r="D82" i="36"/>
  <c r="T11" i="11"/>
  <c r="U11" i="11"/>
  <c r="X11" i="11"/>
  <c r="W12" i="11"/>
  <c r="D91" i="36"/>
  <c r="T12" i="11"/>
  <c r="U12" i="11"/>
  <c r="X12" i="11"/>
  <c r="W13" i="11"/>
  <c r="D95" i="36"/>
  <c r="T13" i="11"/>
  <c r="U13" i="11"/>
  <c r="X13" i="11"/>
  <c r="W14" i="11"/>
  <c r="D113" i="36"/>
  <c r="D112" i="36"/>
  <c r="T14" i="11"/>
  <c r="U14" i="11"/>
  <c r="X14" i="11"/>
  <c r="W15" i="11"/>
  <c r="D121" i="36"/>
  <c r="T15" i="11"/>
  <c r="U15" i="11"/>
  <c r="X15" i="11"/>
  <c r="W16" i="11"/>
  <c r="D145" i="36"/>
  <c r="D144" i="36"/>
  <c r="T16" i="11"/>
  <c r="U16" i="11"/>
  <c r="X16" i="11"/>
  <c r="W17" i="11"/>
  <c r="D146" i="36"/>
  <c r="T17" i="11"/>
  <c r="U17" i="11"/>
  <c r="X17" i="11"/>
  <c r="W18" i="11"/>
  <c r="D150" i="36"/>
  <c r="T18" i="11"/>
  <c r="U18" i="11"/>
  <c r="X18" i="11"/>
  <c r="W19" i="11"/>
  <c r="D152" i="36"/>
  <c r="T19" i="11"/>
  <c r="U19" i="11"/>
  <c r="X19" i="11"/>
  <c r="W20" i="11"/>
  <c r="D159" i="36"/>
  <c r="T20" i="11"/>
  <c r="U20" i="11"/>
  <c r="X20" i="11"/>
  <c r="W21" i="11"/>
  <c r="D162" i="36"/>
  <c r="T21" i="11"/>
  <c r="U21" i="11"/>
  <c r="X21" i="11"/>
  <c r="W22" i="11"/>
  <c r="D172" i="36"/>
  <c r="D171" i="36"/>
  <c r="T22" i="11"/>
  <c r="U22" i="11"/>
  <c r="X22" i="11"/>
  <c r="W23" i="11"/>
  <c r="D178" i="36"/>
  <c r="T23" i="11"/>
  <c r="U23" i="11"/>
  <c r="X23" i="11"/>
  <c r="W24" i="11"/>
  <c r="D180" i="36"/>
  <c r="T24" i="11"/>
  <c r="U24" i="11"/>
  <c r="X24" i="11"/>
  <c r="W25" i="11"/>
  <c r="D187" i="36"/>
  <c r="T25" i="11"/>
  <c r="U25" i="11"/>
  <c r="X25" i="11"/>
  <c r="W26" i="11"/>
  <c r="D202" i="36"/>
  <c r="T26" i="11"/>
  <c r="U26" i="11"/>
  <c r="X26" i="11"/>
  <c r="W28" i="11"/>
  <c r="D211" i="36"/>
  <c r="D212" i="36"/>
  <c r="D213" i="36"/>
  <c r="D214" i="36"/>
  <c r="D220" i="36"/>
  <c r="D208" i="36"/>
  <c r="T28" i="11"/>
  <c r="U28" i="11"/>
  <c r="X28" i="11"/>
  <c r="W29" i="11"/>
  <c r="D243" i="36"/>
  <c r="T29" i="11"/>
  <c r="U29" i="11"/>
  <c r="X29" i="11"/>
  <c r="W30" i="11"/>
  <c r="D254" i="36"/>
  <c r="T30" i="11"/>
  <c r="U30" i="11"/>
  <c r="X30" i="11"/>
  <c r="W31" i="11"/>
  <c r="D263" i="36"/>
  <c r="T31" i="11"/>
  <c r="U31" i="11"/>
  <c r="X31" i="11"/>
  <c r="W32" i="11"/>
  <c r="D268" i="36"/>
  <c r="T32" i="11"/>
  <c r="U32" i="11"/>
  <c r="X32" i="11"/>
  <c r="W33" i="11"/>
  <c r="D274" i="36"/>
  <c r="T33" i="11"/>
  <c r="U33" i="11"/>
  <c r="X33" i="11"/>
  <c r="W34" i="11"/>
  <c r="D291" i="36"/>
  <c r="T34" i="11"/>
  <c r="U34" i="11"/>
  <c r="X34" i="11"/>
  <c r="E27" i="57"/>
  <c r="W6" i="41"/>
  <c r="T6" i="41"/>
  <c r="U6" i="41"/>
  <c r="X6" i="41"/>
  <c r="W7" i="41"/>
  <c r="E60" i="36"/>
  <c r="T7" i="41"/>
  <c r="U7" i="41"/>
  <c r="X7" i="41"/>
  <c r="W8" i="41"/>
  <c r="T8" i="41"/>
  <c r="U8" i="41"/>
  <c r="X8" i="41"/>
  <c r="W9" i="41"/>
  <c r="T9" i="41"/>
  <c r="U9" i="41"/>
  <c r="X9" i="41"/>
  <c r="W10" i="41"/>
  <c r="T10" i="41"/>
  <c r="U10" i="41"/>
  <c r="X10" i="41"/>
  <c r="W11" i="41"/>
  <c r="E90" i="36"/>
  <c r="E82" i="36"/>
  <c r="T11" i="41"/>
  <c r="U11" i="41"/>
  <c r="X11" i="41"/>
  <c r="W12" i="41"/>
  <c r="X12" i="41"/>
  <c r="W13" i="41"/>
  <c r="E95" i="36"/>
  <c r="T13" i="41"/>
  <c r="U13" i="41"/>
  <c r="X13" i="41"/>
  <c r="W14" i="41"/>
  <c r="E112" i="36"/>
  <c r="T14" i="41"/>
  <c r="U14" i="41"/>
  <c r="X14" i="41"/>
  <c r="W15" i="41"/>
  <c r="E125" i="36"/>
  <c r="E128" i="36"/>
  <c r="E121" i="36"/>
  <c r="T15" i="41"/>
  <c r="U15" i="41"/>
  <c r="X15" i="41"/>
  <c r="W16" i="41"/>
  <c r="E144" i="36"/>
  <c r="T16" i="41"/>
  <c r="U16" i="41"/>
  <c r="X16" i="41"/>
  <c r="W17" i="41"/>
  <c r="E146" i="36"/>
  <c r="T17" i="41"/>
  <c r="U17" i="41"/>
  <c r="X17" i="41"/>
  <c r="W18" i="41"/>
  <c r="E150" i="36"/>
  <c r="T18" i="41"/>
  <c r="U18" i="41"/>
  <c r="X18" i="41"/>
  <c r="W19" i="41"/>
  <c r="E152" i="36"/>
  <c r="T19" i="41"/>
  <c r="U19" i="41"/>
  <c r="X19" i="41"/>
  <c r="W20" i="41"/>
  <c r="E159" i="36"/>
  <c r="T20" i="41"/>
  <c r="U20" i="41"/>
  <c r="X20" i="41"/>
  <c r="W21" i="41"/>
  <c r="E162" i="36"/>
  <c r="T21" i="41"/>
  <c r="U21" i="41"/>
  <c r="X21" i="41"/>
  <c r="W22" i="41"/>
  <c r="X22" i="41"/>
  <c r="W23" i="41"/>
  <c r="E178" i="36"/>
  <c r="T23" i="41"/>
  <c r="U23" i="41"/>
  <c r="X23" i="41"/>
  <c r="W24" i="41"/>
  <c r="E180" i="36"/>
  <c r="T24" i="41"/>
  <c r="U24" i="41"/>
  <c r="X24" i="41"/>
  <c r="W25" i="41"/>
  <c r="E187" i="36"/>
  <c r="T25" i="41"/>
  <c r="U25" i="41"/>
  <c r="X25" i="41"/>
  <c r="W26" i="41"/>
  <c r="E202" i="36"/>
  <c r="T26" i="41"/>
  <c r="U26" i="41"/>
  <c r="X26" i="41"/>
  <c r="W28" i="41"/>
  <c r="E225" i="36"/>
  <c r="E208" i="36"/>
  <c r="T28" i="41"/>
  <c r="U28" i="41"/>
  <c r="X28" i="41"/>
  <c r="W29" i="41"/>
  <c r="E243" i="36"/>
  <c r="T29" i="41"/>
  <c r="U29" i="41"/>
  <c r="X29" i="41"/>
  <c r="W30" i="41"/>
  <c r="E260" i="36"/>
  <c r="E254" i="36"/>
  <c r="T30" i="41"/>
  <c r="U30" i="41"/>
  <c r="X30" i="41"/>
  <c r="W31" i="41"/>
  <c r="E263" i="36"/>
  <c r="T31" i="41"/>
  <c r="U31" i="41"/>
  <c r="X31" i="41"/>
  <c r="W32" i="41"/>
  <c r="E268" i="36"/>
  <c r="T32" i="41"/>
  <c r="U32" i="41"/>
  <c r="X32" i="41"/>
  <c r="W33" i="41"/>
  <c r="X33" i="41"/>
  <c r="W34" i="41"/>
  <c r="E291" i="36"/>
  <c r="T34" i="41"/>
  <c r="U34" i="41"/>
  <c r="X34" i="41"/>
  <c r="F27" i="57"/>
  <c r="Y6" i="13"/>
  <c r="F51" i="36"/>
  <c r="W6" i="13"/>
  <c r="Z6" i="13"/>
  <c r="Y7" i="13"/>
  <c r="F62" i="36"/>
  <c r="F60" i="36"/>
  <c r="V7" i="13"/>
  <c r="W7" i="13"/>
  <c r="Z7" i="13"/>
  <c r="Y8" i="13"/>
  <c r="F65" i="36"/>
  <c r="F63" i="36"/>
  <c r="V8" i="13"/>
  <c r="W8" i="13"/>
  <c r="Z8" i="13"/>
  <c r="Y9" i="13"/>
  <c r="F70" i="36"/>
  <c r="F69" i="36"/>
  <c r="V9" i="13"/>
  <c r="W9" i="13"/>
  <c r="Z9" i="13"/>
  <c r="Y10" i="13"/>
  <c r="F77" i="36"/>
  <c r="F76" i="36"/>
  <c r="V10" i="13"/>
  <c r="W10" i="13"/>
  <c r="Z10" i="13"/>
  <c r="Y11" i="13"/>
  <c r="F85" i="36"/>
  <c r="F87" i="36"/>
  <c r="F88" i="36"/>
  <c r="F89" i="36"/>
  <c r="F82" i="36"/>
  <c r="V11" i="13"/>
  <c r="W11" i="13"/>
  <c r="Z11" i="13"/>
  <c r="Y12" i="13"/>
  <c r="F93" i="36"/>
  <c r="F91" i="36"/>
  <c r="V12" i="13"/>
  <c r="W12" i="13"/>
  <c r="Z12" i="13"/>
  <c r="Y13" i="13"/>
  <c r="F98" i="36"/>
  <c r="F99" i="36"/>
  <c r="F106" i="36"/>
  <c r="F109" i="36"/>
  <c r="F110" i="36"/>
  <c r="F111" i="36"/>
  <c r="F95" i="36"/>
  <c r="V13" i="13"/>
  <c r="W13" i="13"/>
  <c r="Z13" i="13"/>
  <c r="Y14" i="13"/>
  <c r="F115" i="36"/>
  <c r="F116" i="36"/>
  <c r="F117" i="36"/>
  <c r="F112" i="36"/>
  <c r="V14" i="13"/>
  <c r="W14" i="13"/>
  <c r="Z14" i="13"/>
  <c r="Y15" i="13"/>
  <c r="F122" i="36"/>
  <c r="F124" i="36"/>
  <c r="F126" i="36"/>
  <c r="F130" i="36"/>
  <c r="F131" i="36"/>
  <c r="F132" i="36"/>
  <c r="F133" i="36"/>
  <c r="F134" i="36"/>
  <c r="F136" i="36"/>
  <c r="F140" i="36"/>
  <c r="F141" i="36"/>
  <c r="F142" i="36"/>
  <c r="F143" i="36"/>
  <c r="F121" i="36"/>
  <c r="V15" i="13"/>
  <c r="W15" i="13"/>
  <c r="Z15" i="13"/>
  <c r="Y16" i="13"/>
  <c r="F145" i="36"/>
  <c r="F144" i="36"/>
  <c r="V16" i="13"/>
  <c r="W16" i="13"/>
  <c r="Z16" i="13"/>
  <c r="Y17" i="13"/>
  <c r="F147" i="36"/>
  <c r="F149" i="36"/>
  <c r="F146" i="36"/>
  <c r="V17" i="13"/>
  <c r="W17" i="13"/>
  <c r="Z17" i="13"/>
  <c r="Y18" i="13"/>
  <c r="F150" i="36"/>
  <c r="V18" i="13"/>
  <c r="W18" i="13"/>
  <c r="Z18" i="13"/>
  <c r="Y19" i="13"/>
  <c r="F158" i="36"/>
  <c r="F152" i="36"/>
  <c r="V19" i="13"/>
  <c r="W19" i="13"/>
  <c r="Z19" i="13"/>
  <c r="Y20" i="13"/>
  <c r="F160" i="36"/>
  <c r="F161" i="36"/>
  <c r="F159" i="36"/>
  <c r="V20" i="13"/>
  <c r="W20" i="13"/>
  <c r="Z20" i="13"/>
  <c r="Y21" i="13"/>
  <c r="F163" i="36"/>
  <c r="F164" i="36"/>
  <c r="F165" i="36"/>
  <c r="F166" i="36"/>
  <c r="F169" i="36"/>
  <c r="F170" i="36"/>
  <c r="F162" i="36"/>
  <c r="V21" i="13"/>
  <c r="W21" i="13"/>
  <c r="Z21" i="13"/>
  <c r="Y22" i="13"/>
  <c r="F174" i="36"/>
  <c r="F175" i="36"/>
  <c r="F171" i="36"/>
  <c r="V22" i="13"/>
  <c r="W22" i="13"/>
  <c r="Z22" i="13"/>
  <c r="Y23" i="13"/>
  <c r="F178" i="36"/>
  <c r="V23" i="13"/>
  <c r="W23" i="13"/>
  <c r="Z23" i="13"/>
  <c r="Y24" i="13"/>
  <c r="F182" i="36"/>
  <c r="F184" i="36"/>
  <c r="F185" i="36"/>
  <c r="F186" i="36"/>
  <c r="F180" i="36"/>
  <c r="V24" i="13"/>
  <c r="W24" i="13"/>
  <c r="Z24" i="13"/>
  <c r="Y25" i="13"/>
  <c r="F190" i="36"/>
  <c r="F191" i="36"/>
  <c r="F194" i="36"/>
  <c r="F195" i="36"/>
  <c r="F196" i="36"/>
  <c r="F197" i="36"/>
  <c r="F198" i="36"/>
  <c r="F187" i="36"/>
  <c r="V25" i="13"/>
  <c r="W25" i="13"/>
  <c r="Z25" i="13"/>
  <c r="Y26" i="13"/>
  <c r="F203" i="36"/>
  <c r="F204" i="36"/>
  <c r="F202" i="36"/>
  <c r="V26" i="13"/>
  <c r="W26" i="13"/>
  <c r="Z26" i="13"/>
  <c r="Y28" i="13"/>
  <c r="F216" i="36"/>
  <c r="F217" i="36"/>
  <c r="F221" i="36"/>
  <c r="F222" i="36"/>
  <c r="F224" i="36"/>
  <c r="F226" i="36"/>
  <c r="F228" i="36"/>
  <c r="F230" i="36"/>
  <c r="F233" i="36"/>
  <c r="F235" i="36"/>
  <c r="F236" i="36"/>
  <c r="F237" i="36"/>
  <c r="F238" i="36"/>
  <c r="F208" i="36"/>
  <c r="V28" i="13"/>
  <c r="W28" i="13"/>
  <c r="Z28" i="13"/>
  <c r="Y29" i="13"/>
  <c r="F244" i="36"/>
  <c r="F248" i="36"/>
  <c r="F249" i="36"/>
  <c r="F250" i="36"/>
  <c r="F252" i="36"/>
  <c r="F243" i="36"/>
  <c r="V29" i="13"/>
  <c r="W29" i="13"/>
  <c r="Z29" i="13"/>
  <c r="Y30" i="13"/>
  <c r="F256" i="36"/>
  <c r="F257" i="36"/>
  <c r="F258" i="36"/>
  <c r="F259" i="36"/>
  <c r="F261" i="36"/>
  <c r="F254" i="36"/>
  <c r="V30" i="13"/>
  <c r="W30" i="13"/>
  <c r="Z30" i="13"/>
  <c r="Y31" i="13"/>
  <c r="F263" i="36"/>
  <c r="V31" i="13"/>
  <c r="W31" i="13"/>
  <c r="Z31" i="13"/>
  <c r="Y32" i="13"/>
  <c r="F272" i="36"/>
  <c r="F273" i="36"/>
  <c r="F268" i="36"/>
  <c r="V32" i="13"/>
  <c r="W32" i="13"/>
  <c r="Z32" i="13"/>
  <c r="Y33" i="13"/>
  <c r="F290" i="36"/>
  <c r="F274" i="36"/>
  <c r="V33" i="13"/>
  <c r="W33" i="13"/>
  <c r="Z33" i="13"/>
  <c r="Y34" i="13"/>
  <c r="F291" i="36"/>
  <c r="V34" i="13"/>
  <c r="W34" i="13"/>
  <c r="Z34" i="13"/>
  <c r="G27" i="57"/>
  <c r="X6" i="14"/>
  <c r="C11" i="44"/>
  <c r="U6" i="14"/>
  <c r="V6" i="14"/>
  <c r="Y6" i="14"/>
  <c r="X7" i="14"/>
  <c r="C16" i="44"/>
  <c r="U7" i="14"/>
  <c r="V7" i="14"/>
  <c r="Y7" i="14"/>
  <c r="X8" i="14"/>
  <c r="C18" i="44"/>
  <c r="U8" i="14"/>
  <c r="V8" i="14"/>
  <c r="Y8" i="14"/>
  <c r="X9" i="14"/>
  <c r="C25" i="44"/>
  <c r="C20" i="44"/>
  <c r="U9" i="14"/>
  <c r="V9" i="14"/>
  <c r="Y9" i="14"/>
  <c r="X10" i="14"/>
  <c r="C26" i="44"/>
  <c r="U10" i="14"/>
  <c r="V10" i="14"/>
  <c r="Y10" i="14"/>
  <c r="X11" i="14"/>
  <c r="C28" i="44"/>
  <c r="U11" i="14"/>
  <c r="V11" i="14"/>
  <c r="Y11" i="14"/>
  <c r="X12" i="14"/>
  <c r="C30" i="44"/>
  <c r="U12" i="14"/>
  <c r="V12" i="14"/>
  <c r="Y12" i="14"/>
  <c r="X13" i="14"/>
  <c r="C35" i="44"/>
  <c r="C36" i="44"/>
  <c r="C32" i="44"/>
  <c r="U13" i="14"/>
  <c r="V13" i="14"/>
  <c r="Y13" i="14"/>
  <c r="X14" i="14"/>
  <c r="C40" i="44"/>
  <c r="U14" i="14"/>
  <c r="V14" i="14"/>
  <c r="Y14" i="14"/>
  <c r="X15" i="14"/>
  <c r="C51" i="44"/>
  <c r="C46" i="44"/>
  <c r="U15" i="14"/>
  <c r="V15" i="14"/>
  <c r="Y15" i="14"/>
  <c r="X16" i="14"/>
  <c r="C57" i="44"/>
  <c r="U16" i="14"/>
  <c r="V16" i="14"/>
  <c r="Y16" i="14"/>
  <c r="X17" i="14"/>
  <c r="C60" i="44"/>
  <c r="U17" i="14"/>
  <c r="V17" i="14"/>
  <c r="Y17" i="14"/>
  <c r="X18" i="14"/>
  <c r="U18" i="14"/>
  <c r="V18" i="14"/>
  <c r="Y18" i="14"/>
  <c r="X19" i="14"/>
  <c r="U19" i="14"/>
  <c r="V19" i="14"/>
  <c r="Y19" i="14"/>
  <c r="X20" i="14"/>
  <c r="U20" i="14"/>
  <c r="V20" i="14"/>
  <c r="Y20" i="14"/>
  <c r="X21" i="14"/>
  <c r="C69" i="44"/>
  <c r="U21" i="14"/>
  <c r="V21" i="14"/>
  <c r="Y21" i="14"/>
  <c r="X22" i="14"/>
  <c r="C71" i="44"/>
  <c r="U22" i="14"/>
  <c r="V22" i="14"/>
  <c r="Y22" i="14"/>
  <c r="X23" i="14"/>
  <c r="U23" i="14"/>
  <c r="V23" i="14"/>
  <c r="Y23" i="14"/>
  <c r="X24" i="14"/>
  <c r="C75" i="44"/>
  <c r="U24" i="14"/>
  <c r="V24" i="14"/>
  <c r="Y24" i="14"/>
  <c r="X25" i="14"/>
  <c r="C77" i="44"/>
  <c r="U25" i="14"/>
  <c r="V25" i="14"/>
  <c r="Y25" i="14"/>
  <c r="X26" i="14"/>
  <c r="C86" i="44"/>
  <c r="U26" i="14"/>
  <c r="V26" i="14"/>
  <c r="Y26" i="14"/>
  <c r="X28" i="14"/>
  <c r="C94" i="44"/>
  <c r="C88" i="44"/>
  <c r="U28" i="14"/>
  <c r="V28" i="14"/>
  <c r="Y28" i="14"/>
  <c r="X29" i="14"/>
  <c r="C97" i="44"/>
  <c r="U29" i="14"/>
  <c r="V29" i="14"/>
  <c r="Y29" i="14"/>
  <c r="X30" i="14"/>
  <c r="C99" i="44"/>
  <c r="U30" i="14"/>
  <c r="V30" i="14"/>
  <c r="Y30" i="14"/>
  <c r="X31" i="14"/>
  <c r="C105" i="44"/>
  <c r="C107" i="44"/>
  <c r="C101" i="44"/>
  <c r="U31" i="14"/>
  <c r="V31" i="14"/>
  <c r="Y31" i="14"/>
  <c r="X32" i="14"/>
  <c r="C112" i="44"/>
  <c r="U32" i="14"/>
  <c r="V32" i="14"/>
  <c r="Y32" i="14"/>
  <c r="X33" i="14"/>
  <c r="C117" i="44"/>
  <c r="U33" i="14"/>
  <c r="V33" i="14"/>
  <c r="Y33" i="14"/>
  <c r="X34" i="14"/>
  <c r="C124" i="44"/>
  <c r="C123" i="44"/>
  <c r="U34" i="14"/>
  <c r="V34" i="14"/>
  <c r="Y34" i="14"/>
  <c r="H27" i="57"/>
  <c r="X6" i="15"/>
  <c r="D11" i="44"/>
  <c r="U6" i="15"/>
  <c r="V6" i="15"/>
  <c r="Y6" i="15"/>
  <c r="X7" i="15"/>
  <c r="D16" i="44"/>
  <c r="U7" i="15"/>
  <c r="V7" i="15"/>
  <c r="Y7" i="15"/>
  <c r="X8" i="15"/>
  <c r="D18" i="44"/>
  <c r="U8" i="15"/>
  <c r="V8" i="15"/>
  <c r="Y8" i="15"/>
  <c r="X9" i="15"/>
  <c r="D20" i="44"/>
  <c r="U9" i="15"/>
  <c r="V9" i="15"/>
  <c r="Y9" i="15"/>
  <c r="X10" i="15"/>
  <c r="D26" i="44"/>
  <c r="U10" i="15"/>
  <c r="V10" i="15"/>
  <c r="Y10" i="15"/>
  <c r="X11" i="15"/>
  <c r="D28" i="44"/>
  <c r="U11" i="15"/>
  <c r="V11" i="15"/>
  <c r="Y11" i="15"/>
  <c r="X12" i="15"/>
  <c r="D30" i="44"/>
  <c r="U12" i="15"/>
  <c r="V12" i="15"/>
  <c r="Y12" i="15"/>
  <c r="X13" i="15"/>
  <c r="D32" i="44"/>
  <c r="U13" i="15"/>
  <c r="V13" i="15"/>
  <c r="Y13" i="15"/>
  <c r="X14" i="15"/>
  <c r="D45" i="44"/>
  <c r="D40" i="44"/>
  <c r="U14" i="15"/>
  <c r="V14" i="15"/>
  <c r="Y14" i="15"/>
  <c r="X15" i="15"/>
  <c r="D49" i="44"/>
  <c r="D46" i="44"/>
  <c r="U15" i="15"/>
  <c r="V15" i="15"/>
  <c r="Y15" i="15"/>
  <c r="X16" i="15"/>
  <c r="D57" i="44"/>
  <c r="U16" i="15"/>
  <c r="V16" i="15"/>
  <c r="Y16" i="15"/>
  <c r="X17" i="15"/>
  <c r="D60" i="44"/>
  <c r="U17" i="15"/>
  <c r="V17" i="15"/>
  <c r="Y17" i="15"/>
  <c r="X18" i="15"/>
  <c r="U18" i="15"/>
  <c r="V18" i="15"/>
  <c r="Y18" i="15"/>
  <c r="X19" i="15"/>
  <c r="D64" i="44"/>
  <c r="U19" i="15"/>
  <c r="V19" i="15"/>
  <c r="Y19" i="15"/>
  <c r="X20" i="15"/>
  <c r="U20" i="15"/>
  <c r="V20" i="15"/>
  <c r="Y20" i="15"/>
  <c r="X21" i="15"/>
  <c r="D69" i="44"/>
  <c r="U21" i="15"/>
  <c r="V21" i="15"/>
  <c r="Y21" i="15"/>
  <c r="X22" i="15"/>
  <c r="D71" i="44"/>
  <c r="U22" i="15"/>
  <c r="V22" i="15"/>
  <c r="Y22" i="15"/>
  <c r="X23" i="15"/>
  <c r="U23" i="15"/>
  <c r="V23" i="15"/>
  <c r="Y23" i="15"/>
  <c r="X24" i="15"/>
  <c r="D75" i="44"/>
  <c r="U24" i="15"/>
  <c r="V24" i="15"/>
  <c r="Y24" i="15"/>
  <c r="X25" i="15"/>
  <c r="D77" i="44"/>
  <c r="U25" i="15"/>
  <c r="V25" i="15"/>
  <c r="Y25" i="15"/>
  <c r="X26" i="15"/>
  <c r="D87" i="44"/>
  <c r="D86" i="44"/>
  <c r="U26" i="15"/>
  <c r="V26" i="15"/>
  <c r="Y26" i="15"/>
  <c r="X28" i="15"/>
  <c r="D89" i="44"/>
  <c r="D91" i="44"/>
  <c r="D92" i="44"/>
  <c r="D88" i="44"/>
  <c r="U28" i="15"/>
  <c r="V28" i="15"/>
  <c r="Y28" i="15"/>
  <c r="X29" i="15"/>
  <c r="D97" i="44"/>
  <c r="U29" i="15"/>
  <c r="V29" i="15"/>
  <c r="Y29" i="15"/>
  <c r="X30" i="15"/>
  <c r="D99" i="44"/>
  <c r="U30" i="15"/>
  <c r="V30" i="15"/>
  <c r="Y30" i="15"/>
  <c r="X31" i="15"/>
  <c r="D101" i="44"/>
  <c r="U31" i="15"/>
  <c r="V31" i="15"/>
  <c r="Y31" i="15"/>
  <c r="X32" i="15"/>
  <c r="D112" i="44"/>
  <c r="U32" i="15"/>
  <c r="V32" i="15"/>
  <c r="Y32" i="15"/>
  <c r="X33" i="15"/>
  <c r="D121" i="44"/>
  <c r="D117" i="44"/>
  <c r="U33" i="15"/>
  <c r="V33" i="15"/>
  <c r="Y33" i="15"/>
  <c r="X34" i="15"/>
  <c r="U34" i="15"/>
  <c r="V34" i="15"/>
  <c r="Y34" i="15"/>
  <c r="I27" i="57"/>
  <c r="C26" i="57"/>
  <c r="R6" i="2"/>
  <c r="S6" i="2"/>
  <c r="V6" i="2"/>
  <c r="R7" i="2"/>
  <c r="S7" i="2"/>
  <c r="V7" i="2"/>
  <c r="R8" i="2"/>
  <c r="S8" i="2"/>
  <c r="V8" i="2"/>
  <c r="R9" i="2"/>
  <c r="S9" i="2"/>
  <c r="V9" i="2"/>
  <c r="R10" i="2"/>
  <c r="S10" i="2"/>
  <c r="V10" i="2"/>
  <c r="R11" i="2"/>
  <c r="S11" i="2"/>
  <c r="V11" i="2"/>
  <c r="R12" i="2"/>
  <c r="S12" i="2"/>
  <c r="V12" i="2"/>
  <c r="R13" i="2"/>
  <c r="S13" i="2"/>
  <c r="V13" i="2"/>
  <c r="R14" i="2"/>
  <c r="S14" i="2"/>
  <c r="V14" i="2"/>
  <c r="R15" i="2"/>
  <c r="S15" i="2"/>
  <c r="V15" i="2"/>
  <c r="R16" i="2"/>
  <c r="S16" i="2"/>
  <c r="V16" i="2"/>
  <c r="R17" i="2"/>
  <c r="S17" i="2"/>
  <c r="V17" i="2"/>
  <c r="R18" i="2"/>
  <c r="S18" i="2"/>
  <c r="V18" i="2"/>
  <c r="R19" i="2"/>
  <c r="S19" i="2"/>
  <c r="V19" i="2"/>
  <c r="R20" i="2"/>
  <c r="S20" i="2"/>
  <c r="V20" i="2"/>
  <c r="R21" i="2"/>
  <c r="S21" i="2"/>
  <c r="V21" i="2"/>
  <c r="R22" i="2"/>
  <c r="S22" i="2"/>
  <c r="V22" i="2"/>
  <c r="R23" i="2"/>
  <c r="S23" i="2"/>
  <c r="V23" i="2"/>
  <c r="R24" i="2"/>
  <c r="S24" i="2"/>
  <c r="V24" i="2"/>
  <c r="R25" i="2"/>
  <c r="S25" i="2"/>
  <c r="V25" i="2"/>
  <c r="R26" i="2"/>
  <c r="S26" i="2"/>
  <c r="V26" i="2"/>
  <c r="R28" i="2"/>
  <c r="S28" i="2"/>
  <c r="V28" i="2"/>
  <c r="R29" i="2"/>
  <c r="S29" i="2"/>
  <c r="V29" i="2"/>
  <c r="R30" i="2"/>
  <c r="S30" i="2"/>
  <c r="V30" i="2"/>
  <c r="R31" i="2"/>
  <c r="S31" i="2"/>
  <c r="V31" i="2"/>
  <c r="R32" i="2"/>
  <c r="S32" i="2"/>
  <c r="V32" i="2"/>
  <c r="R33" i="2"/>
  <c r="S33" i="2"/>
  <c r="V33" i="2"/>
  <c r="R34" i="2"/>
  <c r="S34" i="2"/>
  <c r="V34" i="2"/>
  <c r="D26" i="57"/>
  <c r="R6" i="11"/>
  <c r="S6" i="11"/>
  <c r="V6" i="11"/>
  <c r="R7" i="11"/>
  <c r="S7" i="11"/>
  <c r="V7" i="11"/>
  <c r="R8" i="11"/>
  <c r="S8" i="11"/>
  <c r="V8" i="11"/>
  <c r="R9" i="11"/>
  <c r="S9" i="11"/>
  <c r="V9" i="11"/>
  <c r="R10" i="11"/>
  <c r="S10" i="11"/>
  <c r="V10" i="11"/>
  <c r="R11" i="11"/>
  <c r="S11" i="11"/>
  <c r="V11" i="11"/>
  <c r="R12" i="11"/>
  <c r="S12" i="11"/>
  <c r="V12" i="11"/>
  <c r="R13" i="11"/>
  <c r="S13" i="11"/>
  <c r="V13" i="11"/>
  <c r="R14" i="11"/>
  <c r="S14" i="11"/>
  <c r="V14" i="11"/>
  <c r="R15" i="11"/>
  <c r="S15" i="11"/>
  <c r="V15" i="11"/>
  <c r="R16" i="11"/>
  <c r="S16" i="11"/>
  <c r="V16" i="11"/>
  <c r="R17" i="11"/>
  <c r="S17" i="11"/>
  <c r="V17" i="11"/>
  <c r="R18" i="11"/>
  <c r="S18" i="11"/>
  <c r="V18" i="11"/>
  <c r="R19" i="11"/>
  <c r="S19" i="11"/>
  <c r="V19" i="11"/>
  <c r="R20" i="11"/>
  <c r="S20" i="11"/>
  <c r="V20" i="11"/>
  <c r="R21" i="11"/>
  <c r="S21" i="11"/>
  <c r="V21" i="11"/>
  <c r="R22" i="11"/>
  <c r="S22" i="11"/>
  <c r="V22" i="11"/>
  <c r="R23" i="11"/>
  <c r="S23" i="11"/>
  <c r="V23" i="11"/>
  <c r="R24" i="11"/>
  <c r="S24" i="11"/>
  <c r="V24" i="11"/>
  <c r="R25" i="11"/>
  <c r="S25" i="11"/>
  <c r="V25" i="11"/>
  <c r="R26" i="11"/>
  <c r="S26" i="11"/>
  <c r="V26" i="11"/>
  <c r="R28" i="11"/>
  <c r="S28" i="11"/>
  <c r="V28" i="11"/>
  <c r="R29" i="11"/>
  <c r="S29" i="11"/>
  <c r="V29" i="11"/>
  <c r="R30" i="11"/>
  <c r="S30" i="11"/>
  <c r="V30" i="11"/>
  <c r="R31" i="11"/>
  <c r="S31" i="11"/>
  <c r="V31" i="11"/>
  <c r="R32" i="11"/>
  <c r="S32" i="11"/>
  <c r="V32" i="11"/>
  <c r="R33" i="11"/>
  <c r="S33" i="11"/>
  <c r="V33" i="11"/>
  <c r="R34" i="11"/>
  <c r="S34" i="11"/>
  <c r="V34" i="11"/>
  <c r="E26" i="57"/>
  <c r="R6" i="41"/>
  <c r="S6" i="41"/>
  <c r="V6" i="41"/>
  <c r="R7" i="41"/>
  <c r="S7" i="41"/>
  <c r="V7" i="41"/>
  <c r="R8" i="41"/>
  <c r="S8" i="41"/>
  <c r="V8" i="41"/>
  <c r="R9" i="41"/>
  <c r="S9" i="41"/>
  <c r="V9" i="41"/>
  <c r="R10" i="41"/>
  <c r="S10" i="41"/>
  <c r="V10" i="41"/>
  <c r="R11" i="41"/>
  <c r="S11" i="41"/>
  <c r="V11" i="41"/>
  <c r="R13" i="41"/>
  <c r="S13" i="41"/>
  <c r="V13" i="41"/>
  <c r="R14" i="41"/>
  <c r="S14" i="41"/>
  <c r="V14" i="41"/>
  <c r="R15" i="41"/>
  <c r="S15" i="41"/>
  <c r="V15" i="41"/>
  <c r="R16" i="41"/>
  <c r="S16" i="41"/>
  <c r="V16" i="41"/>
  <c r="R17" i="41"/>
  <c r="S17" i="41"/>
  <c r="V17" i="41"/>
  <c r="R18" i="41"/>
  <c r="S18" i="41"/>
  <c r="V18" i="41"/>
  <c r="R19" i="41"/>
  <c r="S19" i="41"/>
  <c r="V19" i="41"/>
  <c r="R20" i="41"/>
  <c r="S20" i="41"/>
  <c r="V20" i="41"/>
  <c r="R21" i="41"/>
  <c r="S21" i="41"/>
  <c r="V21" i="41"/>
  <c r="R23" i="41"/>
  <c r="S23" i="41"/>
  <c r="V23" i="41"/>
  <c r="R24" i="41"/>
  <c r="S24" i="41"/>
  <c r="V24" i="41"/>
  <c r="R25" i="41"/>
  <c r="S25" i="41"/>
  <c r="V25" i="41"/>
  <c r="R26" i="41"/>
  <c r="S26" i="41"/>
  <c r="V26" i="41"/>
  <c r="R28" i="41"/>
  <c r="S28" i="41"/>
  <c r="V28" i="41"/>
  <c r="R29" i="41"/>
  <c r="S29" i="41"/>
  <c r="V29" i="41"/>
  <c r="R30" i="41"/>
  <c r="S30" i="41"/>
  <c r="V30" i="41"/>
  <c r="R31" i="41"/>
  <c r="S31" i="41"/>
  <c r="V31" i="41"/>
  <c r="R32" i="41"/>
  <c r="S32" i="41"/>
  <c r="V32" i="41"/>
  <c r="R34" i="41"/>
  <c r="S34" i="41"/>
  <c r="V34" i="41"/>
  <c r="F26" i="57"/>
  <c r="T6" i="13"/>
  <c r="U6" i="13"/>
  <c r="X6" i="13"/>
  <c r="T7" i="13"/>
  <c r="U7" i="13"/>
  <c r="X7" i="13"/>
  <c r="T8" i="13"/>
  <c r="U8" i="13"/>
  <c r="X8" i="13"/>
  <c r="T9" i="13"/>
  <c r="U9" i="13"/>
  <c r="X9" i="13"/>
  <c r="T10" i="13"/>
  <c r="U10" i="13"/>
  <c r="X10" i="13"/>
  <c r="T11" i="13"/>
  <c r="U11" i="13"/>
  <c r="X11" i="13"/>
  <c r="T12" i="13"/>
  <c r="U12" i="13"/>
  <c r="X12" i="13"/>
  <c r="T13" i="13"/>
  <c r="U13" i="13"/>
  <c r="X13" i="13"/>
  <c r="T14" i="13"/>
  <c r="U14" i="13"/>
  <c r="X14" i="13"/>
  <c r="T15" i="13"/>
  <c r="U15" i="13"/>
  <c r="X15" i="13"/>
  <c r="T16" i="13"/>
  <c r="U16" i="13"/>
  <c r="X16" i="13"/>
  <c r="T17" i="13"/>
  <c r="U17" i="13"/>
  <c r="X17" i="13"/>
  <c r="T18" i="13"/>
  <c r="U18" i="13"/>
  <c r="X18" i="13"/>
  <c r="T19" i="13"/>
  <c r="U19" i="13"/>
  <c r="X19" i="13"/>
  <c r="T20" i="13"/>
  <c r="U20" i="13"/>
  <c r="X20" i="13"/>
  <c r="T21" i="13"/>
  <c r="U21" i="13"/>
  <c r="X21" i="13"/>
  <c r="T22" i="13"/>
  <c r="U22" i="13"/>
  <c r="X22" i="13"/>
  <c r="T23" i="13"/>
  <c r="U23" i="13"/>
  <c r="X23" i="13"/>
  <c r="T24" i="13"/>
  <c r="U24" i="13"/>
  <c r="X24" i="13"/>
  <c r="T25" i="13"/>
  <c r="U25" i="13"/>
  <c r="X25" i="13"/>
  <c r="T26" i="13"/>
  <c r="U26" i="13"/>
  <c r="X26" i="13"/>
  <c r="T28" i="13"/>
  <c r="U28" i="13"/>
  <c r="X28" i="13"/>
  <c r="T29" i="13"/>
  <c r="U29" i="13"/>
  <c r="X29" i="13"/>
  <c r="T30" i="13"/>
  <c r="U30" i="13"/>
  <c r="X30" i="13"/>
  <c r="T31" i="13"/>
  <c r="U31" i="13"/>
  <c r="X31" i="13"/>
  <c r="T32" i="13"/>
  <c r="U32" i="13"/>
  <c r="X32" i="13"/>
  <c r="T33" i="13"/>
  <c r="U33" i="13"/>
  <c r="X33" i="13"/>
  <c r="T34" i="13"/>
  <c r="U34" i="13"/>
  <c r="X34" i="13"/>
  <c r="G26" i="57"/>
  <c r="S6" i="14"/>
  <c r="T6" i="14"/>
  <c r="W6" i="14"/>
  <c r="S7" i="14"/>
  <c r="T7" i="14"/>
  <c r="W7" i="14"/>
  <c r="S8" i="14"/>
  <c r="T8" i="14"/>
  <c r="W8" i="14"/>
  <c r="S9" i="14"/>
  <c r="T9" i="14"/>
  <c r="W9" i="14"/>
  <c r="S10" i="14"/>
  <c r="T10" i="14"/>
  <c r="W10" i="14"/>
  <c r="S11" i="14"/>
  <c r="T11" i="14"/>
  <c r="W11" i="14"/>
  <c r="S12" i="14"/>
  <c r="T12" i="14"/>
  <c r="W12" i="14"/>
  <c r="S13" i="14"/>
  <c r="T13" i="14"/>
  <c r="W13" i="14"/>
  <c r="S14" i="14"/>
  <c r="T14" i="14"/>
  <c r="W14" i="14"/>
  <c r="S15" i="14"/>
  <c r="T15" i="14"/>
  <c r="W15" i="14"/>
  <c r="S16" i="14"/>
  <c r="T16" i="14"/>
  <c r="W16" i="14"/>
  <c r="S17" i="14"/>
  <c r="T17" i="14"/>
  <c r="W17" i="14"/>
  <c r="S18" i="14"/>
  <c r="T18" i="14"/>
  <c r="W18" i="14"/>
  <c r="S19" i="14"/>
  <c r="T19" i="14"/>
  <c r="W19" i="14"/>
  <c r="S20" i="14"/>
  <c r="T20" i="14"/>
  <c r="W20" i="14"/>
  <c r="S21" i="14"/>
  <c r="T21" i="14"/>
  <c r="W21" i="14"/>
  <c r="S22" i="14"/>
  <c r="T22" i="14"/>
  <c r="W22" i="14"/>
  <c r="S23" i="14"/>
  <c r="T23" i="14"/>
  <c r="W23" i="14"/>
  <c r="S24" i="14"/>
  <c r="T24" i="14"/>
  <c r="W24" i="14"/>
  <c r="S25" i="14"/>
  <c r="T25" i="14"/>
  <c r="W25" i="14"/>
  <c r="S26" i="14"/>
  <c r="T26" i="14"/>
  <c r="W26" i="14"/>
  <c r="S28" i="14"/>
  <c r="T28" i="14"/>
  <c r="W28" i="14"/>
  <c r="S29" i="14"/>
  <c r="T29" i="14"/>
  <c r="W29" i="14"/>
  <c r="S30" i="14"/>
  <c r="T30" i="14"/>
  <c r="W30" i="14"/>
  <c r="S31" i="14"/>
  <c r="T31" i="14"/>
  <c r="W31" i="14"/>
  <c r="S32" i="14"/>
  <c r="T32" i="14"/>
  <c r="W32" i="14"/>
  <c r="S33" i="14"/>
  <c r="T33" i="14"/>
  <c r="W33" i="14"/>
  <c r="S34" i="14"/>
  <c r="T34" i="14"/>
  <c r="W34" i="14"/>
  <c r="H26" i="57"/>
  <c r="S6" i="15"/>
  <c r="T6" i="15"/>
  <c r="W6" i="15"/>
  <c r="S7" i="15"/>
  <c r="T7" i="15"/>
  <c r="W7" i="15"/>
  <c r="S8" i="15"/>
  <c r="T8" i="15"/>
  <c r="W8" i="15"/>
  <c r="S9" i="15"/>
  <c r="T9" i="15"/>
  <c r="W9" i="15"/>
  <c r="S10" i="15"/>
  <c r="T10" i="15"/>
  <c r="W10" i="15"/>
  <c r="S11" i="15"/>
  <c r="T11" i="15"/>
  <c r="W11" i="15"/>
  <c r="S12" i="15"/>
  <c r="T12" i="15"/>
  <c r="W12" i="15"/>
  <c r="S13" i="15"/>
  <c r="T13" i="15"/>
  <c r="W13" i="15"/>
  <c r="S14" i="15"/>
  <c r="T14" i="15"/>
  <c r="W14" i="15"/>
  <c r="S15" i="15"/>
  <c r="T15" i="15"/>
  <c r="W15" i="15"/>
  <c r="S16" i="15"/>
  <c r="T16" i="15"/>
  <c r="W16" i="15"/>
  <c r="S17" i="15"/>
  <c r="T17" i="15"/>
  <c r="W17" i="15"/>
  <c r="S18" i="15"/>
  <c r="T18" i="15"/>
  <c r="W18" i="15"/>
  <c r="S19" i="15"/>
  <c r="T19" i="15"/>
  <c r="W19" i="15"/>
  <c r="S20" i="15"/>
  <c r="T20" i="15"/>
  <c r="W20" i="15"/>
  <c r="S21" i="15"/>
  <c r="T21" i="15"/>
  <c r="W21" i="15"/>
  <c r="S22" i="15"/>
  <c r="T22" i="15"/>
  <c r="W22" i="15"/>
  <c r="S23" i="15"/>
  <c r="T23" i="15"/>
  <c r="W23" i="15"/>
  <c r="S24" i="15"/>
  <c r="T24" i="15"/>
  <c r="W24" i="15"/>
  <c r="S25" i="15"/>
  <c r="T25" i="15"/>
  <c r="W25" i="15"/>
  <c r="S26" i="15"/>
  <c r="T26" i="15"/>
  <c r="W26" i="15"/>
  <c r="S28" i="15"/>
  <c r="T28" i="15"/>
  <c r="W28" i="15"/>
  <c r="S29" i="15"/>
  <c r="T29" i="15"/>
  <c r="W29" i="15"/>
  <c r="S30" i="15"/>
  <c r="T30" i="15"/>
  <c r="W30" i="15"/>
  <c r="S31" i="15"/>
  <c r="T31" i="15"/>
  <c r="W31" i="15"/>
  <c r="S32" i="15"/>
  <c r="T32" i="15"/>
  <c r="W32" i="15"/>
  <c r="S33" i="15"/>
  <c r="T33" i="15"/>
  <c r="W33" i="15"/>
  <c r="S34" i="15"/>
  <c r="T34" i="15"/>
  <c r="W34" i="15"/>
  <c r="I26" i="57"/>
  <c r="B26" i="57"/>
  <c r="C25" i="57"/>
  <c r="D25" i="57"/>
  <c r="E25" i="57"/>
  <c r="F25" i="57"/>
  <c r="G25" i="57"/>
  <c r="H25" i="57"/>
  <c r="I25" i="57"/>
  <c r="B25" i="57"/>
  <c r="C24" i="57"/>
  <c r="D24" i="57"/>
  <c r="E24" i="57"/>
  <c r="F24" i="57"/>
  <c r="G24" i="57"/>
  <c r="H24" i="57"/>
  <c r="I24" i="57"/>
  <c r="B24" i="57"/>
  <c r="H28" i="57"/>
  <c r="I28" i="57"/>
  <c r="I21" i="57"/>
  <c r="I20" i="57"/>
  <c r="K27" i="15"/>
  <c r="I19" i="57"/>
  <c r="X4" i="15"/>
  <c r="Y4" i="15"/>
  <c r="I13" i="57"/>
  <c r="P4" i="15"/>
  <c r="I9" i="57"/>
  <c r="I7" i="57"/>
  <c r="I5" i="57"/>
  <c r="H56" i="33"/>
  <c r="Q71" i="33"/>
  <c r="Q65" i="33"/>
  <c r="D60" i="33"/>
  <c r="Q56" i="33"/>
  <c r="D56" i="33"/>
  <c r="M5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M7" i="33"/>
  <c r="M6" i="33"/>
  <c r="M5" i="33"/>
  <c r="M4" i="33"/>
  <c r="G42" i="15"/>
  <c r="X42" i="15"/>
  <c r="G9" i="15"/>
  <c r="G15" i="15"/>
  <c r="G20" i="15"/>
  <c r="D66" i="15"/>
  <c r="D67" i="15"/>
  <c r="D68" i="15"/>
  <c r="Y65" i="15"/>
  <c r="G6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8" i="15"/>
  <c r="A29" i="15"/>
  <c r="A30" i="15"/>
  <c r="A31" i="15"/>
  <c r="A32" i="15"/>
  <c r="A33" i="15"/>
  <c r="A34" i="15"/>
  <c r="A36" i="15"/>
  <c r="A37" i="15"/>
  <c r="A38" i="15"/>
  <c r="A39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Y64" i="15"/>
  <c r="G64" i="15"/>
  <c r="Y63" i="15"/>
  <c r="G63" i="15"/>
  <c r="Y62" i="15"/>
  <c r="G62" i="15"/>
  <c r="Y61" i="15"/>
  <c r="G61" i="15"/>
  <c r="Y60" i="15"/>
  <c r="G60" i="15"/>
  <c r="Y59" i="15"/>
  <c r="G59" i="15"/>
  <c r="Y58" i="15"/>
  <c r="G58" i="15"/>
  <c r="Y57" i="15"/>
  <c r="G57" i="15"/>
  <c r="Y56" i="15"/>
  <c r="G56" i="15"/>
  <c r="Y55" i="15"/>
  <c r="G55" i="15"/>
  <c r="Y54" i="15"/>
  <c r="G54" i="15"/>
  <c r="Y53" i="15"/>
  <c r="G53" i="15"/>
  <c r="Y52" i="15"/>
  <c r="G52" i="15"/>
  <c r="Y51" i="15"/>
  <c r="G51" i="15"/>
  <c r="Y50" i="15"/>
  <c r="G50" i="15"/>
  <c r="Y49" i="15"/>
  <c r="G49" i="15"/>
  <c r="Y48" i="15"/>
  <c r="G48" i="15"/>
  <c r="Y47" i="15"/>
  <c r="G47" i="15"/>
  <c r="Y46" i="15"/>
  <c r="G46" i="15"/>
  <c r="Y45" i="15"/>
  <c r="G45" i="15"/>
  <c r="Y44" i="15"/>
  <c r="Y43" i="15"/>
  <c r="Y42" i="15"/>
  <c r="Y41" i="15"/>
  <c r="G41" i="15"/>
  <c r="G26" i="15"/>
  <c r="G25" i="15"/>
  <c r="G24" i="15"/>
  <c r="G23" i="15"/>
  <c r="G22" i="15"/>
  <c r="G21" i="15"/>
  <c r="G19" i="15"/>
  <c r="G18" i="15"/>
  <c r="G17" i="15"/>
  <c r="G16" i="15"/>
  <c r="G14" i="15"/>
  <c r="G13" i="15"/>
  <c r="G12" i="15"/>
  <c r="G11" i="15"/>
  <c r="G10" i="15"/>
  <c r="G8" i="15"/>
  <c r="G7" i="15"/>
  <c r="G6" i="15"/>
  <c r="W4" i="15"/>
  <c r="S61" i="32"/>
  <c r="M4" i="15"/>
  <c r="N4" i="15"/>
  <c r="G4" i="15"/>
  <c r="U39" i="14"/>
  <c r="C135" i="44"/>
  <c r="U38" i="14"/>
  <c r="C129" i="44"/>
  <c r="U37" i="14"/>
  <c r="C125" i="44"/>
  <c r="U36" i="14"/>
  <c r="G125" i="44"/>
  <c r="G112" i="44"/>
  <c r="G101" i="44"/>
  <c r="G88" i="44"/>
  <c r="G69" i="44"/>
  <c r="C64" i="44"/>
  <c r="G64" i="44"/>
  <c r="G48" i="44"/>
  <c r="G47" i="44"/>
  <c r="G46" i="44"/>
  <c r="G40" i="44"/>
  <c r="G37" i="44"/>
  <c r="X41" i="14"/>
  <c r="Y41" i="14"/>
  <c r="G42" i="14"/>
  <c r="X42" i="14"/>
  <c r="Y42" i="14"/>
  <c r="G43" i="14"/>
  <c r="X43" i="14"/>
  <c r="Y43" i="14"/>
  <c r="G44" i="14"/>
  <c r="X44" i="14"/>
  <c r="Y44" i="14"/>
  <c r="X45" i="14"/>
  <c r="Y45" i="14"/>
  <c r="X46" i="14"/>
  <c r="Y46" i="14"/>
  <c r="X47" i="14"/>
  <c r="Y47" i="14"/>
  <c r="X48" i="14"/>
  <c r="Y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H47" i="57"/>
  <c r="H45" i="57"/>
  <c r="V36" i="14"/>
  <c r="S36" i="14"/>
  <c r="T36" i="14"/>
  <c r="W36" i="14"/>
  <c r="V37" i="14"/>
  <c r="S37" i="14"/>
  <c r="T37" i="14"/>
  <c r="W37" i="14"/>
  <c r="V38" i="14"/>
  <c r="S38" i="14"/>
  <c r="T38" i="14"/>
  <c r="W38" i="14"/>
  <c r="V39" i="14"/>
  <c r="S39" i="14"/>
  <c r="T39" i="14"/>
  <c r="W39" i="14"/>
  <c r="H40" i="57"/>
  <c r="H42" i="57"/>
  <c r="X36" i="14"/>
  <c r="Y36" i="14"/>
  <c r="X37" i="14"/>
  <c r="Y37" i="14"/>
  <c r="X38" i="14"/>
  <c r="Y38" i="14"/>
  <c r="X39" i="14"/>
  <c r="Y39" i="14"/>
  <c r="H41" i="57"/>
  <c r="H39" i="57"/>
  <c r="H38" i="57"/>
  <c r="H35" i="57"/>
  <c r="H34" i="57"/>
  <c r="H33" i="57"/>
  <c r="H31" i="57"/>
  <c r="G8" i="14"/>
  <c r="G11" i="14"/>
  <c r="G14" i="14"/>
  <c r="G24" i="14"/>
  <c r="G25" i="14"/>
  <c r="G26" i="14"/>
  <c r="H21" i="57"/>
  <c r="H20" i="57"/>
  <c r="K27" i="14"/>
  <c r="H19" i="57"/>
  <c r="X4" i="14"/>
  <c r="Y4" i="14"/>
  <c r="H13" i="57"/>
  <c r="P4" i="14"/>
  <c r="H9" i="57"/>
  <c r="H7" i="57"/>
  <c r="H5" i="57"/>
  <c r="W4" i="41"/>
  <c r="X4" i="41"/>
  <c r="W4" i="11"/>
  <c r="X4" i="11"/>
  <c r="D60" i="32"/>
  <c r="H56" i="32"/>
  <c r="S7" i="32"/>
  <c r="O54" i="32"/>
  <c r="O53" i="32"/>
  <c r="O52" i="32"/>
  <c r="O51" i="32"/>
  <c r="O50" i="32"/>
  <c r="O49" i="32"/>
  <c r="O48" i="32"/>
  <c r="O47" i="32"/>
  <c r="O46" i="32"/>
  <c r="O45" i="32"/>
  <c r="O44" i="32"/>
  <c r="O43" i="32"/>
  <c r="O42" i="32"/>
  <c r="O41" i="32"/>
  <c r="O40" i="32"/>
  <c r="O39" i="32"/>
  <c r="O38" i="32"/>
  <c r="O37" i="32"/>
  <c r="O36" i="32"/>
  <c r="O35" i="32"/>
  <c r="O34" i="32"/>
  <c r="O33" i="32"/>
  <c r="O32" i="32"/>
  <c r="O31" i="32"/>
  <c r="O30" i="32"/>
  <c r="O29" i="32"/>
  <c r="O28" i="32"/>
  <c r="O27" i="32"/>
  <c r="O26" i="32"/>
  <c r="O25" i="32"/>
  <c r="O24" i="32"/>
  <c r="O23" i="32"/>
  <c r="O22" i="32"/>
  <c r="O21" i="32"/>
  <c r="O20" i="32"/>
  <c r="O19" i="32"/>
  <c r="O18" i="32"/>
  <c r="O17" i="32"/>
  <c r="O16" i="32"/>
  <c r="O15" i="32"/>
  <c r="O14" i="32"/>
  <c r="O13" i="32"/>
  <c r="O12" i="32"/>
  <c r="O11" i="32"/>
  <c r="O10" i="32"/>
  <c r="O9" i="32"/>
  <c r="O8" i="32"/>
  <c r="O7" i="32"/>
  <c r="O6" i="32"/>
  <c r="O5" i="32"/>
  <c r="O4" i="32"/>
  <c r="S4" i="32"/>
  <c r="S5" i="32"/>
  <c r="S6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S24" i="32"/>
  <c r="S25" i="32"/>
  <c r="S26" i="32"/>
  <c r="S27" i="32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45" i="32"/>
  <c r="S46" i="32"/>
  <c r="S47" i="32"/>
  <c r="S48" i="32"/>
  <c r="S49" i="32"/>
  <c r="S50" i="32"/>
  <c r="S51" i="32"/>
  <c r="S52" i="32"/>
  <c r="S53" i="32"/>
  <c r="S54" i="32"/>
  <c r="S71" i="32"/>
  <c r="S69" i="32"/>
  <c r="S68" i="32"/>
  <c r="S67" i="32"/>
  <c r="S65" i="32"/>
  <c r="S56" i="32"/>
  <c r="D56" i="32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H44" i="57"/>
  <c r="C66" i="14"/>
  <c r="D67" i="14"/>
  <c r="D66" i="14"/>
  <c r="D68" i="14"/>
  <c r="G6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8" i="14"/>
  <c r="A29" i="14"/>
  <c r="A30" i="14"/>
  <c r="A31" i="14"/>
  <c r="A32" i="14"/>
  <c r="A33" i="14"/>
  <c r="A34" i="14"/>
  <c r="A36" i="14"/>
  <c r="A37" i="14"/>
  <c r="A38" i="14"/>
  <c r="A39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1" i="14"/>
  <c r="W4" i="14"/>
  <c r="M4" i="14"/>
  <c r="N4" i="14"/>
  <c r="G4" i="14"/>
  <c r="H57" i="13"/>
  <c r="Z57" i="13"/>
  <c r="W41" i="11"/>
  <c r="W41" i="41"/>
  <c r="Z41" i="13"/>
  <c r="H42" i="13"/>
  <c r="Z42" i="13"/>
  <c r="H43" i="13"/>
  <c r="Z43" i="13"/>
  <c r="H44" i="13"/>
  <c r="Z44" i="13"/>
  <c r="H45" i="13"/>
  <c r="Z45" i="13"/>
  <c r="H46" i="13"/>
  <c r="Z46" i="13"/>
  <c r="H47" i="13"/>
  <c r="Z47" i="13"/>
  <c r="H48" i="13"/>
  <c r="Z48" i="13"/>
  <c r="H49" i="13"/>
  <c r="Z49" i="13"/>
  <c r="H50" i="13"/>
  <c r="Z50" i="13"/>
  <c r="H51" i="13"/>
  <c r="Z51" i="13"/>
  <c r="H52" i="13"/>
  <c r="Z52" i="13"/>
  <c r="H53" i="13"/>
  <c r="Z53" i="13"/>
  <c r="H54" i="13"/>
  <c r="Z54" i="13"/>
  <c r="H55" i="13"/>
  <c r="Z55" i="13"/>
  <c r="H56" i="13"/>
  <c r="Z56" i="13"/>
  <c r="H58" i="13"/>
  <c r="Z58" i="13"/>
  <c r="H59" i="13"/>
  <c r="Z59" i="13"/>
  <c r="H60" i="13"/>
  <c r="Z60" i="13"/>
  <c r="H61" i="13"/>
  <c r="Z61" i="13"/>
  <c r="H62" i="13"/>
  <c r="Z62" i="13"/>
  <c r="Z63" i="13"/>
  <c r="H64" i="13"/>
  <c r="Z64" i="13"/>
  <c r="H65" i="13"/>
  <c r="Z65" i="13"/>
  <c r="G47" i="57"/>
  <c r="G44" i="57"/>
  <c r="Z49" i="57"/>
  <c r="Y49" i="57"/>
  <c r="X49" i="57"/>
  <c r="W49" i="57"/>
  <c r="U49" i="57"/>
  <c r="R49" i="57"/>
  <c r="Q49" i="57"/>
  <c r="P49" i="57"/>
  <c r="M49" i="57"/>
  <c r="L49" i="57"/>
  <c r="J49" i="57"/>
  <c r="H49" i="57"/>
  <c r="D41" i="41"/>
  <c r="X41" i="41"/>
  <c r="F42" i="2"/>
  <c r="W42" i="2"/>
  <c r="W42" i="11"/>
  <c r="W42" i="41"/>
  <c r="D42" i="41"/>
  <c r="X42" i="41"/>
  <c r="F43" i="2"/>
  <c r="W43" i="2"/>
  <c r="W43" i="11"/>
  <c r="W43" i="41"/>
  <c r="D43" i="41"/>
  <c r="X43" i="41"/>
  <c r="F44" i="2"/>
  <c r="W44" i="2"/>
  <c r="W44" i="11"/>
  <c r="W44" i="41"/>
  <c r="D44" i="41"/>
  <c r="X44" i="41"/>
  <c r="F45" i="2"/>
  <c r="W45" i="2"/>
  <c r="W45" i="11"/>
  <c r="W45" i="41"/>
  <c r="D45" i="41"/>
  <c r="X45" i="41"/>
  <c r="F46" i="2"/>
  <c r="W46" i="2"/>
  <c r="W46" i="11"/>
  <c r="W46" i="41"/>
  <c r="D46" i="41"/>
  <c r="X46" i="41"/>
  <c r="F47" i="2"/>
  <c r="W47" i="2"/>
  <c r="W47" i="11"/>
  <c r="W47" i="41"/>
  <c r="D47" i="41"/>
  <c r="X47" i="41"/>
  <c r="F48" i="2"/>
  <c r="W48" i="2"/>
  <c r="W48" i="11"/>
  <c r="W48" i="41"/>
  <c r="D48" i="41"/>
  <c r="X48" i="41"/>
  <c r="F49" i="2"/>
  <c r="W49" i="2"/>
  <c r="W49" i="11"/>
  <c r="W49" i="41"/>
  <c r="D49" i="41"/>
  <c r="X49" i="41"/>
  <c r="F50" i="2"/>
  <c r="W50" i="2"/>
  <c r="W50" i="11"/>
  <c r="W50" i="41"/>
  <c r="D50" i="41"/>
  <c r="X50" i="41"/>
  <c r="F51" i="2"/>
  <c r="W51" i="2"/>
  <c r="W51" i="11"/>
  <c r="W51" i="41"/>
  <c r="D51" i="41"/>
  <c r="X51" i="41"/>
  <c r="F52" i="2"/>
  <c r="W52" i="2"/>
  <c r="W52" i="11"/>
  <c r="W52" i="41"/>
  <c r="D52" i="41"/>
  <c r="X52" i="41"/>
  <c r="F53" i="2"/>
  <c r="W53" i="2"/>
  <c r="W53" i="11"/>
  <c r="W53" i="41"/>
  <c r="D53" i="41"/>
  <c r="X53" i="41"/>
  <c r="F54" i="2"/>
  <c r="W54" i="2"/>
  <c r="W54" i="11"/>
  <c r="W54" i="41"/>
  <c r="D54" i="41"/>
  <c r="X54" i="41"/>
  <c r="F55" i="2"/>
  <c r="W55" i="2"/>
  <c r="W55" i="11"/>
  <c r="W55" i="41"/>
  <c r="D55" i="41"/>
  <c r="X55" i="41"/>
  <c r="F56" i="2"/>
  <c r="W56" i="2"/>
  <c r="W56" i="11"/>
  <c r="W56" i="41"/>
  <c r="D56" i="41"/>
  <c r="X56" i="41"/>
  <c r="F57" i="2"/>
  <c r="W57" i="2"/>
  <c r="W57" i="11"/>
  <c r="W57" i="41"/>
  <c r="D57" i="41"/>
  <c r="X57" i="41"/>
  <c r="F58" i="2"/>
  <c r="W58" i="2"/>
  <c r="W58" i="11"/>
  <c r="W58" i="41"/>
  <c r="D58" i="41"/>
  <c r="X58" i="41"/>
  <c r="F59" i="2"/>
  <c r="W59" i="2"/>
  <c r="W59" i="11"/>
  <c r="W59" i="41"/>
  <c r="D59" i="41"/>
  <c r="X59" i="41"/>
  <c r="F60" i="2"/>
  <c r="W60" i="2"/>
  <c r="W60" i="11"/>
  <c r="W60" i="41"/>
  <c r="D60" i="41"/>
  <c r="X60" i="41"/>
  <c r="F61" i="2"/>
  <c r="W61" i="2"/>
  <c r="W61" i="11"/>
  <c r="W61" i="41"/>
  <c r="D61" i="41"/>
  <c r="X61" i="41"/>
  <c r="F62" i="2"/>
  <c r="W62" i="2"/>
  <c r="W62" i="11"/>
  <c r="W62" i="41"/>
  <c r="D62" i="41"/>
  <c r="X62" i="41"/>
  <c r="W63" i="2"/>
  <c r="W63" i="11"/>
  <c r="W63" i="41"/>
  <c r="D63" i="41"/>
  <c r="X63" i="41"/>
  <c r="F64" i="2"/>
  <c r="W64" i="2"/>
  <c r="W64" i="11"/>
  <c r="W64" i="41"/>
  <c r="D64" i="41"/>
  <c r="X64" i="41"/>
  <c r="F65" i="2"/>
  <c r="W65" i="2"/>
  <c r="W65" i="11"/>
  <c r="W65" i="41"/>
  <c r="D65" i="41"/>
  <c r="X65" i="41"/>
  <c r="F47" i="57"/>
  <c r="H41" i="11"/>
  <c r="H41" i="41"/>
  <c r="H43" i="11"/>
  <c r="H43" i="41"/>
  <c r="H44" i="11"/>
  <c r="H44" i="41"/>
  <c r="H47" i="11"/>
  <c r="H47" i="41"/>
  <c r="H49" i="11"/>
  <c r="H49" i="41"/>
  <c r="H50" i="11"/>
  <c r="H50" i="41"/>
  <c r="H52" i="11"/>
  <c r="H52" i="41"/>
  <c r="H53" i="11"/>
  <c r="H53" i="41"/>
  <c r="H56" i="11"/>
  <c r="H56" i="41"/>
  <c r="H61" i="11"/>
  <c r="H61" i="41"/>
  <c r="H65" i="11"/>
  <c r="H65" i="41"/>
  <c r="F45" i="57"/>
  <c r="F49" i="57"/>
  <c r="D57" i="11"/>
  <c r="X57" i="11"/>
  <c r="D41" i="11"/>
  <c r="X41" i="11"/>
  <c r="D42" i="11"/>
  <c r="X42" i="11"/>
  <c r="D43" i="11"/>
  <c r="X43" i="11"/>
  <c r="D44" i="11"/>
  <c r="X44" i="11"/>
  <c r="D45" i="11"/>
  <c r="X45" i="11"/>
  <c r="D46" i="11"/>
  <c r="X46" i="11"/>
  <c r="D47" i="11"/>
  <c r="X47" i="11"/>
  <c r="D48" i="11"/>
  <c r="X48" i="11"/>
  <c r="D49" i="11"/>
  <c r="X49" i="11"/>
  <c r="D50" i="11"/>
  <c r="X50" i="11"/>
  <c r="D51" i="11"/>
  <c r="X51" i="11"/>
  <c r="D52" i="11"/>
  <c r="X52" i="11"/>
  <c r="D53" i="11"/>
  <c r="X53" i="11"/>
  <c r="D54" i="11"/>
  <c r="X54" i="11"/>
  <c r="D55" i="11"/>
  <c r="X55" i="11"/>
  <c r="D56" i="11"/>
  <c r="X56" i="11"/>
  <c r="D58" i="11"/>
  <c r="X58" i="11"/>
  <c r="D59" i="11"/>
  <c r="X59" i="11"/>
  <c r="D60" i="11"/>
  <c r="X60" i="11"/>
  <c r="D61" i="11"/>
  <c r="X61" i="11"/>
  <c r="D62" i="11"/>
  <c r="X62" i="11"/>
  <c r="D63" i="11"/>
  <c r="X63" i="11"/>
  <c r="D64" i="11"/>
  <c r="X64" i="11"/>
  <c r="D65" i="11"/>
  <c r="X65" i="11"/>
  <c r="E47" i="57"/>
  <c r="H42" i="11"/>
  <c r="H45" i="11"/>
  <c r="H46" i="11"/>
  <c r="H48" i="11"/>
  <c r="H51" i="11"/>
  <c r="H54" i="11"/>
  <c r="H55" i="11"/>
  <c r="H57" i="11"/>
  <c r="H58" i="11"/>
  <c r="H59" i="11"/>
  <c r="H60" i="11"/>
  <c r="H62" i="11"/>
  <c r="H63" i="11"/>
  <c r="H64" i="11"/>
  <c r="E45" i="57"/>
  <c r="E49" i="57"/>
  <c r="T36" i="13"/>
  <c r="U36" i="13"/>
  <c r="F293" i="36"/>
  <c r="V36" i="13"/>
  <c r="W36" i="13"/>
  <c r="X36" i="13"/>
  <c r="T37" i="13"/>
  <c r="U37" i="13"/>
  <c r="F298" i="36"/>
  <c r="V37" i="13"/>
  <c r="W37" i="13"/>
  <c r="X37" i="13"/>
  <c r="T38" i="13"/>
  <c r="U38" i="13"/>
  <c r="F304" i="36"/>
  <c r="F305" i="36"/>
  <c r="F306" i="36"/>
  <c r="F300" i="36"/>
  <c r="V38" i="13"/>
  <c r="W38" i="13"/>
  <c r="X38" i="13"/>
  <c r="T39" i="13"/>
  <c r="U39" i="13"/>
  <c r="F307" i="36"/>
  <c r="V39" i="13"/>
  <c r="W39" i="13"/>
  <c r="X39" i="13"/>
  <c r="G40" i="57"/>
  <c r="G42" i="57"/>
  <c r="Y36" i="13"/>
  <c r="Z36" i="13"/>
  <c r="Y37" i="13"/>
  <c r="Z37" i="13"/>
  <c r="Y38" i="13"/>
  <c r="Z38" i="13"/>
  <c r="Y39" i="13"/>
  <c r="Z39" i="13"/>
  <c r="G41" i="57"/>
  <c r="G39" i="57"/>
  <c r="G38" i="57"/>
  <c r="G35" i="57"/>
  <c r="G34" i="57"/>
  <c r="G33" i="57"/>
  <c r="G31" i="57"/>
  <c r="G28" i="57"/>
  <c r="G21" i="57"/>
  <c r="G20" i="57"/>
  <c r="G19" i="57"/>
  <c r="Y4" i="13"/>
  <c r="Z4" i="13"/>
  <c r="G13" i="57"/>
  <c r="G9" i="57"/>
  <c r="G7" i="57"/>
  <c r="G5" i="57"/>
  <c r="V6" i="13"/>
  <c r="N5" i="64"/>
  <c r="N6" i="64"/>
  <c r="N7" i="64"/>
  <c r="N8" i="64"/>
  <c r="N9" i="64"/>
  <c r="N10" i="64"/>
  <c r="N11" i="64"/>
  <c r="N12" i="64"/>
  <c r="N13" i="64"/>
  <c r="N14" i="64"/>
  <c r="N15" i="64"/>
  <c r="N16" i="64"/>
  <c r="N17" i="64"/>
  <c r="N18" i="64"/>
  <c r="N19" i="64"/>
  <c r="N20" i="64"/>
  <c r="N21" i="64"/>
  <c r="N22" i="64"/>
  <c r="N23" i="64"/>
  <c r="N24" i="64"/>
  <c r="N25" i="64"/>
  <c r="N26" i="64"/>
  <c r="N27" i="64"/>
  <c r="N28" i="64"/>
  <c r="N29" i="64"/>
  <c r="N30" i="64"/>
  <c r="N31" i="64"/>
  <c r="N32" i="64"/>
  <c r="N33" i="64"/>
  <c r="N34" i="64"/>
  <c r="N35" i="64"/>
  <c r="N36" i="64"/>
  <c r="N37" i="64"/>
  <c r="N38" i="64"/>
  <c r="N39" i="64"/>
  <c r="N40" i="64"/>
  <c r="N41" i="64"/>
  <c r="N42" i="64"/>
  <c r="N43" i="64"/>
  <c r="N44" i="64"/>
  <c r="N45" i="64"/>
  <c r="N46" i="64"/>
  <c r="N47" i="64"/>
  <c r="N48" i="64"/>
  <c r="N49" i="64"/>
  <c r="N50" i="64"/>
  <c r="N51" i="64"/>
  <c r="N52" i="64"/>
  <c r="N53" i="64"/>
  <c r="N54" i="64"/>
  <c r="N4" i="64"/>
  <c r="G56" i="64"/>
  <c r="H56" i="64"/>
  <c r="F4" i="64"/>
  <c r="P4" i="64"/>
  <c r="R4" i="64"/>
  <c r="S4" i="64"/>
  <c r="F5" i="64"/>
  <c r="P5" i="64"/>
  <c r="R5" i="64"/>
  <c r="S5" i="64"/>
  <c r="F6" i="64"/>
  <c r="P6" i="64"/>
  <c r="R6" i="64"/>
  <c r="S6" i="64"/>
  <c r="F7" i="64"/>
  <c r="P7" i="64"/>
  <c r="R7" i="64"/>
  <c r="S7" i="64"/>
  <c r="F8" i="64"/>
  <c r="P8" i="64"/>
  <c r="R8" i="64"/>
  <c r="S8" i="64"/>
  <c r="F9" i="64"/>
  <c r="P9" i="64"/>
  <c r="R9" i="64"/>
  <c r="S9" i="64"/>
  <c r="F10" i="64"/>
  <c r="P10" i="64"/>
  <c r="R10" i="64"/>
  <c r="S10" i="64"/>
  <c r="F11" i="64"/>
  <c r="P11" i="64"/>
  <c r="R11" i="64"/>
  <c r="S11" i="64"/>
  <c r="F12" i="64"/>
  <c r="P12" i="64"/>
  <c r="R12" i="64"/>
  <c r="S12" i="64"/>
  <c r="F13" i="64"/>
  <c r="P13" i="64"/>
  <c r="R13" i="64"/>
  <c r="S13" i="64"/>
  <c r="F14" i="64"/>
  <c r="P14" i="64"/>
  <c r="R14" i="64"/>
  <c r="S14" i="64"/>
  <c r="F15" i="64"/>
  <c r="P15" i="64"/>
  <c r="R15" i="64"/>
  <c r="S15" i="64"/>
  <c r="F16" i="64"/>
  <c r="P16" i="64"/>
  <c r="R16" i="64"/>
  <c r="S16" i="64"/>
  <c r="F17" i="64"/>
  <c r="P17" i="64"/>
  <c r="R17" i="64"/>
  <c r="S17" i="64"/>
  <c r="F18" i="64"/>
  <c r="P18" i="64"/>
  <c r="R18" i="64"/>
  <c r="S18" i="64"/>
  <c r="F19" i="64"/>
  <c r="P19" i="64"/>
  <c r="R19" i="64"/>
  <c r="S19" i="64"/>
  <c r="F20" i="64"/>
  <c r="P20" i="64"/>
  <c r="R20" i="64"/>
  <c r="S20" i="64"/>
  <c r="F21" i="64"/>
  <c r="P21" i="64"/>
  <c r="R21" i="64"/>
  <c r="S21" i="64"/>
  <c r="F22" i="64"/>
  <c r="P22" i="64"/>
  <c r="R22" i="64"/>
  <c r="S22" i="64"/>
  <c r="F23" i="64"/>
  <c r="P23" i="64"/>
  <c r="R23" i="64"/>
  <c r="S23" i="64"/>
  <c r="F24" i="64"/>
  <c r="P24" i="64"/>
  <c r="R24" i="64"/>
  <c r="S24" i="64"/>
  <c r="F25" i="64"/>
  <c r="P25" i="64"/>
  <c r="R25" i="64"/>
  <c r="S25" i="64"/>
  <c r="F26" i="64"/>
  <c r="P26" i="64"/>
  <c r="R26" i="64"/>
  <c r="S26" i="64"/>
  <c r="F27" i="64"/>
  <c r="P27" i="64"/>
  <c r="R27" i="64"/>
  <c r="S27" i="64"/>
  <c r="F28" i="64"/>
  <c r="P28" i="64"/>
  <c r="R28" i="64"/>
  <c r="S28" i="64"/>
  <c r="F29" i="64"/>
  <c r="P29" i="64"/>
  <c r="R29" i="64"/>
  <c r="S29" i="64"/>
  <c r="F30" i="64"/>
  <c r="P30" i="64"/>
  <c r="R30" i="64"/>
  <c r="S30" i="64"/>
  <c r="F31" i="64"/>
  <c r="P31" i="64"/>
  <c r="R31" i="64"/>
  <c r="S31" i="64"/>
  <c r="F32" i="64"/>
  <c r="P32" i="64"/>
  <c r="R32" i="64"/>
  <c r="S32" i="64"/>
  <c r="F33" i="64"/>
  <c r="P33" i="64"/>
  <c r="R33" i="64"/>
  <c r="S33" i="64"/>
  <c r="F34" i="64"/>
  <c r="P34" i="64"/>
  <c r="R34" i="64"/>
  <c r="S34" i="64"/>
  <c r="F35" i="64"/>
  <c r="P35" i="64"/>
  <c r="R35" i="64"/>
  <c r="S35" i="64"/>
  <c r="F36" i="64"/>
  <c r="P36" i="64"/>
  <c r="R36" i="64"/>
  <c r="S36" i="64"/>
  <c r="F37" i="64"/>
  <c r="P37" i="64"/>
  <c r="R37" i="64"/>
  <c r="S37" i="64"/>
  <c r="F38" i="64"/>
  <c r="P38" i="64"/>
  <c r="R38" i="64"/>
  <c r="S38" i="64"/>
  <c r="F39" i="64"/>
  <c r="P39" i="64"/>
  <c r="R39" i="64"/>
  <c r="S39" i="64"/>
  <c r="F40" i="64"/>
  <c r="P40" i="64"/>
  <c r="R40" i="64"/>
  <c r="S40" i="64"/>
  <c r="F41" i="64"/>
  <c r="P41" i="64"/>
  <c r="R41" i="64"/>
  <c r="S41" i="64"/>
  <c r="F42" i="64"/>
  <c r="P42" i="64"/>
  <c r="R42" i="64"/>
  <c r="S42" i="64"/>
  <c r="F43" i="64"/>
  <c r="P43" i="64"/>
  <c r="R43" i="64"/>
  <c r="S43" i="64"/>
  <c r="F44" i="64"/>
  <c r="P44" i="64"/>
  <c r="R44" i="64"/>
  <c r="S44" i="64"/>
  <c r="F45" i="64"/>
  <c r="P45" i="64"/>
  <c r="R45" i="64"/>
  <c r="S45" i="64"/>
  <c r="F46" i="64"/>
  <c r="P46" i="64"/>
  <c r="R46" i="64"/>
  <c r="S46" i="64"/>
  <c r="F47" i="64"/>
  <c r="P47" i="64"/>
  <c r="R47" i="64"/>
  <c r="S47" i="64"/>
  <c r="F48" i="64"/>
  <c r="P48" i="64"/>
  <c r="R48" i="64"/>
  <c r="S48" i="64"/>
  <c r="F49" i="64"/>
  <c r="P49" i="64"/>
  <c r="R49" i="64"/>
  <c r="S49" i="64"/>
  <c r="F50" i="64"/>
  <c r="P50" i="64"/>
  <c r="R50" i="64"/>
  <c r="S50" i="64"/>
  <c r="F51" i="64"/>
  <c r="P51" i="64"/>
  <c r="R51" i="64"/>
  <c r="S51" i="64"/>
  <c r="F52" i="64"/>
  <c r="P52" i="64"/>
  <c r="R52" i="64"/>
  <c r="S52" i="64"/>
  <c r="F53" i="64"/>
  <c r="P53" i="64"/>
  <c r="R53" i="64"/>
  <c r="S53" i="64"/>
  <c r="F54" i="64"/>
  <c r="P54" i="64"/>
  <c r="R54" i="64"/>
  <c r="S54" i="64"/>
  <c r="P55" i="64"/>
  <c r="P56" i="64"/>
  <c r="S65" i="64"/>
  <c r="R60" i="64"/>
  <c r="R56" i="64"/>
  <c r="R61" i="64"/>
  <c r="R62" i="64"/>
  <c r="S62" i="64"/>
  <c r="S61" i="64"/>
  <c r="S60" i="64"/>
  <c r="O57" i="64"/>
  <c r="S56" i="64"/>
  <c r="O56" i="64"/>
  <c r="O55" i="64"/>
  <c r="O54" i="64"/>
  <c r="A5" i="64"/>
  <c r="A6" i="64"/>
  <c r="A7" i="64"/>
  <c r="A8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O53" i="64"/>
  <c r="O52" i="64"/>
  <c r="O51" i="64"/>
  <c r="O50" i="64"/>
  <c r="O49" i="64"/>
  <c r="O48" i="64"/>
  <c r="O47" i="64"/>
  <c r="O46" i="64"/>
  <c r="O45" i="64"/>
  <c r="O44" i="64"/>
  <c r="O43" i="64"/>
  <c r="O42" i="64"/>
  <c r="O41" i="64"/>
  <c r="O40" i="64"/>
  <c r="O39" i="64"/>
  <c r="O38" i="64"/>
  <c r="O37" i="64"/>
  <c r="O36" i="64"/>
  <c r="O35" i="64"/>
  <c r="O34" i="64"/>
  <c r="O33" i="64"/>
  <c r="O32" i="64"/>
  <c r="O31" i="64"/>
  <c r="O30" i="64"/>
  <c r="O29" i="64"/>
  <c r="O28" i="64"/>
  <c r="O27" i="64"/>
  <c r="O26" i="64"/>
  <c r="O25" i="64"/>
  <c r="O24" i="64"/>
  <c r="O23" i="64"/>
  <c r="O22" i="64"/>
  <c r="O21" i="64"/>
  <c r="O20" i="64"/>
  <c r="O19" i="64"/>
  <c r="O18" i="64"/>
  <c r="O17" i="64"/>
  <c r="O16" i="64"/>
  <c r="O15" i="64"/>
  <c r="O14" i="64"/>
  <c r="O13" i="64"/>
  <c r="O12" i="64"/>
  <c r="O11" i="64"/>
  <c r="O10" i="64"/>
  <c r="O9" i="64"/>
  <c r="O8" i="64"/>
  <c r="O7" i="64"/>
  <c r="O6" i="64"/>
  <c r="O5" i="64"/>
  <c r="O4" i="64"/>
  <c r="I39" i="13"/>
  <c r="I38" i="13"/>
  <c r="I37" i="13"/>
  <c r="I36" i="13"/>
  <c r="I33" i="13"/>
  <c r="I32" i="13"/>
  <c r="I21" i="13"/>
  <c r="I17" i="13"/>
  <c r="F66" i="13"/>
  <c r="F68" i="13"/>
  <c r="S65" i="13"/>
  <c r="N65" i="13"/>
  <c r="Q65" i="13"/>
  <c r="P6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8" i="13"/>
  <c r="A29" i="13"/>
  <c r="A30" i="13"/>
  <c r="A31" i="13"/>
  <c r="A32" i="13"/>
  <c r="A33" i="13"/>
  <c r="A34" i="13"/>
  <c r="A36" i="13"/>
  <c r="A37" i="13"/>
  <c r="A38" i="13"/>
  <c r="A39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S64" i="13"/>
  <c r="N64" i="13"/>
  <c r="Q64" i="13"/>
  <c r="P64" i="13"/>
  <c r="S63" i="13"/>
  <c r="N63" i="13"/>
  <c r="Q63" i="13"/>
  <c r="P63" i="13"/>
  <c r="H63" i="13"/>
  <c r="S62" i="13"/>
  <c r="N62" i="13"/>
  <c r="Q62" i="13"/>
  <c r="P62" i="13"/>
  <c r="S61" i="13"/>
  <c r="N61" i="13"/>
  <c r="Q61" i="13"/>
  <c r="P61" i="13"/>
  <c r="S60" i="13"/>
  <c r="N60" i="13"/>
  <c r="Q60" i="13"/>
  <c r="P60" i="13"/>
  <c r="S59" i="13"/>
  <c r="N59" i="13"/>
  <c r="Q59" i="13"/>
  <c r="P59" i="13"/>
  <c r="S58" i="13"/>
  <c r="N58" i="13"/>
  <c r="Q58" i="13"/>
  <c r="P58" i="13"/>
  <c r="S57" i="13"/>
  <c r="N57" i="13"/>
  <c r="Q57" i="13"/>
  <c r="P57" i="13"/>
  <c r="S56" i="13"/>
  <c r="N56" i="13"/>
  <c r="Q56" i="13"/>
  <c r="P56" i="13"/>
  <c r="S55" i="13"/>
  <c r="N55" i="13"/>
  <c r="Q55" i="13"/>
  <c r="P55" i="13"/>
  <c r="S54" i="13"/>
  <c r="N54" i="13"/>
  <c r="Q54" i="13"/>
  <c r="P54" i="13"/>
  <c r="S53" i="13"/>
  <c r="N53" i="13"/>
  <c r="Q53" i="13"/>
  <c r="P53" i="13"/>
  <c r="S52" i="13"/>
  <c r="N52" i="13"/>
  <c r="Q52" i="13"/>
  <c r="P52" i="13"/>
  <c r="S51" i="13"/>
  <c r="N51" i="13"/>
  <c r="Q51" i="13"/>
  <c r="P51" i="13"/>
  <c r="S50" i="13"/>
  <c r="N50" i="13"/>
  <c r="Q50" i="13"/>
  <c r="P50" i="13"/>
  <c r="S49" i="13"/>
  <c r="N49" i="13"/>
  <c r="Q49" i="13"/>
  <c r="P49" i="13"/>
  <c r="S48" i="13"/>
  <c r="N48" i="13"/>
  <c r="Q48" i="13"/>
  <c r="P48" i="13"/>
  <c r="S47" i="13"/>
  <c r="N47" i="13"/>
  <c r="Q47" i="13"/>
  <c r="P47" i="13"/>
  <c r="S46" i="13"/>
  <c r="N46" i="13"/>
  <c r="Q46" i="13"/>
  <c r="P46" i="13"/>
  <c r="S45" i="13"/>
  <c r="N45" i="13"/>
  <c r="Q45" i="13"/>
  <c r="P45" i="13"/>
  <c r="S44" i="13"/>
  <c r="N44" i="13"/>
  <c r="Q44" i="13"/>
  <c r="P44" i="13"/>
  <c r="S43" i="13"/>
  <c r="N43" i="13"/>
  <c r="Q43" i="13"/>
  <c r="P43" i="13"/>
  <c r="S42" i="13"/>
  <c r="N42" i="13"/>
  <c r="Q42" i="13"/>
  <c r="P42" i="13"/>
  <c r="S41" i="13"/>
  <c r="N41" i="13"/>
  <c r="Q41" i="13"/>
  <c r="P41" i="13"/>
  <c r="S40" i="13"/>
  <c r="R4" i="13"/>
  <c r="N4" i="13"/>
  <c r="O4" i="13"/>
  <c r="H4" i="13"/>
  <c r="E293" i="36"/>
  <c r="T36" i="41"/>
  <c r="U36" i="41"/>
  <c r="E298" i="36"/>
  <c r="T37" i="41"/>
  <c r="U37" i="41"/>
  <c r="E300" i="36"/>
  <c r="T38" i="41"/>
  <c r="U38" i="41"/>
  <c r="E307" i="36"/>
  <c r="T39" i="41"/>
  <c r="U39" i="41"/>
  <c r="F39" i="57"/>
  <c r="F52" i="57"/>
  <c r="R36" i="41"/>
  <c r="S36" i="41"/>
  <c r="V36" i="41"/>
  <c r="R37" i="41"/>
  <c r="S37" i="41"/>
  <c r="V37" i="41"/>
  <c r="R38" i="41"/>
  <c r="S38" i="41"/>
  <c r="V38" i="41"/>
  <c r="R39" i="41"/>
  <c r="S39" i="41"/>
  <c r="V39" i="41"/>
  <c r="F40" i="57"/>
  <c r="F42" i="57"/>
  <c r="W36" i="41"/>
  <c r="X36" i="41"/>
  <c r="W37" i="41"/>
  <c r="X37" i="41"/>
  <c r="W38" i="41"/>
  <c r="X38" i="41"/>
  <c r="W39" i="41"/>
  <c r="X39" i="41"/>
  <c r="F41" i="57"/>
  <c r="F38" i="57"/>
  <c r="F35" i="57"/>
  <c r="F34" i="57"/>
  <c r="F33" i="57"/>
  <c r="F31" i="57"/>
  <c r="R36" i="11"/>
  <c r="S36" i="11"/>
  <c r="D293" i="36"/>
  <c r="T36" i="11"/>
  <c r="U36" i="11"/>
  <c r="V36" i="11"/>
  <c r="R37" i="11"/>
  <c r="S37" i="11"/>
  <c r="D298" i="36"/>
  <c r="T37" i="11"/>
  <c r="U37" i="11"/>
  <c r="V37" i="11"/>
  <c r="R38" i="11"/>
  <c r="S38" i="11"/>
  <c r="D300" i="36"/>
  <c r="T38" i="11"/>
  <c r="U38" i="11"/>
  <c r="V38" i="11"/>
  <c r="R39" i="11"/>
  <c r="S39" i="11"/>
  <c r="D307" i="36"/>
  <c r="T39" i="11"/>
  <c r="U39" i="11"/>
  <c r="V39" i="11"/>
  <c r="E40" i="57"/>
  <c r="E42" i="57"/>
  <c r="F28" i="57"/>
  <c r="F21" i="57"/>
  <c r="F20" i="57"/>
  <c r="F19" i="57"/>
  <c r="F13" i="57"/>
  <c r="F9" i="57"/>
  <c r="F7" i="57"/>
  <c r="F5" i="57"/>
  <c r="K57" i="43"/>
  <c r="M57" i="43"/>
  <c r="L57" i="43"/>
  <c r="K56" i="43"/>
  <c r="M56" i="43"/>
  <c r="L56" i="43"/>
  <c r="K55" i="43"/>
  <c r="M55" i="43"/>
  <c r="L55" i="43"/>
  <c r="M54" i="43"/>
  <c r="M53" i="43"/>
  <c r="M52" i="43"/>
  <c r="M51" i="43"/>
  <c r="M50" i="43"/>
  <c r="M49" i="43"/>
  <c r="M48" i="43"/>
  <c r="M47" i="43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5" i="43"/>
  <c r="M24" i="43"/>
  <c r="M23" i="43"/>
  <c r="M22" i="43"/>
  <c r="M21" i="43"/>
  <c r="M20" i="43"/>
  <c r="M19" i="43"/>
  <c r="M18" i="43"/>
  <c r="M17" i="43"/>
  <c r="M16" i="43"/>
  <c r="M15" i="43"/>
  <c r="M14" i="43"/>
  <c r="M13" i="43"/>
  <c r="M12" i="43"/>
  <c r="M11" i="43"/>
  <c r="M10" i="43"/>
  <c r="M9" i="43"/>
  <c r="M8" i="43"/>
  <c r="M7" i="43"/>
  <c r="M6" i="43"/>
  <c r="M5" i="43"/>
  <c r="M4" i="43"/>
  <c r="I56" i="43"/>
  <c r="Q4" i="43"/>
  <c r="Q5" i="43"/>
  <c r="Q6" i="43"/>
  <c r="Q7" i="43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65" i="43"/>
  <c r="P62" i="43"/>
  <c r="Q62" i="43"/>
  <c r="G60" i="43"/>
  <c r="Q56" i="43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D66" i="41"/>
  <c r="D67" i="41"/>
  <c r="D68" i="41"/>
  <c r="Q65" i="41"/>
  <c r="K65" i="41"/>
  <c r="L65" i="41"/>
  <c r="O65" i="41"/>
  <c r="N65" i="41"/>
  <c r="F65" i="41"/>
  <c r="A6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8" i="41"/>
  <c r="A29" i="41"/>
  <c r="A30" i="41"/>
  <c r="A31" i="41"/>
  <c r="A32" i="41"/>
  <c r="A33" i="41"/>
  <c r="A34" i="41"/>
  <c r="A36" i="41"/>
  <c r="A37" i="41"/>
  <c r="A38" i="41"/>
  <c r="A39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Q64" i="41"/>
  <c r="K64" i="41"/>
  <c r="L64" i="41"/>
  <c r="O64" i="41"/>
  <c r="N64" i="41"/>
  <c r="F64" i="41"/>
  <c r="Q63" i="41"/>
  <c r="K63" i="41"/>
  <c r="L63" i="41"/>
  <c r="O63" i="41"/>
  <c r="N63" i="41"/>
  <c r="F63" i="41"/>
  <c r="Q62" i="41"/>
  <c r="K62" i="41"/>
  <c r="L62" i="41"/>
  <c r="O62" i="41"/>
  <c r="N62" i="41"/>
  <c r="F62" i="41"/>
  <c r="Q61" i="41"/>
  <c r="K61" i="41"/>
  <c r="L61" i="41"/>
  <c r="O61" i="41"/>
  <c r="N61" i="41"/>
  <c r="F61" i="41"/>
  <c r="Q60" i="41"/>
  <c r="K60" i="41"/>
  <c r="L60" i="41"/>
  <c r="O60" i="41"/>
  <c r="N60" i="41"/>
  <c r="F60" i="41"/>
  <c r="Q59" i="41"/>
  <c r="K59" i="41"/>
  <c r="L59" i="41"/>
  <c r="O59" i="41"/>
  <c r="N59" i="41"/>
  <c r="F59" i="41"/>
  <c r="Q58" i="41"/>
  <c r="K58" i="41"/>
  <c r="L58" i="41"/>
  <c r="O58" i="41"/>
  <c r="N58" i="41"/>
  <c r="F58" i="41"/>
  <c r="Q57" i="41"/>
  <c r="K57" i="41"/>
  <c r="L57" i="41"/>
  <c r="O57" i="41"/>
  <c r="N57" i="41"/>
  <c r="F57" i="41"/>
  <c r="Q56" i="41"/>
  <c r="K56" i="41"/>
  <c r="L56" i="41"/>
  <c r="O56" i="41"/>
  <c r="N56" i="41"/>
  <c r="F56" i="41"/>
  <c r="Q55" i="41"/>
  <c r="K55" i="41"/>
  <c r="L55" i="41"/>
  <c r="O55" i="41"/>
  <c r="N55" i="41"/>
  <c r="F55" i="41"/>
  <c r="Q54" i="41"/>
  <c r="K54" i="41"/>
  <c r="L54" i="41"/>
  <c r="O54" i="41"/>
  <c r="N54" i="41"/>
  <c r="F54" i="41"/>
  <c r="Q53" i="41"/>
  <c r="K53" i="41"/>
  <c r="L53" i="41"/>
  <c r="O53" i="41"/>
  <c r="N53" i="41"/>
  <c r="F53" i="41"/>
  <c r="Q52" i="41"/>
  <c r="K52" i="41"/>
  <c r="L52" i="41"/>
  <c r="O52" i="41"/>
  <c r="N52" i="41"/>
  <c r="F52" i="41"/>
  <c r="Q51" i="41"/>
  <c r="K51" i="41"/>
  <c r="L51" i="41"/>
  <c r="O51" i="41"/>
  <c r="N51" i="41"/>
  <c r="F51" i="41"/>
  <c r="Q50" i="41"/>
  <c r="K50" i="41"/>
  <c r="L50" i="41"/>
  <c r="O50" i="41"/>
  <c r="N50" i="41"/>
  <c r="F50" i="41"/>
  <c r="Q49" i="41"/>
  <c r="K49" i="41"/>
  <c r="L49" i="41"/>
  <c r="O49" i="41"/>
  <c r="N49" i="41"/>
  <c r="F49" i="41"/>
  <c r="Q48" i="41"/>
  <c r="K48" i="41"/>
  <c r="L48" i="41"/>
  <c r="O48" i="41"/>
  <c r="N48" i="41"/>
  <c r="F48" i="41"/>
  <c r="Q47" i="41"/>
  <c r="K47" i="41"/>
  <c r="L47" i="41"/>
  <c r="O47" i="41"/>
  <c r="N47" i="41"/>
  <c r="F47" i="41"/>
  <c r="Q46" i="41"/>
  <c r="K46" i="41"/>
  <c r="L46" i="41"/>
  <c r="O46" i="41"/>
  <c r="N46" i="41"/>
  <c r="F46" i="41"/>
  <c r="Q45" i="41"/>
  <c r="K45" i="41"/>
  <c r="L45" i="41"/>
  <c r="O45" i="41"/>
  <c r="N45" i="41"/>
  <c r="F45" i="41"/>
  <c r="Q44" i="41"/>
  <c r="K44" i="41"/>
  <c r="L44" i="41"/>
  <c r="O44" i="41"/>
  <c r="N44" i="41"/>
  <c r="F44" i="41"/>
  <c r="Q43" i="41"/>
  <c r="K43" i="41"/>
  <c r="L43" i="41"/>
  <c r="O43" i="41"/>
  <c r="N43" i="41"/>
  <c r="F43" i="41"/>
  <c r="Q42" i="41"/>
  <c r="K42" i="41"/>
  <c r="L42" i="41"/>
  <c r="O42" i="41"/>
  <c r="N42" i="41"/>
  <c r="F42" i="41"/>
  <c r="Q41" i="41"/>
  <c r="K41" i="41"/>
  <c r="L41" i="41"/>
  <c r="O41" i="41"/>
  <c r="N41" i="41"/>
  <c r="F41" i="41"/>
  <c r="Q40" i="41"/>
  <c r="V4" i="41"/>
  <c r="L4" i="41"/>
  <c r="M4" i="41"/>
  <c r="F4" i="41"/>
  <c r="W38" i="11"/>
  <c r="X38" i="11"/>
  <c r="W36" i="11"/>
  <c r="X36" i="11"/>
  <c r="W37" i="11"/>
  <c r="X37" i="11"/>
  <c r="W39" i="11"/>
  <c r="X39" i="11"/>
  <c r="E41" i="57"/>
  <c r="E39" i="57"/>
  <c r="E38" i="57"/>
  <c r="E35" i="57"/>
  <c r="E34" i="57"/>
  <c r="E33" i="57"/>
  <c r="E31" i="57"/>
  <c r="E28" i="57"/>
  <c r="E21" i="57"/>
  <c r="E20" i="57"/>
  <c r="E19" i="57"/>
  <c r="E13" i="57"/>
  <c r="E9" i="57"/>
  <c r="E7" i="57"/>
  <c r="E5" i="57"/>
  <c r="P62" i="30"/>
  <c r="Q62" i="30"/>
  <c r="R4" i="11"/>
  <c r="Q71" i="30"/>
  <c r="Q65" i="30"/>
  <c r="Q56" i="30"/>
  <c r="M54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M6" i="30"/>
  <c r="M5" i="30"/>
  <c r="M4" i="30"/>
  <c r="D66" i="11"/>
  <c r="D67" i="11"/>
  <c r="D68" i="11"/>
  <c r="F65" i="11"/>
  <c r="Q65" i="11"/>
  <c r="K65" i="11"/>
  <c r="L65" i="11"/>
  <c r="O65" i="11"/>
  <c r="N6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8" i="11"/>
  <c r="A29" i="11"/>
  <c r="A30" i="11"/>
  <c r="A31" i="11"/>
  <c r="A32" i="11"/>
  <c r="A33" i="11"/>
  <c r="A34" i="11"/>
  <c r="A36" i="11"/>
  <c r="A37" i="11"/>
  <c r="A38" i="11"/>
  <c r="A39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F64" i="11"/>
  <c r="Q64" i="11"/>
  <c r="K64" i="11"/>
  <c r="L64" i="11"/>
  <c r="O64" i="11"/>
  <c r="N64" i="11"/>
  <c r="F56" i="11"/>
  <c r="Q63" i="11"/>
  <c r="K63" i="11"/>
  <c r="L63" i="11"/>
  <c r="O63" i="11"/>
  <c r="N63" i="11"/>
  <c r="F63" i="11"/>
  <c r="F62" i="11"/>
  <c r="Q62" i="11"/>
  <c r="K62" i="11"/>
  <c r="L62" i="11"/>
  <c r="O62" i="11"/>
  <c r="N62" i="11"/>
  <c r="F61" i="11"/>
  <c r="Q61" i="11"/>
  <c r="K61" i="11"/>
  <c r="L61" i="11"/>
  <c r="O61" i="11"/>
  <c r="N61" i="11"/>
  <c r="F60" i="11"/>
  <c r="Q60" i="11"/>
  <c r="K60" i="11"/>
  <c r="L60" i="11"/>
  <c r="O60" i="11"/>
  <c r="N60" i="11"/>
  <c r="F59" i="11"/>
  <c r="Q59" i="11"/>
  <c r="K59" i="11"/>
  <c r="L59" i="11"/>
  <c r="O59" i="11"/>
  <c r="N59" i="11"/>
  <c r="F58" i="11"/>
  <c r="Q58" i="11"/>
  <c r="K58" i="11"/>
  <c r="L58" i="11"/>
  <c r="O58" i="11"/>
  <c r="N58" i="11"/>
  <c r="F57" i="11"/>
  <c r="Q57" i="11"/>
  <c r="K57" i="11"/>
  <c r="L57" i="11"/>
  <c r="O57" i="11"/>
  <c r="N57" i="11"/>
  <c r="Q56" i="11"/>
  <c r="K56" i="11"/>
  <c r="L56" i="11"/>
  <c r="O56" i="11"/>
  <c r="N56" i="11"/>
  <c r="F55" i="11"/>
  <c r="Q55" i="11"/>
  <c r="K55" i="11"/>
  <c r="L55" i="11"/>
  <c r="O55" i="11"/>
  <c r="N55" i="11"/>
  <c r="F54" i="11"/>
  <c r="Q54" i="11"/>
  <c r="K54" i="11"/>
  <c r="L54" i="11"/>
  <c r="O54" i="11"/>
  <c r="N54" i="11"/>
  <c r="F53" i="11"/>
  <c r="Q53" i="11"/>
  <c r="K53" i="11"/>
  <c r="L53" i="11"/>
  <c r="O53" i="11"/>
  <c r="N53" i="11"/>
  <c r="F52" i="11"/>
  <c r="Q52" i="11"/>
  <c r="K52" i="11"/>
  <c r="L52" i="11"/>
  <c r="O52" i="11"/>
  <c r="N52" i="11"/>
  <c r="F51" i="11"/>
  <c r="Q51" i="11"/>
  <c r="K51" i="11"/>
  <c r="L51" i="11"/>
  <c r="O51" i="11"/>
  <c r="N51" i="11"/>
  <c r="F50" i="11"/>
  <c r="Q50" i="11"/>
  <c r="K50" i="11"/>
  <c r="L50" i="11"/>
  <c r="O50" i="11"/>
  <c r="N50" i="11"/>
  <c r="F49" i="11"/>
  <c r="Q49" i="11"/>
  <c r="K49" i="11"/>
  <c r="L49" i="11"/>
  <c r="O49" i="11"/>
  <c r="N49" i="11"/>
  <c r="F48" i="11"/>
  <c r="Q48" i="11"/>
  <c r="K48" i="11"/>
  <c r="L48" i="11"/>
  <c r="O48" i="11"/>
  <c r="N48" i="11"/>
  <c r="F47" i="11"/>
  <c r="Q47" i="11"/>
  <c r="K47" i="11"/>
  <c r="L47" i="11"/>
  <c r="O47" i="11"/>
  <c r="N47" i="11"/>
  <c r="F46" i="11"/>
  <c r="Q46" i="11"/>
  <c r="K46" i="11"/>
  <c r="L46" i="11"/>
  <c r="O46" i="11"/>
  <c r="N46" i="11"/>
  <c r="F45" i="11"/>
  <c r="Q45" i="11"/>
  <c r="K45" i="11"/>
  <c r="L45" i="11"/>
  <c r="O45" i="11"/>
  <c r="N45" i="11"/>
  <c r="F44" i="11"/>
  <c r="Q44" i="11"/>
  <c r="K44" i="11"/>
  <c r="L44" i="11"/>
  <c r="O44" i="11"/>
  <c r="N44" i="11"/>
  <c r="F43" i="11"/>
  <c r="Q43" i="11"/>
  <c r="K43" i="11"/>
  <c r="L43" i="11"/>
  <c r="O43" i="11"/>
  <c r="N43" i="11"/>
  <c r="F42" i="11"/>
  <c r="Q42" i="11"/>
  <c r="K42" i="11"/>
  <c r="L42" i="11"/>
  <c r="O42" i="11"/>
  <c r="N42" i="11"/>
  <c r="F41" i="11"/>
  <c r="Q41" i="11"/>
  <c r="K41" i="11"/>
  <c r="L41" i="11"/>
  <c r="O41" i="11"/>
  <c r="N41" i="11"/>
  <c r="Q40" i="11"/>
  <c r="V4" i="11"/>
  <c r="N62" i="29"/>
  <c r="O62" i="29"/>
  <c r="L4" i="11"/>
  <c r="M4" i="11"/>
  <c r="F4" i="11"/>
  <c r="C41" i="57"/>
  <c r="C40" i="57"/>
  <c r="C39" i="57"/>
  <c r="C38" i="57"/>
  <c r="C35" i="57"/>
  <c r="C34" i="57"/>
  <c r="R36" i="2"/>
  <c r="S36" i="2"/>
  <c r="C294" i="36"/>
  <c r="C293" i="36"/>
  <c r="T36" i="2"/>
  <c r="U36" i="2"/>
  <c r="V36" i="2"/>
  <c r="R37" i="2"/>
  <c r="S37" i="2"/>
  <c r="C299" i="36"/>
  <c r="C298" i="36"/>
  <c r="T37" i="2"/>
  <c r="U37" i="2"/>
  <c r="V37" i="2"/>
  <c r="R38" i="2"/>
  <c r="S38" i="2"/>
  <c r="C301" i="36"/>
  <c r="C302" i="36"/>
  <c r="C303" i="36"/>
  <c r="C300" i="36"/>
  <c r="T38" i="2"/>
  <c r="U38" i="2"/>
  <c r="V38" i="2"/>
  <c r="R39" i="2"/>
  <c r="S39" i="2"/>
  <c r="C307" i="36"/>
  <c r="T39" i="2"/>
  <c r="U39" i="2"/>
  <c r="V39" i="2"/>
  <c r="D40" i="57"/>
  <c r="D42" i="57"/>
  <c r="W38" i="2"/>
  <c r="X38" i="2"/>
  <c r="W39" i="2"/>
  <c r="X39" i="2"/>
  <c r="W36" i="2"/>
  <c r="X36" i="2"/>
  <c r="W37" i="2"/>
  <c r="X37" i="2"/>
  <c r="D41" i="57"/>
  <c r="D39" i="57"/>
  <c r="D38" i="57"/>
  <c r="D35" i="57"/>
  <c r="D34" i="57"/>
  <c r="D33" i="57"/>
  <c r="D31" i="57"/>
  <c r="D28" i="57"/>
  <c r="C42" i="57"/>
  <c r="B41" i="57"/>
  <c r="C33" i="57"/>
  <c r="C31" i="57"/>
  <c r="C28" i="57"/>
  <c r="C21" i="57"/>
  <c r="C20" i="57"/>
  <c r="C19" i="57"/>
  <c r="O65" i="29"/>
  <c r="W4" i="2"/>
  <c r="X4" i="2"/>
  <c r="D13" i="57"/>
  <c r="J4" i="2"/>
  <c r="D7" i="57"/>
  <c r="D5" i="57"/>
  <c r="C13" i="57"/>
  <c r="C7" i="57"/>
  <c r="C9" i="57"/>
  <c r="D56" i="25"/>
  <c r="C5" i="57"/>
  <c r="B13" i="57"/>
  <c r="D9" i="57"/>
  <c r="B12" i="57"/>
  <c r="B11" i="57"/>
  <c r="B10" i="57"/>
  <c r="B9" i="57"/>
  <c r="B8" i="57"/>
  <c r="G274" i="36"/>
  <c r="G268" i="36"/>
  <c r="G263" i="36"/>
  <c r="G254" i="36"/>
  <c r="G243" i="36"/>
  <c r="G187" i="36"/>
  <c r="G180" i="36"/>
  <c r="G159" i="36"/>
  <c r="G112" i="36"/>
  <c r="G95" i="36"/>
  <c r="G91" i="36"/>
  <c r="G2" i="36"/>
  <c r="R4" i="2"/>
  <c r="O7" i="29"/>
  <c r="O4" i="29"/>
  <c r="O5" i="29"/>
  <c r="O6" i="29"/>
  <c r="K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71" i="29"/>
  <c r="O69" i="29"/>
  <c r="O68" i="29"/>
  <c r="O67" i="29"/>
  <c r="O56" i="29"/>
  <c r="K5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K53" i="29"/>
  <c r="K52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6" i="29"/>
  <c r="K5" i="29"/>
  <c r="K4" i="29"/>
  <c r="D65" i="2"/>
  <c r="Q65" i="2"/>
  <c r="D64" i="2"/>
  <c r="Q64" i="2"/>
  <c r="D63" i="2"/>
  <c r="Q63" i="2"/>
  <c r="D62" i="2"/>
  <c r="Q62" i="2"/>
  <c r="D61" i="2"/>
  <c r="Q61" i="2"/>
  <c r="D60" i="2"/>
  <c r="Q60" i="2"/>
  <c r="D59" i="2"/>
  <c r="Q59" i="2"/>
  <c r="D58" i="2"/>
  <c r="Q58" i="2"/>
  <c r="D57" i="2"/>
  <c r="Q57" i="2"/>
  <c r="D56" i="2"/>
  <c r="Q56" i="2"/>
  <c r="D55" i="2"/>
  <c r="Q55" i="2"/>
  <c r="D54" i="2"/>
  <c r="Q54" i="2"/>
  <c r="D53" i="2"/>
  <c r="Q53" i="2"/>
  <c r="D52" i="2"/>
  <c r="Q52" i="2"/>
  <c r="D51" i="2"/>
  <c r="Q51" i="2"/>
  <c r="D50" i="2"/>
  <c r="Q50" i="2"/>
  <c r="D49" i="2"/>
  <c r="Q49" i="2"/>
  <c r="D48" i="2"/>
  <c r="Q48" i="2"/>
  <c r="D47" i="2"/>
  <c r="Q47" i="2"/>
  <c r="D46" i="2"/>
  <c r="Q46" i="2"/>
  <c r="D45" i="2"/>
  <c r="Q45" i="2"/>
  <c r="D44" i="2"/>
  <c r="Q44" i="2"/>
  <c r="D43" i="2"/>
  <c r="Q43" i="2"/>
  <c r="D42" i="2"/>
  <c r="Q42" i="2"/>
  <c r="D41" i="2"/>
  <c r="Q41" i="2"/>
  <c r="Q40" i="2"/>
  <c r="P4" i="2"/>
  <c r="D67" i="2"/>
  <c r="D119" i="35"/>
  <c r="D109" i="35"/>
  <c r="D98" i="35"/>
  <c r="D56" i="35"/>
  <c r="D42" i="35"/>
  <c r="G307" i="36"/>
  <c r="G291" i="36"/>
  <c r="G178" i="36"/>
  <c r="G152" i="36"/>
  <c r="G150" i="36"/>
  <c r="D3" i="35"/>
  <c r="B39" i="57"/>
  <c r="B160" i="5"/>
  <c r="E160" i="5"/>
  <c r="C160" i="5"/>
  <c r="D160" i="5"/>
  <c r="F160" i="5"/>
  <c r="B154" i="5"/>
  <c r="E154" i="5"/>
  <c r="C154" i="5"/>
  <c r="D154" i="5"/>
  <c r="F154" i="5"/>
  <c r="E124" i="5"/>
  <c r="D124" i="5"/>
  <c r="F124" i="5"/>
  <c r="D165" i="5"/>
  <c r="D162" i="5"/>
  <c r="D187" i="5"/>
  <c r="F29" i="60"/>
  <c r="D167" i="5"/>
  <c r="D184" i="5"/>
  <c r="D178" i="5"/>
  <c r="D170" i="5"/>
  <c r="D180" i="5"/>
  <c r="D175" i="5"/>
  <c r="D171" i="5"/>
  <c r="D181" i="5"/>
  <c r="D177" i="5"/>
  <c r="D173" i="5"/>
  <c r="D164" i="5"/>
  <c r="D179" i="5"/>
  <c r="D169" i="5"/>
  <c r="D185" i="5"/>
  <c r="D183" i="5"/>
  <c r="D186" i="5"/>
  <c r="D176" i="5"/>
  <c r="D168" i="5"/>
  <c r="D172" i="5"/>
  <c r="D163" i="5"/>
  <c r="D174" i="5"/>
  <c r="D166" i="5"/>
  <c r="D182" i="5"/>
  <c r="C189" i="5"/>
  <c r="C191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6" i="5"/>
  <c r="D157" i="5"/>
  <c r="D158" i="5"/>
  <c r="D159" i="5"/>
  <c r="B189" i="5"/>
  <c r="D189" i="5"/>
  <c r="D190" i="5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E108" i="5"/>
  <c r="G108" i="5"/>
  <c r="L48" i="23"/>
  <c r="L50" i="23"/>
  <c r="L56" i="23"/>
  <c r="L60" i="23"/>
  <c r="L63" i="23"/>
  <c r="W41" i="23"/>
  <c r="T42" i="23"/>
  <c r="W42" i="23"/>
  <c r="T43" i="23"/>
  <c r="W43" i="23"/>
  <c r="T44" i="23"/>
  <c r="W44" i="23"/>
  <c r="T45" i="23"/>
  <c r="W45" i="23"/>
  <c r="T46" i="23"/>
  <c r="W46" i="23"/>
  <c r="T47" i="23"/>
  <c r="W47" i="23"/>
  <c r="T48" i="23"/>
  <c r="W48" i="23"/>
  <c r="T49" i="23"/>
  <c r="W49" i="23"/>
  <c r="T50" i="23"/>
  <c r="W50" i="23"/>
  <c r="T51" i="23"/>
  <c r="W51" i="23"/>
  <c r="T52" i="23"/>
  <c r="W52" i="23"/>
  <c r="T53" i="23"/>
  <c r="W53" i="23"/>
  <c r="T54" i="23"/>
  <c r="W54" i="23"/>
  <c r="T55" i="23"/>
  <c r="W55" i="23"/>
  <c r="T56" i="23"/>
  <c r="W56" i="23"/>
  <c r="T57" i="23"/>
  <c r="W57" i="23"/>
  <c r="T58" i="23"/>
  <c r="W58" i="23"/>
  <c r="T59" i="23"/>
  <c r="W59" i="23"/>
  <c r="T60" i="23"/>
  <c r="W60" i="23"/>
  <c r="T61" i="23"/>
  <c r="W61" i="23"/>
  <c r="T62" i="23"/>
  <c r="W62" i="23"/>
  <c r="T63" i="23"/>
  <c r="W63" i="23"/>
  <c r="T64" i="23"/>
  <c r="W64" i="23"/>
  <c r="T65" i="23"/>
  <c r="W65" i="23"/>
  <c r="O41" i="2"/>
  <c r="K42" i="2"/>
  <c r="L42" i="2"/>
  <c r="O42" i="2"/>
  <c r="K43" i="2"/>
  <c r="L43" i="2"/>
  <c r="O43" i="2"/>
  <c r="K44" i="2"/>
  <c r="L44" i="2"/>
  <c r="O44" i="2"/>
  <c r="K45" i="2"/>
  <c r="L45" i="2"/>
  <c r="O45" i="2"/>
  <c r="K46" i="2"/>
  <c r="L46" i="2"/>
  <c r="O46" i="2"/>
  <c r="K47" i="2"/>
  <c r="L47" i="2"/>
  <c r="O47" i="2"/>
  <c r="K48" i="2"/>
  <c r="L48" i="2"/>
  <c r="O48" i="2"/>
  <c r="K49" i="2"/>
  <c r="L49" i="2"/>
  <c r="O49" i="2"/>
  <c r="K50" i="2"/>
  <c r="L50" i="2"/>
  <c r="O50" i="2"/>
  <c r="K51" i="2"/>
  <c r="L51" i="2"/>
  <c r="O51" i="2"/>
  <c r="K52" i="2"/>
  <c r="L52" i="2"/>
  <c r="O52" i="2"/>
  <c r="K53" i="2"/>
  <c r="L53" i="2"/>
  <c r="O53" i="2"/>
  <c r="K54" i="2"/>
  <c r="L54" i="2"/>
  <c r="O54" i="2"/>
  <c r="K55" i="2"/>
  <c r="L55" i="2"/>
  <c r="O55" i="2"/>
  <c r="K56" i="2"/>
  <c r="L56" i="2"/>
  <c r="O56" i="2"/>
  <c r="K57" i="2"/>
  <c r="L57" i="2"/>
  <c r="O57" i="2"/>
  <c r="K58" i="2"/>
  <c r="L58" i="2"/>
  <c r="O58" i="2"/>
  <c r="K59" i="2"/>
  <c r="L59" i="2"/>
  <c r="O59" i="2"/>
  <c r="K60" i="2"/>
  <c r="L60" i="2"/>
  <c r="O60" i="2"/>
  <c r="K61" i="2"/>
  <c r="L61" i="2"/>
  <c r="O61" i="2"/>
  <c r="K62" i="2"/>
  <c r="L62" i="2"/>
  <c r="O62" i="2"/>
  <c r="K63" i="2"/>
  <c r="L63" i="2"/>
  <c r="O63" i="2"/>
  <c r="K64" i="2"/>
  <c r="L64" i="2"/>
  <c r="O64" i="2"/>
  <c r="K65" i="2"/>
  <c r="L65" i="2"/>
  <c r="O65" i="2"/>
  <c r="V65" i="23"/>
  <c r="V64" i="23"/>
  <c r="V63" i="23"/>
  <c r="V62" i="23"/>
  <c r="V61" i="23"/>
  <c r="V60" i="23"/>
  <c r="V59" i="23"/>
  <c r="V58" i="23"/>
  <c r="V57" i="23"/>
  <c r="V56" i="23"/>
  <c r="V55" i="23"/>
  <c r="V54" i="23"/>
  <c r="V53" i="23"/>
  <c r="V52" i="23"/>
  <c r="V51" i="23"/>
  <c r="V50" i="23"/>
  <c r="V49" i="23"/>
  <c r="V48" i="23"/>
  <c r="V47" i="23"/>
  <c r="V46" i="23"/>
  <c r="V45" i="23"/>
  <c r="V44" i="23"/>
  <c r="V43" i="23"/>
  <c r="V42" i="23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H120" i="46"/>
  <c r="H122" i="46"/>
  <c r="H123" i="46"/>
  <c r="H124" i="46"/>
  <c r="H125" i="46"/>
  <c r="H126" i="46"/>
  <c r="H127" i="46"/>
  <c r="H128" i="46"/>
  <c r="J36" i="46"/>
  <c r="F119" i="46"/>
  <c r="F120" i="46"/>
  <c r="F122" i="46"/>
  <c r="F123" i="46"/>
  <c r="F124" i="46"/>
  <c r="F125" i="46"/>
  <c r="F126" i="46"/>
  <c r="F127" i="46"/>
  <c r="F128" i="46"/>
  <c r="J29" i="46"/>
  <c r="G119" i="46"/>
  <c r="G120" i="46"/>
  <c r="G122" i="46"/>
  <c r="G123" i="46"/>
  <c r="G124" i="46"/>
  <c r="G125" i="46"/>
  <c r="G126" i="46"/>
  <c r="G127" i="46"/>
  <c r="G128" i="46"/>
  <c r="J27" i="46"/>
  <c r="J30" i="46"/>
  <c r="H9" i="46"/>
  <c r="H11" i="46"/>
  <c r="H12" i="46"/>
  <c r="H13" i="46"/>
  <c r="H14" i="46"/>
  <c r="H16" i="46"/>
  <c r="H17" i="46"/>
  <c r="H18" i="46"/>
  <c r="H19" i="46"/>
  <c r="H20" i="46"/>
  <c r="H21" i="46"/>
  <c r="H22" i="46"/>
  <c r="H25" i="46"/>
  <c r="H26" i="46"/>
  <c r="H27" i="46"/>
  <c r="H29" i="46"/>
  <c r="H30" i="46"/>
  <c r="H31" i="46"/>
  <c r="H36" i="46"/>
  <c r="H37" i="46"/>
  <c r="H38" i="46"/>
  <c r="H39" i="46"/>
  <c r="H41" i="46"/>
  <c r="H42" i="46"/>
  <c r="H49" i="46"/>
  <c r="H50" i="46"/>
  <c r="H51" i="46"/>
  <c r="H52" i="46"/>
  <c r="H54" i="46"/>
  <c r="H55" i="46"/>
  <c r="H56" i="46"/>
  <c r="H57" i="46"/>
  <c r="H59" i="46"/>
  <c r="H60" i="46"/>
  <c r="H61" i="46"/>
  <c r="H62" i="46"/>
  <c r="H63" i="46"/>
  <c r="H65" i="46"/>
  <c r="H66" i="46"/>
  <c r="H67" i="46"/>
  <c r="H68" i="46"/>
  <c r="H69" i="46"/>
  <c r="H70" i="46"/>
  <c r="H71" i="46"/>
  <c r="H72" i="46"/>
  <c r="H73" i="46"/>
  <c r="H76" i="46"/>
  <c r="H77" i="46"/>
  <c r="H78" i="46"/>
  <c r="H79" i="46"/>
  <c r="H80" i="46"/>
  <c r="H81" i="46"/>
  <c r="H84" i="46"/>
  <c r="H85" i="46"/>
  <c r="H86" i="46"/>
  <c r="H87" i="46"/>
  <c r="H88" i="46"/>
  <c r="H89" i="46"/>
  <c r="H90" i="46"/>
  <c r="H93" i="46"/>
  <c r="H94" i="46"/>
  <c r="H95" i="46"/>
  <c r="H96" i="46"/>
  <c r="H107" i="46"/>
  <c r="H108" i="46"/>
  <c r="H109" i="46"/>
  <c r="H110" i="46"/>
  <c r="H111" i="46"/>
  <c r="H112" i="46"/>
  <c r="H113" i="46"/>
  <c r="H114" i="46"/>
  <c r="H115" i="46"/>
  <c r="H116" i="46"/>
  <c r="H117" i="46"/>
  <c r="H118" i="46"/>
  <c r="J25" i="46"/>
  <c r="F9" i="46"/>
  <c r="F11" i="46"/>
  <c r="F12" i="46"/>
  <c r="F13" i="46"/>
  <c r="F14" i="46"/>
  <c r="F16" i="46"/>
  <c r="F17" i="46"/>
  <c r="F18" i="46"/>
  <c r="F19" i="46"/>
  <c r="F20" i="46"/>
  <c r="F21" i="46"/>
  <c r="F22" i="46"/>
  <c r="F25" i="46"/>
  <c r="F26" i="46"/>
  <c r="F27" i="46"/>
  <c r="F29" i="46"/>
  <c r="F30" i="46"/>
  <c r="F31" i="46"/>
  <c r="F36" i="46"/>
  <c r="F37" i="46"/>
  <c r="F38" i="46"/>
  <c r="F39" i="46"/>
  <c r="F41" i="46"/>
  <c r="F42" i="46"/>
  <c r="F49" i="46"/>
  <c r="F50" i="46"/>
  <c r="F51" i="46"/>
  <c r="F52" i="46"/>
  <c r="F54" i="46"/>
  <c r="F55" i="46"/>
  <c r="F56" i="46"/>
  <c r="F57" i="46"/>
  <c r="F59" i="46"/>
  <c r="F60" i="46"/>
  <c r="F61" i="46"/>
  <c r="F62" i="46"/>
  <c r="F63" i="46"/>
  <c r="F65" i="46"/>
  <c r="F66" i="46"/>
  <c r="F67" i="46"/>
  <c r="F68" i="46"/>
  <c r="F69" i="46"/>
  <c r="F70" i="46"/>
  <c r="F71" i="46"/>
  <c r="F72" i="46"/>
  <c r="F73" i="46"/>
  <c r="F76" i="46"/>
  <c r="F77" i="46"/>
  <c r="F78" i="46"/>
  <c r="F79" i="46"/>
  <c r="F80" i="46"/>
  <c r="F81" i="46"/>
  <c r="F84" i="46"/>
  <c r="F85" i="46"/>
  <c r="F86" i="46"/>
  <c r="F87" i="46"/>
  <c r="F88" i="46"/>
  <c r="F89" i="46"/>
  <c r="F90" i="46"/>
  <c r="F93" i="46"/>
  <c r="F94" i="46"/>
  <c r="F95" i="46"/>
  <c r="F9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J20" i="46"/>
  <c r="G9" i="46"/>
  <c r="G11" i="46"/>
  <c r="G12" i="46"/>
  <c r="G13" i="46"/>
  <c r="G14" i="46"/>
  <c r="G16" i="46"/>
  <c r="G17" i="46"/>
  <c r="G18" i="46"/>
  <c r="G19" i="46"/>
  <c r="G20" i="46"/>
  <c r="G21" i="46"/>
  <c r="G22" i="46"/>
  <c r="G25" i="46"/>
  <c r="G26" i="46"/>
  <c r="G27" i="46"/>
  <c r="G29" i="46"/>
  <c r="G30" i="46"/>
  <c r="G31" i="46"/>
  <c r="G36" i="46"/>
  <c r="G37" i="46"/>
  <c r="G38" i="46"/>
  <c r="G39" i="46"/>
  <c r="G41" i="46"/>
  <c r="G42" i="46"/>
  <c r="G49" i="46"/>
  <c r="G50" i="46"/>
  <c r="G51" i="46"/>
  <c r="G52" i="46"/>
  <c r="G54" i="46"/>
  <c r="G55" i="46"/>
  <c r="G56" i="46"/>
  <c r="G57" i="46"/>
  <c r="G59" i="46"/>
  <c r="G60" i="46"/>
  <c r="G61" i="46"/>
  <c r="G62" i="46"/>
  <c r="G63" i="46"/>
  <c r="G65" i="46"/>
  <c r="G66" i="46"/>
  <c r="G67" i="46"/>
  <c r="G68" i="46"/>
  <c r="G69" i="46"/>
  <c r="G70" i="46"/>
  <c r="G71" i="46"/>
  <c r="G72" i="46"/>
  <c r="G73" i="46"/>
  <c r="G76" i="46"/>
  <c r="G77" i="46"/>
  <c r="G78" i="46"/>
  <c r="G79" i="46"/>
  <c r="G80" i="46"/>
  <c r="G81" i="46"/>
  <c r="G84" i="46"/>
  <c r="G85" i="46"/>
  <c r="G86" i="46"/>
  <c r="G87" i="46"/>
  <c r="G88" i="46"/>
  <c r="G89" i="46"/>
  <c r="G90" i="46"/>
  <c r="G93" i="46"/>
  <c r="G94" i="46"/>
  <c r="G95" i="46"/>
  <c r="G9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J19" i="46"/>
  <c r="G3" i="46"/>
  <c r="G5" i="46"/>
  <c r="G6" i="46"/>
  <c r="G7" i="46"/>
  <c r="G8" i="46"/>
  <c r="J12" i="46"/>
  <c r="J21" i="46"/>
  <c r="F3" i="46"/>
  <c r="F5" i="46"/>
  <c r="F6" i="46"/>
  <c r="F7" i="46"/>
  <c r="F8" i="46"/>
  <c r="J6" i="46"/>
  <c r="G2" i="46"/>
  <c r="J5" i="46"/>
  <c r="H8" i="46"/>
  <c r="H5" i="46"/>
  <c r="H6" i="46"/>
  <c r="H3" i="46"/>
  <c r="H7" i="46"/>
  <c r="J17" i="46"/>
  <c r="J13" i="46"/>
  <c r="J14" i="46"/>
  <c r="C6" i="5"/>
  <c r="C7" i="5"/>
  <c r="R54" i="25"/>
  <c r="R53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39" i="25"/>
  <c r="R38" i="25"/>
  <c r="R37" i="25"/>
  <c r="R36" i="25"/>
  <c r="R35" i="25"/>
  <c r="R34" i="25"/>
  <c r="R33" i="25"/>
  <c r="R32" i="25"/>
  <c r="R31" i="25"/>
  <c r="R30" i="25"/>
  <c r="R29" i="25"/>
  <c r="R28" i="25"/>
  <c r="R27" i="25"/>
  <c r="R26" i="25"/>
  <c r="R25" i="25"/>
  <c r="R24" i="25"/>
  <c r="R23" i="25"/>
  <c r="R22" i="25"/>
  <c r="R21" i="25"/>
  <c r="R20" i="25"/>
  <c r="R19" i="25"/>
  <c r="R18" i="25"/>
  <c r="R17" i="25"/>
  <c r="R16" i="25"/>
  <c r="R15" i="25"/>
  <c r="R14" i="25"/>
  <c r="R13" i="25"/>
  <c r="R12" i="25"/>
  <c r="R11" i="25"/>
  <c r="R10" i="25"/>
  <c r="R9" i="25"/>
  <c r="R8" i="25"/>
  <c r="R6" i="25"/>
  <c r="R5" i="25"/>
  <c r="R4" i="25"/>
  <c r="V4" i="25"/>
  <c r="V5" i="25"/>
  <c r="V6" i="25"/>
  <c r="V7" i="25"/>
  <c r="V8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68" i="25"/>
  <c r="V70" i="25"/>
  <c r="V67" i="25"/>
  <c r="V66" i="25"/>
  <c r="S63" i="56"/>
  <c r="L47" i="56"/>
  <c r="O47" i="56"/>
  <c r="L42" i="56"/>
  <c r="O42" i="56"/>
  <c r="L39" i="56"/>
  <c r="O39" i="56"/>
  <c r="L26" i="56"/>
  <c r="O26" i="56"/>
  <c r="L22" i="56"/>
  <c r="O22" i="56"/>
  <c r="L21" i="56"/>
  <c r="O21" i="56"/>
  <c r="L18" i="56"/>
  <c r="O18" i="56"/>
  <c r="O50" i="56"/>
  <c r="O37" i="56"/>
  <c r="O36" i="56"/>
  <c r="L17" i="56"/>
  <c r="O17" i="56"/>
  <c r="O14" i="56"/>
  <c r="O13" i="56"/>
  <c r="H57" i="38"/>
  <c r="C86" i="5"/>
  <c r="D5" i="67"/>
  <c r="E5" i="67"/>
  <c r="F56" i="67"/>
  <c r="D4" i="67"/>
  <c r="E4" i="67"/>
  <c r="D6" i="67"/>
  <c r="E6" i="67"/>
  <c r="D7" i="67"/>
  <c r="E7" i="67"/>
  <c r="D8" i="67"/>
  <c r="E8" i="67"/>
  <c r="D9" i="67"/>
  <c r="E9" i="67"/>
  <c r="D10" i="67"/>
  <c r="E10" i="67"/>
  <c r="D11" i="67"/>
  <c r="E11" i="67"/>
  <c r="D12" i="67"/>
  <c r="E12" i="67"/>
  <c r="D13" i="67"/>
  <c r="E13" i="67"/>
  <c r="D14" i="67"/>
  <c r="E14" i="67"/>
  <c r="D15" i="67"/>
  <c r="E15" i="67"/>
  <c r="D16" i="67"/>
  <c r="E16" i="67"/>
  <c r="D17" i="67"/>
  <c r="E17" i="67"/>
  <c r="D18" i="67"/>
  <c r="E18" i="67"/>
  <c r="D19" i="67"/>
  <c r="E19" i="67"/>
  <c r="D20" i="67"/>
  <c r="E20" i="67"/>
  <c r="D21" i="67"/>
  <c r="E21" i="67"/>
  <c r="D22" i="67"/>
  <c r="E22" i="67"/>
  <c r="D23" i="67"/>
  <c r="E23" i="67"/>
  <c r="D24" i="67"/>
  <c r="E24" i="67"/>
  <c r="D25" i="67"/>
  <c r="E25" i="67"/>
  <c r="D26" i="67"/>
  <c r="E26" i="67"/>
  <c r="D27" i="67"/>
  <c r="E27" i="67"/>
  <c r="D28" i="67"/>
  <c r="E28" i="67"/>
  <c r="D29" i="67"/>
  <c r="E29" i="67"/>
  <c r="D30" i="67"/>
  <c r="E30" i="67"/>
  <c r="D31" i="67"/>
  <c r="E31" i="67"/>
  <c r="D32" i="67"/>
  <c r="E32" i="67"/>
  <c r="D33" i="67"/>
  <c r="E33" i="67"/>
  <c r="D34" i="67"/>
  <c r="E34" i="67"/>
  <c r="D35" i="67"/>
  <c r="E35" i="67"/>
  <c r="D36" i="67"/>
  <c r="E36" i="67"/>
  <c r="D37" i="67"/>
  <c r="E37" i="67"/>
  <c r="D38" i="67"/>
  <c r="E38" i="67"/>
  <c r="D39" i="67"/>
  <c r="E39" i="67"/>
  <c r="D40" i="67"/>
  <c r="E40" i="67"/>
  <c r="D41" i="67"/>
  <c r="E41" i="67"/>
  <c r="D42" i="67"/>
  <c r="E42" i="67"/>
  <c r="D43" i="67"/>
  <c r="E43" i="67"/>
  <c r="D44" i="67"/>
  <c r="E44" i="67"/>
  <c r="D45" i="67"/>
  <c r="E45" i="67"/>
  <c r="D46" i="67"/>
  <c r="E46" i="67"/>
  <c r="D47" i="67"/>
  <c r="E47" i="67"/>
  <c r="D48" i="67"/>
  <c r="E48" i="67"/>
  <c r="D49" i="67"/>
  <c r="E49" i="67"/>
  <c r="D50" i="67"/>
  <c r="E50" i="67"/>
  <c r="D51" i="67"/>
  <c r="E51" i="67"/>
  <c r="D52" i="67"/>
  <c r="E52" i="67"/>
  <c r="D53" i="67"/>
  <c r="E53" i="67"/>
  <c r="E56" i="67"/>
  <c r="F57" i="67"/>
  <c r="F5" i="67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4" i="67"/>
  <c r="D56" i="67"/>
  <c r="C56" i="67"/>
  <c r="A4" i="67"/>
  <c r="A5" i="67"/>
  <c r="A6" i="67"/>
  <c r="A7" i="67"/>
  <c r="A8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A9" i="57"/>
  <c r="AC9" i="57"/>
  <c r="AA11" i="57"/>
  <c r="AC12" i="57"/>
  <c r="E107" i="5"/>
  <c r="F3" i="40"/>
  <c r="D617" i="37"/>
  <c r="D610" i="37"/>
  <c r="D599" i="37"/>
  <c r="D591" i="37"/>
  <c r="D559" i="37"/>
  <c r="D548" i="37"/>
  <c r="D505" i="37"/>
  <c r="D479" i="37"/>
  <c r="D457" i="37"/>
  <c r="D443" i="37"/>
  <c r="D432" i="37"/>
  <c r="D424" i="37"/>
  <c r="D411" i="37"/>
  <c r="D408" i="37"/>
  <c r="H119" i="46"/>
  <c r="J9" i="46"/>
  <c r="G282" i="34"/>
  <c r="G296" i="34"/>
  <c r="G188" i="34"/>
  <c r="G184" i="34"/>
  <c r="G177" i="34"/>
  <c r="G174" i="34"/>
  <c r="G182" i="34"/>
  <c r="G162" i="34"/>
  <c r="G116" i="34"/>
  <c r="G105" i="34"/>
  <c r="G103" i="34"/>
  <c r="J7" i="46"/>
  <c r="D317" i="47"/>
  <c r="D310" i="47"/>
  <c r="D305" i="47"/>
  <c r="D299" i="47"/>
  <c r="D285" i="47"/>
  <c r="D268" i="47"/>
  <c r="D266" i="47"/>
  <c r="D222" i="47"/>
  <c r="D214" i="47"/>
  <c r="D3" i="47"/>
  <c r="C95" i="63"/>
  <c r="C87" i="63"/>
  <c r="C74" i="63"/>
  <c r="C64" i="63"/>
  <c r="C30" i="63"/>
  <c r="C15" i="63"/>
  <c r="C12" i="63"/>
  <c r="C132" i="63"/>
  <c r="C130" i="63"/>
  <c r="C125" i="63"/>
  <c r="C121" i="63"/>
  <c r="C118" i="63"/>
  <c r="C112" i="63"/>
  <c r="C105" i="63"/>
  <c r="C93" i="63"/>
  <c r="C85" i="63"/>
  <c r="C81" i="63"/>
  <c r="C79" i="63"/>
  <c r="C62" i="63"/>
  <c r="C51" i="63"/>
  <c r="C27" i="63"/>
  <c r="C25" i="63"/>
  <c r="C22" i="63"/>
  <c r="C10" i="63"/>
  <c r="C8" i="63"/>
  <c r="C2" i="63"/>
  <c r="C49" i="46"/>
  <c r="C125" i="46"/>
  <c r="C123" i="46"/>
  <c r="C119" i="46"/>
  <c r="C115" i="46"/>
  <c r="C112" i="46"/>
  <c r="C108" i="46"/>
  <c r="C95" i="46"/>
  <c r="C90" i="46"/>
  <c r="C88" i="46"/>
  <c r="C78" i="46"/>
  <c r="C71" i="46"/>
  <c r="C67" i="46"/>
  <c r="C62" i="46"/>
  <c r="C51" i="46"/>
  <c r="C42" i="46"/>
  <c r="C30" i="46"/>
  <c r="C21" i="46"/>
  <c r="C19" i="46"/>
  <c r="C17" i="46"/>
  <c r="C14" i="46"/>
  <c r="C12" i="46"/>
  <c r="C9" i="46"/>
  <c r="C2" i="46"/>
  <c r="D80" i="61"/>
  <c r="D78" i="61"/>
  <c r="D68" i="61"/>
  <c r="D56" i="61"/>
  <c r="D54" i="61"/>
  <c r="D51" i="61"/>
  <c r="D49" i="61"/>
  <c r="D45" i="61"/>
  <c r="D43" i="61"/>
  <c r="D35" i="61"/>
  <c r="D33" i="61"/>
  <c r="D31" i="61"/>
  <c r="D24" i="61"/>
  <c r="D22" i="61"/>
  <c r="D20" i="61"/>
  <c r="D18" i="61"/>
  <c r="D16" i="61"/>
  <c r="D13" i="61"/>
  <c r="D11" i="61"/>
  <c r="D9" i="61"/>
  <c r="D2" i="61"/>
  <c r="G129" i="44"/>
  <c r="G117" i="44"/>
  <c r="G135" i="44"/>
  <c r="G99" i="44"/>
  <c r="G97" i="44"/>
  <c r="G77" i="44"/>
  <c r="G86" i="44"/>
  <c r="G75" i="44"/>
  <c r="G71" i="44"/>
  <c r="G30" i="44"/>
  <c r="G60" i="44"/>
  <c r="G57" i="44"/>
  <c r="G32" i="44"/>
  <c r="G28" i="44"/>
  <c r="G26" i="44"/>
  <c r="G18" i="44"/>
  <c r="G16" i="44"/>
  <c r="G11" i="44"/>
  <c r="G2" i="44"/>
  <c r="G298" i="36"/>
  <c r="G293" i="36"/>
  <c r="G202" i="36"/>
  <c r="G146" i="36"/>
  <c r="G144" i="36"/>
  <c r="G51" i="36"/>
  <c r="AD52" i="57"/>
  <c r="M4" i="23"/>
  <c r="AC25" i="57"/>
  <c r="AC39" i="57"/>
  <c r="AC52" i="57"/>
  <c r="AC27" i="57"/>
  <c r="AC41" i="57"/>
  <c r="AC47" i="57"/>
  <c r="AC53" i="57"/>
  <c r="AC54" i="57"/>
  <c r="AB25" i="57"/>
  <c r="AB39" i="57"/>
  <c r="AB52" i="57"/>
  <c r="AB27" i="57"/>
  <c r="AA25" i="57"/>
  <c r="AA39" i="57"/>
  <c r="AA52" i="57"/>
  <c r="AA13" i="57"/>
  <c r="AA27" i="57"/>
  <c r="B46" i="57"/>
  <c r="B52" i="57"/>
  <c r="Z53" i="57"/>
  <c r="W53" i="57"/>
  <c r="R53" i="57"/>
  <c r="Z52" i="57"/>
  <c r="Y52" i="57"/>
  <c r="X52" i="57"/>
  <c r="W52" i="57"/>
  <c r="V52" i="57"/>
  <c r="U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E52" i="57"/>
  <c r="D52" i="57"/>
  <c r="C52" i="57"/>
  <c r="AD51" i="57"/>
  <c r="AC16" i="57"/>
  <c r="AC30" i="57"/>
  <c r="AC44" i="57"/>
  <c r="AC51" i="57"/>
  <c r="AB16" i="57"/>
  <c r="AB30" i="57"/>
  <c r="AB44" i="57"/>
  <c r="AB51" i="57"/>
  <c r="AA16" i="57"/>
  <c r="D4" i="20"/>
  <c r="AA30" i="57"/>
  <c r="C44" i="57"/>
  <c r="D44" i="57"/>
  <c r="E44" i="57"/>
  <c r="F44" i="57"/>
  <c r="AA44" i="57"/>
  <c r="AA51" i="57"/>
  <c r="Z51" i="57"/>
  <c r="Y51" i="57"/>
  <c r="X51" i="57"/>
  <c r="W51" i="57"/>
  <c r="V51" i="57"/>
  <c r="U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44" i="57"/>
  <c r="B51" i="57"/>
  <c r="L52" i="23"/>
  <c r="M65" i="23"/>
  <c r="M62" i="23"/>
  <c r="AA26" i="57"/>
  <c r="AA28" i="57"/>
  <c r="AA24" i="57"/>
  <c r="AA22" i="57"/>
  <c r="AC20" i="57"/>
  <c r="AA20" i="57"/>
  <c r="AB19" i="57"/>
  <c r="AA19" i="57"/>
  <c r="AB18" i="57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8" i="23"/>
  <c r="A29" i="23"/>
  <c r="A30" i="23"/>
  <c r="A31" i="23"/>
  <c r="A32" i="23"/>
  <c r="A33" i="23"/>
  <c r="A34" i="23"/>
  <c r="A36" i="23"/>
  <c r="A37" i="23"/>
  <c r="A38" i="23"/>
  <c r="A39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C45" i="57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8" i="22"/>
  <c r="A29" i="22"/>
  <c r="A30" i="22"/>
  <c r="A31" i="22"/>
  <c r="A32" i="22"/>
  <c r="A33" i="22"/>
  <c r="A34" i="22"/>
  <c r="A36" i="22"/>
  <c r="A37" i="22"/>
  <c r="A38" i="22"/>
  <c r="A39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D58" i="20"/>
  <c r="D59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8" i="20"/>
  <c r="A29" i="20"/>
  <c r="A30" i="20"/>
  <c r="A31" i="20"/>
  <c r="A32" i="20"/>
  <c r="A33" i="20"/>
  <c r="A34" i="20"/>
  <c r="A36" i="20"/>
  <c r="A37" i="20"/>
  <c r="A38" i="20"/>
  <c r="A39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D67" i="12"/>
  <c r="D66" i="12"/>
  <c r="D68" i="12"/>
  <c r="D70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8" i="12"/>
  <c r="A29" i="12"/>
  <c r="A30" i="12"/>
  <c r="A31" i="12"/>
  <c r="A32" i="12"/>
  <c r="A33" i="12"/>
  <c r="A34" i="12"/>
  <c r="A36" i="12"/>
  <c r="A37" i="12"/>
  <c r="A38" i="12"/>
  <c r="A39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6" i="2"/>
  <c r="A37" i="2"/>
  <c r="A38" i="2"/>
  <c r="A39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C14" i="57"/>
  <c r="AB14" i="57"/>
  <c r="AA14" i="57"/>
  <c r="F63" i="2"/>
  <c r="L4" i="2"/>
  <c r="M4" i="2"/>
  <c r="V64" i="25"/>
  <c r="AA35" i="23"/>
  <c r="G67" i="5"/>
  <c r="G69" i="5"/>
  <c r="G70" i="5"/>
  <c r="W35" i="23"/>
  <c r="W14" i="57"/>
  <c r="G107" i="5"/>
  <c r="Y65" i="22"/>
  <c r="P65" i="22"/>
  <c r="A61" i="22"/>
  <c r="A62" i="22"/>
  <c r="A63" i="22"/>
  <c r="A64" i="22"/>
  <c r="A65" i="22"/>
  <c r="Y64" i="22"/>
  <c r="P64" i="22"/>
  <c r="Y63" i="22"/>
  <c r="P63" i="22"/>
  <c r="Y62" i="22"/>
  <c r="P62" i="22"/>
  <c r="Y61" i="22"/>
  <c r="P61" i="22"/>
  <c r="Y60" i="22"/>
  <c r="P60" i="22"/>
  <c r="Y59" i="22"/>
  <c r="P59" i="22"/>
  <c r="Y57" i="22"/>
  <c r="P57" i="22"/>
  <c r="Y56" i="22"/>
  <c r="P56" i="22"/>
  <c r="Y55" i="22"/>
  <c r="P55" i="22"/>
  <c r="Y54" i="22"/>
  <c r="P54" i="22"/>
  <c r="Y53" i="22"/>
  <c r="P53" i="22"/>
  <c r="Y52" i="22"/>
  <c r="P52" i="22"/>
  <c r="Y51" i="22"/>
  <c r="P51" i="22"/>
  <c r="Y50" i="22"/>
  <c r="P50" i="22"/>
  <c r="Y49" i="22"/>
  <c r="P49" i="22"/>
  <c r="Y48" i="22"/>
  <c r="P48" i="22"/>
  <c r="Y47" i="22"/>
  <c r="P47" i="22"/>
  <c r="Y46" i="22"/>
  <c r="P46" i="22"/>
  <c r="Y45" i="22"/>
  <c r="P45" i="22"/>
  <c r="Y44" i="22"/>
  <c r="P44" i="22"/>
  <c r="Y43" i="22"/>
  <c r="P43" i="22"/>
  <c r="Y42" i="22"/>
  <c r="P42" i="22"/>
  <c r="Y41" i="22"/>
  <c r="R35" i="22"/>
  <c r="U35" i="22"/>
  <c r="S35" i="22"/>
  <c r="T35" i="22"/>
  <c r="U34" i="22"/>
  <c r="U33" i="22"/>
  <c r="U32" i="22"/>
  <c r="U31" i="22"/>
  <c r="U30" i="22"/>
  <c r="U29" i="22"/>
  <c r="U28" i="22"/>
  <c r="R27" i="22"/>
  <c r="U27" i="22"/>
  <c r="S27" i="22"/>
  <c r="T27" i="22"/>
  <c r="U26" i="22"/>
  <c r="U25" i="22"/>
  <c r="U24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9" i="22"/>
  <c r="U8" i="22"/>
  <c r="U7" i="22"/>
  <c r="U6" i="22"/>
  <c r="T4" i="22"/>
  <c r="X1" i="22"/>
  <c r="U14" i="57"/>
  <c r="J41" i="20"/>
  <c r="J39" i="20"/>
  <c r="J38" i="20"/>
  <c r="J37" i="20"/>
  <c r="J36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4" i="20"/>
  <c r="F39" i="20"/>
  <c r="F38" i="20"/>
  <c r="F37" i="20"/>
  <c r="F36" i="20"/>
  <c r="F34" i="20"/>
  <c r="F33" i="20"/>
  <c r="F32" i="20"/>
  <c r="F31" i="20"/>
  <c r="F30" i="20"/>
  <c r="F29" i="20"/>
  <c r="F28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4" i="20"/>
  <c r="J35" i="12"/>
  <c r="R35" i="12"/>
  <c r="R34" i="12"/>
  <c r="R27" i="12"/>
  <c r="K14" i="57"/>
  <c r="G14" i="57"/>
  <c r="F14" i="57"/>
  <c r="F4" i="2"/>
  <c r="C66" i="5"/>
  <c r="C70" i="5"/>
  <c r="C71" i="5"/>
  <c r="D66" i="2"/>
  <c r="D68" i="2"/>
  <c r="V4" i="2"/>
  <c r="B191" i="5"/>
  <c r="Z14" i="57"/>
  <c r="Y14" i="57"/>
  <c r="X14" i="57"/>
  <c r="V14" i="57"/>
  <c r="P14" i="57"/>
  <c r="M14" i="57"/>
  <c r="I14" i="57"/>
  <c r="H14" i="57"/>
  <c r="E14" i="57"/>
  <c r="B14" i="57"/>
  <c r="D14" i="57"/>
  <c r="C14" i="57"/>
  <c r="E22" i="56"/>
  <c r="E21" i="56"/>
  <c r="E4" i="56"/>
  <c r="A4" i="56"/>
  <c r="A5" i="56"/>
  <c r="A6" i="56"/>
  <c r="A7" i="56"/>
  <c r="A8" i="56"/>
  <c r="A9" i="56"/>
  <c r="A10" i="56"/>
  <c r="A11" i="56"/>
  <c r="A12" i="56"/>
  <c r="A13" i="56"/>
  <c r="A14" i="56"/>
  <c r="A15" i="56"/>
  <c r="A16" i="56"/>
  <c r="A17" i="56"/>
  <c r="A18" i="56"/>
  <c r="E39" i="56"/>
  <c r="T57" i="56"/>
  <c r="T56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" i="54"/>
  <c r="A6" i="54"/>
  <c r="A7" i="54"/>
  <c r="A8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K66" i="23"/>
  <c r="G351" i="34"/>
  <c r="G346" i="34"/>
  <c r="G333" i="34"/>
  <c r="G330" i="34"/>
  <c r="G3" i="34"/>
  <c r="G230" i="34"/>
  <c r="G110" i="34"/>
  <c r="G127" i="34"/>
  <c r="G168" i="34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60" i="20"/>
  <c r="D56" i="20"/>
  <c r="D57" i="20"/>
  <c r="D61" i="20"/>
  <c r="D62" i="20"/>
  <c r="D63" i="20"/>
  <c r="D64" i="20"/>
  <c r="D65" i="20"/>
  <c r="C50" i="5"/>
  <c r="F21" i="44"/>
  <c r="G20" i="44"/>
  <c r="V56" i="25"/>
  <c r="V4" i="12"/>
  <c r="G171" i="36"/>
  <c r="G162" i="36"/>
  <c r="G121" i="36"/>
  <c r="G60" i="36"/>
  <c r="G82" i="36"/>
  <c r="G76" i="36"/>
  <c r="G69" i="36"/>
  <c r="G63" i="36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A65" i="23"/>
  <c r="AA64" i="23"/>
  <c r="AA63" i="23"/>
  <c r="AA62" i="23"/>
  <c r="AA61" i="23"/>
  <c r="AA60" i="23"/>
  <c r="AA59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I5" i="23"/>
  <c r="M35" i="23"/>
  <c r="A60" i="23"/>
  <c r="A61" i="23"/>
  <c r="A62" i="23"/>
  <c r="A63" i="23"/>
  <c r="A64" i="23"/>
  <c r="A65" i="23"/>
  <c r="R65" i="20"/>
  <c r="A60" i="20"/>
  <c r="A61" i="20"/>
  <c r="A62" i="20"/>
  <c r="A63" i="20"/>
  <c r="A64" i="20"/>
  <c r="A65" i="20"/>
  <c r="R64" i="20"/>
  <c r="R63" i="20"/>
  <c r="R62" i="20"/>
  <c r="R61" i="20"/>
  <c r="R60" i="20"/>
  <c r="R59" i="20"/>
  <c r="R57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S65" i="12"/>
  <c r="A62" i="12"/>
  <c r="A63" i="12"/>
  <c r="A64" i="12"/>
  <c r="A65" i="12"/>
  <c r="S64" i="12"/>
  <c r="S63" i="12"/>
  <c r="S62" i="12"/>
  <c r="S61" i="12"/>
  <c r="S60" i="12"/>
  <c r="S59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A61" i="2"/>
  <c r="A62" i="2"/>
  <c r="A63" i="2"/>
  <c r="A64" i="2"/>
  <c r="A65" i="2"/>
  <c r="B28" i="57"/>
  <c r="AC18" i="57"/>
  <c r="AC19" i="57"/>
  <c r="AB22" i="57"/>
  <c r="AC22" i="57"/>
  <c r="AB24" i="57"/>
  <c r="AC24" i="57"/>
  <c r="AB26" i="57"/>
  <c r="AB28" i="57"/>
  <c r="AC26" i="57"/>
  <c r="AC28" i="57"/>
  <c r="AC32" i="57"/>
  <c r="AC31" i="57"/>
  <c r="AC36" i="57"/>
  <c r="AB40" i="57"/>
  <c r="AB42" i="57"/>
  <c r="AB38" i="57"/>
  <c r="AB36" i="57"/>
  <c r="AB35" i="57"/>
  <c r="AB34" i="57"/>
  <c r="AC34" i="57"/>
  <c r="AC35" i="57"/>
  <c r="AC38" i="57"/>
  <c r="AC40" i="57"/>
  <c r="AC42" i="57"/>
  <c r="F53" i="57"/>
  <c r="G53" i="57"/>
  <c r="H53" i="57"/>
  <c r="J53" i="57"/>
  <c r="M53" i="57"/>
  <c r="U53" i="57"/>
  <c r="V53" i="57"/>
  <c r="Y53" i="57"/>
  <c r="AB41" i="57"/>
  <c r="Q53" i="57"/>
  <c r="O53" i="57"/>
  <c r="N53" i="57"/>
  <c r="L53" i="57"/>
  <c r="E53" i="57"/>
  <c r="AA35" i="57"/>
  <c r="AA40" i="57"/>
  <c r="AA42" i="57"/>
  <c r="AA38" i="57"/>
  <c r="AA34" i="57"/>
  <c r="B38" i="57"/>
  <c r="B40" i="57"/>
  <c r="B42" i="57"/>
  <c r="P53" i="57"/>
  <c r="AA36" i="57"/>
  <c r="AA41" i="57"/>
  <c r="C47" i="57"/>
  <c r="D47" i="57"/>
  <c r="I47" i="57"/>
  <c r="C53" i="57"/>
  <c r="I53" i="57"/>
  <c r="D53" i="57"/>
  <c r="D45" i="57"/>
  <c r="C45" i="57"/>
  <c r="I45" i="57"/>
  <c r="C49" i="57"/>
  <c r="D49" i="57"/>
  <c r="I49" i="57"/>
  <c r="G45" i="57"/>
  <c r="G49" i="57"/>
  <c r="K47" i="57"/>
  <c r="K45" i="57"/>
  <c r="AA47" i="57"/>
  <c r="AA45" i="57"/>
  <c r="AA53" i="57"/>
  <c r="AA54" i="57"/>
  <c r="K53" i="57"/>
  <c r="K49" i="57"/>
  <c r="C17" i="57"/>
  <c r="H17" i="57"/>
  <c r="G17" i="57"/>
  <c r="F17" i="57"/>
  <c r="E17" i="57"/>
  <c r="O45" i="57"/>
  <c r="O49" i="57"/>
  <c r="AI41" i="10"/>
  <c r="S47" i="57"/>
  <c r="B47" i="57"/>
  <c r="U41" i="10"/>
  <c r="S45" i="57"/>
  <c r="B45" i="57"/>
  <c r="B49" i="57"/>
  <c r="AB47" i="57"/>
  <c r="AB53" i="57"/>
  <c r="AB54" i="57"/>
  <c r="S53" i="57"/>
  <c r="AB45" i="57"/>
  <c r="S49" i="57"/>
  <c r="O31" i="57"/>
  <c r="O32" i="57"/>
  <c r="Q32" i="57"/>
  <c r="AA32" i="57"/>
  <c r="AA31" i="57"/>
  <c r="I17" i="57"/>
  <c r="I18" i="57"/>
  <c r="AA18" i="57"/>
  <c r="C365" i="34"/>
  <c r="C367" i="34"/>
  <c r="C372" i="34"/>
  <c r="C374" i="34"/>
  <c r="U32" i="57"/>
  <c r="B32" i="57"/>
  <c r="B31" i="57"/>
  <c r="AB32" i="57"/>
  <c r="U31" i="57"/>
  <c r="AB31" i="57"/>
  <c r="P31" i="23"/>
  <c r="X17" i="57"/>
  <c r="X21" i="57"/>
  <c r="X53" i="57"/>
  <c r="AD53" i="57"/>
  <c r="AD54" i="57"/>
  <c r="B27" i="57"/>
  <c r="B53" i="57"/>
  <c r="B18" i="57"/>
  <c r="B17" i="57"/>
  <c r="T20" i="57"/>
  <c r="AB20" i="57"/>
  <c r="B20" i="57"/>
  <c r="T21" i="57"/>
  <c r="P33" i="57"/>
  <c r="D56" i="31"/>
  <c r="W33" i="57"/>
  <c r="X35" i="57"/>
  <c r="Y35" i="57"/>
  <c r="Z35" i="57"/>
  <c r="AD35" i="57"/>
  <c r="X34" i="57"/>
  <c r="Y34" i="57"/>
  <c r="Z34" i="57"/>
  <c r="AD34" i="57"/>
  <c r="Y31" i="57"/>
  <c r="AD31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P2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international marine bunkers, but excludes use for electric power generation and CHP
</t>
        </r>
      </text>
    </comment>
    <comment ref="L7" authorId="0" shapeId="0" xr:uid="{00000000-0006-0000-01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On domestic use only.</t>
        </r>
      </text>
    </comment>
    <comment ref="L19" authorId="0" shapeId="0" xr:uid="{00000000-0006-0000-01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Assessed on domestic use only.</t>
        </r>
      </text>
    </comment>
    <comment ref="L33" authorId="0" shapeId="0" xr:uid="{00000000-0006-0000-01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Applied to domestic fuel use only.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0A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Refiner Petroleum Product Sales by Sales Type. Sales for Resale, unless no data, then Sales to end users.</t>
        </r>
      </text>
    </comment>
    <comment ref="L3" authorId="0" shapeId="0" xr:uid="{00000000-0006-0000-0A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  <comment ref="H12" authorId="0" shapeId="0" xr:uid="{00000000-0006-0000-0A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 Maryland price.</t>
        </r>
      </text>
    </comment>
    <comment ref="H15" authorId="0" shapeId="0" xr:uid="{00000000-0006-0000-0A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Estimate, no data available.</t>
        </r>
      </text>
    </comment>
    <comment ref="H33" authorId="0" shapeId="0" xr:uid="{00000000-0006-0000-0A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 sme as Massachusetts.</t>
        </r>
      </text>
    </comment>
    <comment ref="H43" authorId="0" shapeId="0" xr:uid="{00000000-0006-0000-0A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 sme as Massachusetts.</t>
        </r>
      </text>
    </comment>
    <comment ref="H49" authorId="0" shapeId="0" xr:uid="{00000000-0006-0000-0A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 sme as Massachusetts.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J2" authorId="0" shapeId="0" xr:uid="{00000000-0006-0000-0B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K2" authorId="0" shapeId="0" xr:uid="{00000000-0006-0000-0B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M2" authorId="0" shapeId="0" xr:uid="{00000000-0006-0000-0B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C3" authorId="0" shapeId="0" xr:uid="{00000000-0006-0000-0B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J36" authorId="0" shapeId="0" xr:uid="{00000000-0006-0000-0B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Backcalculated from retail price and taxes</t>
        </r>
      </text>
    </comment>
    <comment ref="K36" authorId="0" shapeId="0" xr:uid="{00000000-0006-0000-0B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http://www.japantimes.co.jp/news/2014/11/29/business/economy-business/china-hikes-gasoline-diesel-consumption-tax-for-first-time-since-2009/#.WGwcSJJX_ys</t>
        </r>
      </text>
    </comment>
    <comment ref="B37" authorId="0" shapeId="0" xr:uid="{00000000-0006-0000-0B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http://www.financialexpress.com/economy/taxes-exceed-actual-cost-of-petrol/163469/</t>
        </r>
      </text>
    </comment>
    <comment ref="A40" authorId="0" shapeId="0" xr:uid="{00000000-0006-0000-0B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Data from World Bank http://data.worldbank.org/indicator/EP.PMP.DESL.CD  Data in red are current prices from other sources.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I1" authorId="0" shapeId="0" xr:uid="{00000000-0006-0000-0C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Industrial, Oil Company, Farm, Electric Power, Railroad, Vessel Bunkering, Military, Off-highway and other.</t>
        </r>
      </text>
    </comment>
    <comment ref="J2" authorId="0" shapeId="0" xr:uid="{00000000-0006-0000-0C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Refiner Petroleum Product Sales by Sales Type. Sales for Resale, unless no data, then Sales to end users.</t>
        </r>
      </text>
    </comment>
    <comment ref="N3" authorId="0" shapeId="0" xr:uid="{00000000-0006-0000-0C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" authorId="0" shapeId="0" xr:uid="{00000000-0006-0000-0D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Unleaded gasoline.  If tax differs by octane level, the lowest tax is used.</t>
        </r>
      </text>
    </comment>
    <comment ref="C3" authorId="0" shapeId="0" xr:uid="{00000000-0006-0000-0D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A5" authorId="0" shapeId="0" xr:uid="{00000000-0006-0000-0D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Tables.  EU Excise taxes are per tonne.</t>
        </r>
      </text>
    </comment>
    <comment ref="J13" authorId="0" shapeId="0" xr:uid="{00000000-0006-0000-0D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
</t>
        </r>
      </text>
    </comment>
    <comment ref="J21" authorId="0" shapeId="0" xr:uid="{00000000-0006-0000-0D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road service tax and CO2 tax.</t>
        </r>
      </text>
    </comment>
    <comment ref="I28" authorId="0" shapeId="0" xr:uid="{00000000-0006-0000-0D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Ontario average for July, 2015.</t>
        </r>
      </text>
    </comment>
    <comment ref="I34" authorId="0" shapeId="0" xr:uid="{00000000-0006-0000-0D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Assumed same as Australian price.</t>
        </r>
      </text>
    </comment>
    <comment ref="J36" authorId="0" shapeId="0" xr:uid="{00000000-0006-0000-0D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http://www.japantimes.co.jp/news/2014/11/29/business/economy-business/china-hikes-gasoline-diesel-consumption-tax-for-first-time-since-2009/#.WGwcSJJX_ys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0E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Table CT7: Transportation Sector Energy Consumption Estimates, 1960-2015</t>
        </r>
      </text>
    </comment>
    <comment ref="J2" authorId="0" shapeId="0" xr:uid="{00000000-0006-0000-0E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Refiner Petroleum Product Sales by Sales Type. Sales for Resale. No data available for individual states or PADDs, so US average used.</t>
        </r>
      </text>
    </comment>
    <comment ref="D3" authorId="0" shapeId="0" xr:uid="{00000000-0006-0000-0E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State Contact Information Point of Taxation, Tax Rates, etc., generated by taxadmin.org for 2015</t>
        </r>
      </text>
    </comment>
    <comment ref="N3" authorId="0" shapeId="0" xr:uid="{00000000-0006-0000-0E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" authorId="0" shapeId="0" xr:uid="{00000000-0006-0000-0F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Unleaded gasoline.  If tax differs by octane level, the lowest tax is used.</t>
        </r>
      </text>
    </comment>
    <comment ref="C3" authorId="0" shapeId="0" xr:uid="{00000000-0006-0000-0F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I3" authorId="0" shapeId="0" xr:uid="{00000000-0006-0000-0F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Assuming $0.50/gallon retailing margin.</t>
        </r>
      </text>
    </comment>
    <comment ref="A5" authorId="0" shapeId="0" xr:uid="{00000000-0006-0000-0F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taxesare per tonne.</t>
        </r>
      </text>
    </comment>
    <comment ref="J21" authorId="0" shapeId="0" xr:uid="{00000000-0006-0000-0F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road service tax and CO2 tax.</t>
        </r>
      </text>
    </comment>
    <comment ref="X42" authorId="0" shapeId="0" xr:uid="{00000000-0006-0000-0F00-000006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X43" authorId="0" shapeId="0" xr:uid="{00000000-0006-0000-0F00-000007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X44" authorId="0" shapeId="0" xr:uid="{00000000-0006-0000-0F00-000008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10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Table CT7: Transportation Sector Energy Consumption Estimates, 1960-2015</t>
        </r>
      </text>
    </comment>
    <comment ref="D3" authorId="0" shapeId="0" xr:uid="{00000000-0006-0000-10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State Contact Information Point of Taxation, Tax Rates, etc., generated by taxadmin.org for 2015</t>
        </r>
      </text>
    </comment>
    <comment ref="J3" authorId="0" shapeId="0" xr:uid="{00000000-0006-0000-10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Weekly Heating Oil and Propane Prices, average of six months for 2015 (Jan-Mar and Oct-Dec).  By PADD, except on West Coast, where US averages are used.</t>
        </r>
      </text>
    </comment>
    <comment ref="L3" authorId="0" shapeId="0" xr:uid="{00000000-0006-0000-10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3" authorId="0" shapeId="0" xr:uid="{00000000-0006-0000-11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I3" authorId="0" shapeId="0" xr:uid="{00000000-0006-0000-11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Assuming $0.50/gallon retailing margin.</t>
        </r>
      </text>
    </comment>
    <comment ref="A5" authorId="0" shapeId="0" xr:uid="{00000000-0006-0000-11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 are per tonne..  Category is "Industrial/Commercial Use".</t>
        </r>
      </text>
    </comment>
    <comment ref="J13" authorId="0" shapeId="0" xr:uid="{00000000-0006-0000-11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
</t>
        </r>
      </text>
    </comment>
    <comment ref="X42" authorId="0" shapeId="0" xr:uid="{00000000-0006-0000-1100-000005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X43" authorId="0" shapeId="0" xr:uid="{00000000-0006-0000-1100-000006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X44" authorId="0" shapeId="0" xr:uid="{00000000-0006-0000-1100-000007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12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Table CT7: Transportation Sector Energy Consumption Estimates, 1960-2015</t>
        </r>
      </text>
    </comment>
    <comment ref="D3" authorId="0" shapeId="0" xr:uid="{00000000-0006-0000-12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State Contact Information Point of Taxation, Tax Rates, etc., generated by taxadmin.org for 2015</t>
        </r>
      </text>
    </comment>
    <comment ref="J3" authorId="0" shapeId="0" xr:uid="{00000000-0006-0000-12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Weekly Heating Oil and Propane Prices, average of six months for 2015 (Jan-Mar and Oct-Dec).  By PADD, except on West Coast, where US averages are used.</t>
        </r>
      </text>
    </comment>
    <comment ref="L3" authorId="0" shapeId="0" xr:uid="{00000000-0006-0000-12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3" authorId="0" shapeId="0" xr:uid="{00000000-0006-0000-13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J3" authorId="0" shapeId="0" xr:uid="{00000000-0006-0000-13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Assuming $0.50/gallon retailing margin.</t>
        </r>
      </text>
    </comment>
    <comment ref="A5" authorId="0" shapeId="0" xr:uid="{00000000-0006-0000-13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 are per tonne..  Category is "Industrial/Commercial Use".</t>
        </r>
      </text>
    </comment>
    <comment ref="K13" authorId="0" shapeId="0" xr:uid="{00000000-0006-0000-13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
</t>
        </r>
      </text>
    </comment>
    <comment ref="Y42" authorId="0" shapeId="0" xr:uid="{00000000-0006-0000-1300-000005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Y43" authorId="0" shapeId="0" xr:uid="{00000000-0006-0000-1300-000006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  <comment ref="Y44" authorId="0" shapeId="0" xr:uid="{00000000-0006-0000-1300-000007000000}">
      <text>
        <r>
          <rPr>
            <b/>
            <sz val="9"/>
            <color indexed="81"/>
            <rFont val="Calibri"/>
            <family val="2"/>
          </rPr>
          <t xml:space="preserve">Bruce Everett:  Source:  </t>
        </r>
        <r>
          <rPr>
            <sz val="9"/>
            <color indexed="81"/>
            <rFont val="Calibri"/>
            <family val="2"/>
          </rPr>
          <t xml:space="preserve">
http://www.globalpetrolprices.com/lpg_prices/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6" authorId="0" shapeId="0" xr:uid="{00000000-0006-0000-02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https://www.transfermate.com/en/currency-converter-historic-exchange-rates.asp?usr_ctry=238</t>
        </r>
      </text>
    </comment>
    <comment ref="C95" authorId="0" shapeId="0" xr:uid="{00000000-0006-0000-02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IATA at http://www.iata.org/publications/economics/fuel-monitor/Pages/index.aspx</t>
        </r>
      </text>
    </comment>
    <comment ref="C97" authorId="0" shapeId="0" xr:uid="{00000000-0006-0000-02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Quandl at https://www.quandl.com/data/INSEE/298_001642883_M-International-prices-of-imported-raw-materials-Heavy-fuel-oil-Rotterdam-Prices-in-US-dollars-per-tonne-FOB-1-of-sulfur</t>
        </r>
      </text>
    </comment>
    <comment ref="B123" authorId="0" shapeId="0" xr:uid="{00000000-0006-0000-02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UN</t>
        </r>
      </text>
    </comment>
    <comment ref="C123" authorId="0" shapeId="0" xr:uid="{00000000-0006-0000-02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World Bank, 2015, current prices</t>
        </r>
      </text>
    </comment>
    <comment ref="C162" authorId="0" shapeId="0" xr:uid="{00000000-0006-0000-02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Countryeconomy.com.  No WB data for Libya.</t>
        </r>
      </text>
    </comment>
    <comment ref="C165" authorId="0" shapeId="0" xr:uid="{00000000-0006-0000-02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Countryeconomy.com.  No WB data for Venezuela.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14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Table CT7: Transportation Sector Energy Consumption Estimates, 1960-2015</t>
        </r>
      </text>
    </comment>
    <comment ref="D3" authorId="0" shapeId="0" xr:uid="{00000000-0006-0000-14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State Contact Information Point of Taxation, Tax Rates, etc., generated by taxadmin.org for 2015</t>
        </r>
      </text>
    </comment>
    <comment ref="J3" authorId="0" shapeId="0" xr:uid="{00000000-0006-0000-14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US Spot prices for propane, Mount Belvieu, Texas.</t>
        </r>
      </text>
    </comment>
    <comment ref="L3" authorId="0" shapeId="0" xr:uid="{00000000-0006-0000-14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G4" authorId="0" shapeId="0" xr:uid="{00000000-0006-0000-15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National Airlines Council of Canada at https://www.tc.gc.ca/eng/ctareview2014/pdf/National%20Airline%20Council%20of%20Canada.pdf</t>
        </r>
      </text>
    </comment>
    <comment ref="AJ5" authorId="0" shapeId="0" xr:uid="{00000000-0006-0000-15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Statistics Canada at http://www.statcan.gc.ca/pub/57-003-x/2017002/tablesectlist-listetableauxsect-eng.htm</t>
        </r>
      </text>
    </comment>
    <comment ref="I13" authorId="0" shapeId="0" xr:uid="{00000000-0006-0000-15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I28" authorId="0" shapeId="0" xr:uid="{00000000-0006-0000-15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See table to the right.  Applies on average to all intl and domestic fuel use.</t>
        </r>
      </text>
    </comment>
    <comment ref="Q28" authorId="0" shapeId="0" xr:uid="{00000000-0006-0000-15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Applies to intl and domestic fuel use.</t>
        </r>
      </text>
    </comment>
    <comment ref="I29" authorId="0" shapeId="0" xr:uid="{00000000-0006-0000-15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Applies to both domestic and intl.
</t>
        </r>
      </text>
    </comment>
    <comment ref="I36" authorId="0" shapeId="0" xr:uid="{00000000-0006-0000-15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 Fossil Fuel Support.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F2" authorId="0" shapeId="0" xr:uid="{00000000-0006-0000-16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Table CT7: Transportation Sector Energy Consumption Estimates, 1960-2015</t>
        </r>
      </text>
    </comment>
    <comment ref="D3" authorId="0" shapeId="0" xr:uid="{00000000-0006-0000-16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Source, Tax Foundation at https://taxfoundation.org/combined-effective-commercial-jet-fuel-tax-rates-and-fees-state/
2014 data, include excise and applicable sales taxes.</t>
        </r>
      </text>
    </comment>
    <comment ref="L3" authorId="0" shapeId="0" xr:uid="{00000000-0006-0000-16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EIA&lt; Prices, Sales Volumes and Stocks by State, kerosene-type jet fuel.  By state where available, other wise by PADD.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" authorId="0" shapeId="0" xr:uid="{00000000-0006-0000-17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Unleaded gasoline.  If tax differs by octane level, the lowest tax is used.</t>
        </r>
      </text>
    </comment>
    <comment ref="C3" authorId="0" shapeId="0" xr:uid="{00000000-0006-0000-17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H3" authorId="0" shapeId="0" xr:uid="{00000000-0006-0000-17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Assuming $0.50/gallon retailing margin.</t>
        </r>
      </text>
    </comment>
    <comment ref="H4" authorId="0" shapeId="0" xr:uid="{00000000-0006-0000-17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US kerosene wholesale/resale price by refiners.plus assumed margin.</t>
        </r>
      </text>
    </comment>
    <comment ref="A5" authorId="0" shapeId="0" xr:uid="{00000000-0006-0000-17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taxesare per tonne.</t>
        </r>
      </text>
    </comment>
    <comment ref="I13" authorId="0" shapeId="0" xr:uid="{00000000-0006-0000-17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G26" authorId="0" shapeId="0" xr:uid="{00000000-0006-0000-17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https://www.boilerjuice.com/kerosene-prices/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L3" authorId="0" shapeId="0" xr:uid="{00000000-0006-0000-18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" authorId="0" shapeId="0" xr:uid="{00000000-0006-0000-19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Unleaded gasoline.  If tax differs by octane level, the lowest tax is used.</t>
        </r>
      </text>
    </comment>
    <comment ref="C3" authorId="0" shapeId="0" xr:uid="{00000000-0006-0000-19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H3" authorId="0" shapeId="0" xr:uid="{00000000-0006-0000-19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Assuming $0.50/gallon retailing margin.</t>
        </r>
      </text>
    </comment>
    <comment ref="H4" authorId="0" shapeId="0" xr:uid="{00000000-0006-0000-19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US kerosene wholesale/resale price by refiners.plus assumed margin.</t>
        </r>
      </text>
    </comment>
    <comment ref="A5" authorId="0" shapeId="0" xr:uid="{00000000-0006-0000-19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taxesare per tonne.</t>
        </r>
      </text>
    </comment>
    <comment ref="I13" authorId="0" shapeId="0" xr:uid="{00000000-0006-0000-19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G26" authorId="0" shapeId="0" xr:uid="{00000000-0006-0000-19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https://www.boilerjuice.com/kerosene-prices/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3" authorId="0" shapeId="0" xr:uid="{00000000-0006-0000-1A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A5" authorId="0" shapeId="0" xr:uid="{00000000-0006-0000-1A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 are per tonne..  Category is "Industrial/Commercial Use".</t>
        </r>
      </text>
    </comment>
    <comment ref="J13" authorId="0" shapeId="0" xr:uid="{00000000-0006-0000-1A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E2" authorId="0" shapeId="0" xr:uid="{00000000-0006-0000-1B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Including heaqting plants and CHP
</t>
        </r>
      </text>
    </comment>
    <comment ref="C3" authorId="0" shapeId="0" xr:uid="{00000000-0006-0000-1B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J4" authorId="0" shapeId="0" xr:uid="{00000000-0006-0000-1B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Refiner Petroleum Product Prices by Sales Type </t>
        </r>
      </text>
    </comment>
    <comment ref="A5" authorId="0" shapeId="0" xr:uid="{00000000-0006-0000-1B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 are per tonne..  Category is "Industrial/Commercial Use".</t>
        </r>
      </text>
    </comment>
    <comment ref="K13" authorId="0" shapeId="0" xr:uid="{00000000-0006-0000-1B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K21" authorId="0" shapeId="0" xr:uid="{00000000-0006-0000-1B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K25" authorId="0" shapeId="0" xr:uid="{00000000-0006-0000-1B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CO2 tax.</t>
        </r>
      </text>
    </comment>
    <comment ref="B28" authorId="0" shapeId="0" xr:uid="{00000000-0006-0000-1B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High sulfur fuel oil.</t>
        </r>
      </text>
    </comment>
    <comment ref="K29" authorId="0" shapeId="0" xr:uid="{00000000-0006-0000-1B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basic tax, CO2 tax and sulfur tax at 1%.</t>
        </r>
      </text>
    </comment>
    <comment ref="L37" authorId="0" shapeId="0" xr:uid="{00000000-0006-0000-1B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Fuel oil Central Excise Duty and Tariff. At http://www.eximguru.com/excise-duty/27101950-fuel-oil.aspx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5" authorId="0" shapeId="0" xr:uid="{00000000-0006-0000-1C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European Commission, Excise Duty Tables, EU excise taxes are per tonne..  Category is "Industrial/Commercial Use".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K29" authorId="0" shapeId="0" xr:uid="{00000000-0006-0000-1D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National average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" authorId="0" shapeId="0" xr:uid="{00000000-0006-0000-03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Unleaded gasoline.  If tax differs by octane level, the lowest tax is used.</t>
        </r>
      </text>
    </comment>
    <comment ref="C3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A5" authorId="0" shapeId="0" xr:uid="{00000000-0006-0000-03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Euros per liter.
95 RON premium.</t>
        </r>
      </text>
    </comment>
    <comment ref="I14" authorId="0" shapeId="0" xr:uid="{00000000-0006-0000-03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Does not include a CO2 charge of 45.87 Euros per 1,000 liters.</t>
        </r>
      </text>
    </comment>
    <comment ref="B31" authorId="0" shapeId="0" xr:uid="{00000000-0006-0000-03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91 RON</t>
        </r>
      </text>
    </comment>
    <comment ref="B34" authorId="0" shapeId="0" xr:uid="{00000000-0006-0000-03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96 RON
</t>
        </r>
      </text>
    </comment>
    <comment ref="H36" authorId="0" shapeId="0" xr:uid="{00000000-0006-0000-03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Backcalculated from retail price and taxes.</t>
        </r>
      </text>
    </comment>
    <comment ref="I36" authorId="0" shapeId="0" xr:uid="{00000000-0006-0000-03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https://www.out-law.com/en/articles/2015/january/china-announces-consumption-tax-increase-on-oil-products-/</t>
        </r>
      </text>
    </comment>
    <comment ref="B37" authorId="0" shapeId="0" xr:uid="{00000000-0006-0000-03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http://www.financialexpress.com/economy/taxes-exceed-actual-cost-of-petrol/163469/</t>
        </r>
      </text>
    </comment>
    <comment ref="I38" authorId="0" shapeId="0" xr:uid="{00000000-0006-0000-03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Excise tax plus PIS/COFINS, which was reduced per the subisdiy in Cell T38
</t>
        </r>
      </text>
    </comment>
    <comment ref="A40" authorId="0" shapeId="0" xr:uid="{00000000-0006-0000-03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World Bank data for 2014
</t>
        </r>
      </text>
    </comment>
    <comment ref="W40" authorId="0" shapeId="0" xr:uid="{00000000-0006-0000-03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Sources:  Kshitij Consultants at http://www.kshitij.com/research/petrol.shtml  and Refiner Link at http://www.refinerlink.com/blog/Diesel_Petrol_Price_Comparison_25_Countries/http://www.refinerlink.com/blog/Diesel_Petrol_Price_Comparison_25_Countries/
Numbers in blue are 2014 from World Bank.</t>
        </r>
      </text>
    </comment>
    <comment ref="G41" authorId="0" shapeId="0" xr:uid="{00000000-0006-0000-03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92 RON regular</t>
        </r>
      </text>
    </comment>
    <comment ref="W61" authorId="0" shapeId="0" xr:uid="{00000000-0006-0000-03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previous data.  Price as of December, 2017 from http://www.globalpetrolprices.com/gasoline_prices/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2" authorId="0" shapeId="0" xr:uid="{00000000-0006-0000-1E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US Census Bureau at https://factfinder.census.gov/faces/tableservices/jsf/pages/productview.xhtml?src=bkmk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E3" authorId="0" shapeId="0" xr:uid="{00000000-0006-0000-1F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Coking Coal and Other Bitunimous Coal.</t>
        </r>
      </text>
    </comment>
    <comment ref="J3" authorId="0" shapeId="0" xr:uid="{00000000-0006-0000-1F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Coking Coal and Other Bitunimous Coal.</t>
        </r>
      </text>
    </comment>
    <comment ref="AK4" authorId="0" shapeId="0" xr:uid="{00000000-0006-0000-1F00-000003000000}">
      <text>
        <r>
          <rPr>
            <b/>
            <sz val="9"/>
            <color indexed="81"/>
            <rFont val="Calibri"/>
            <family val="2"/>
          </rPr>
          <t xml:space="preserve">Bruce Everett: 2014 data </t>
        </r>
        <r>
          <rPr>
            <sz val="9"/>
            <color indexed="81"/>
            <rFont val="Calibri"/>
            <family val="2"/>
          </rPr>
          <t xml:space="preserve">
Source:  Lawrence Livermore Lab at https://eta.lbl.gov/sites/default/files/publications/ced-9-2017-final.pdf</t>
        </r>
      </text>
    </comment>
    <comment ref="T9" authorId="0" shapeId="0" xr:uid="{00000000-0006-0000-1F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4 euros freight
</t>
        </r>
      </text>
    </comment>
    <comment ref="E10" authorId="0" shapeId="0" xr:uid="{00000000-0006-0000-1F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oil shale burned directly.</t>
        </r>
      </text>
    </comment>
    <comment ref="J10" authorId="0" shapeId="0" xr:uid="{00000000-0006-0000-1F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oil shale burned directly.</t>
        </r>
      </text>
    </comment>
    <comment ref="L14" authorId="0" shapeId="0" xr:uid="{00000000-0006-0000-1F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peat.</t>
        </r>
      </text>
    </comment>
    <comment ref="L24" authorId="0" shapeId="0" xr:uid="{00000000-0006-0000-1F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peat
</t>
        </r>
      </text>
    </comment>
    <comment ref="AC29" authorId="0" shapeId="0" xr:uid="{00000000-0006-0000-1F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See calculation below.</t>
        </r>
      </text>
    </comment>
    <comment ref="W30" authorId="0" shapeId="0" xr:uid="{00000000-0006-0000-1F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See calculation below.</t>
        </r>
      </text>
    </comment>
    <comment ref="V31" authorId="0" shapeId="0" xr:uid="{00000000-0006-0000-1F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700 yen per tonne, assuming 27 GJ per tonne.</t>
        </r>
      </text>
    </comment>
    <comment ref="V32" authorId="0" shapeId="0" xr:uid="{00000000-0006-0000-1F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27,000 won per tonne assuming 27 GJ per tonne.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8" authorId="0" shapeId="0" xr:uid="{00000000-0006-0000-20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Los Angeles.</t>
        </r>
      </text>
    </comment>
    <comment ref="B13" authorId="0" shapeId="0" xr:uid="{00000000-0006-0000-20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Miami</t>
        </r>
      </text>
    </comment>
    <comment ref="B14" authorId="0" shapeId="0" xr:uid="{00000000-0006-0000-20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Atlanta</t>
        </r>
      </text>
    </comment>
    <comment ref="B17" authorId="0" shapeId="0" xr:uid="{00000000-0006-0000-20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Chicago</t>
        </r>
      </text>
    </comment>
    <comment ref="B18" authorId="0" shapeId="0" xr:uid="{00000000-0006-0000-20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Chicago</t>
        </r>
      </text>
    </comment>
    <comment ref="B36" authorId="0" shapeId="0" xr:uid="{00000000-0006-0000-20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New York</t>
        </r>
      </text>
    </comment>
    <comment ref="B37" authorId="0" shapeId="0" xr:uid="{00000000-0006-0000-20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Charlotte</t>
        </r>
      </text>
    </comment>
    <comment ref="B39" authorId="0" shapeId="0" xr:uid="{00000000-0006-0000-20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Cleveland</t>
        </r>
      </text>
    </comment>
    <comment ref="B42" authorId="0" shapeId="0" xr:uid="{00000000-0006-0000-20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Philadelphia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5" authorId="0" shapeId="0" xr:uid="{00000000-0006-0000-2100-000001000000}">
      <text>
        <r>
          <rPr>
            <b/>
            <sz val="9"/>
            <color indexed="81"/>
            <rFont val="Calibri"/>
            <family val="2"/>
          </rPr>
          <t xml:space="preserve">Bruce Everett:
For EU Euros per kWh
</t>
        </r>
        <r>
          <rPr>
            <sz val="9"/>
            <color indexed="81"/>
            <rFont val="Calibri"/>
            <family val="2"/>
          </rPr>
          <t xml:space="preserve">
Source:  http://ec.europa.eu/eurostat/statistics-explained/index.php/Natural_gas_price_statistics#Natural_gas_prices_for_household_consumers
</t>
        </r>
      </text>
    </comment>
    <comment ref="J13" authorId="0" shapeId="0" xr:uid="{00000000-0006-0000-21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 per gge
</t>
        </r>
      </text>
    </comment>
    <comment ref="H15" authorId="0" shapeId="0" xr:uid="{00000000-0006-0000-21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
</t>
        </r>
      </text>
    </comment>
    <comment ref="H24" authorId="0" shapeId="0" xr:uid="{00000000-0006-0000-21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Assumed equal; to Denmark
</t>
        </r>
      </text>
    </comment>
    <comment ref="J25" authorId="0" shapeId="0" xr:uid="{00000000-0006-0000-21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 per gge
</t>
        </r>
      </text>
    </comment>
    <comment ref="H28" authorId="0" shapeId="0" xr:uid="{00000000-0006-0000-21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OECD in LC per MWh
</t>
        </r>
      </text>
    </comment>
    <comment ref="H31" authorId="0" shapeId="0" xr:uid="{00000000-0006-0000-21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 per MWh
</t>
        </r>
      </text>
    </comment>
    <comment ref="H34" authorId="0" shapeId="0" xr:uid="{00000000-0006-0000-21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LC/MWh</t>
        </r>
      </text>
    </comment>
    <comment ref="H36" authorId="0" shapeId="0" xr:uid="{00000000-0006-0000-21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Per gge, Source:  https://www.sciencedirect.com/science/article/pii/S2352854015000716</t>
        </r>
      </text>
    </comment>
    <comment ref="A40" authorId="0" shapeId="0" xr:uid="{00000000-0006-0000-21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IGU, Wholesale Gas price Survey Report 2015 (includes prices for 2014).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5" authorId="0" shapeId="0" xr:uid="{00000000-0006-0000-2200-000001000000}">
      <text>
        <r>
          <rPr>
            <b/>
            <sz val="9"/>
            <color indexed="81"/>
            <rFont val="Calibri"/>
            <family val="2"/>
          </rPr>
          <t xml:space="preserve">Bruce Everett:
For EU Euros per kWh
</t>
        </r>
        <r>
          <rPr>
            <sz val="9"/>
            <color indexed="81"/>
            <rFont val="Calibri"/>
            <family val="2"/>
          </rPr>
          <t xml:space="preserve">
Source:  http://ec.europa.eu/eurostat/statistics-explained/index.php/Natural_gas_price_statistics#Natural_gas_prices_for_household_consumers
</t>
        </r>
      </text>
    </comment>
    <comment ref="H15" authorId="0" shapeId="0" xr:uid="{00000000-0006-0000-22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
</t>
        </r>
      </text>
    </comment>
    <comment ref="H24" authorId="0" shapeId="0" xr:uid="{00000000-0006-0000-22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Assumed equal; to Denmark
</t>
        </r>
      </text>
    </comment>
    <comment ref="H28" authorId="0" shapeId="0" xr:uid="{00000000-0006-0000-22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OECD in LC per MWh
</t>
        </r>
      </text>
    </comment>
    <comment ref="J29" authorId="0" shapeId="0" xr:uid="{00000000-0006-0000-22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CO2 tax per gge.  See calculation below</t>
        </r>
      </text>
    </comment>
    <comment ref="H31" authorId="0" shapeId="0" xr:uid="{00000000-0006-0000-22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 per MWh
</t>
        </r>
      </text>
    </comment>
    <comment ref="I32" authorId="0" shapeId="0" xr:uid="{00000000-0006-0000-22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Assumed to be same as Japan.</t>
        </r>
      </text>
    </comment>
    <comment ref="H33" authorId="0" shapeId="0" xr:uid="{00000000-0006-0000-22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AUS cents per MJ</t>
        </r>
      </text>
    </comment>
    <comment ref="H34" authorId="0" shapeId="0" xr:uid="{00000000-0006-0000-22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LC/MWh</t>
        </r>
      </text>
    </comment>
    <comment ref="H36" authorId="0" shapeId="0" xr:uid="{00000000-0006-0000-22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Per gge, Source:  https://www.sciencedirect.com/science/article/pii/S2352854015000716</t>
        </r>
      </text>
    </comment>
    <comment ref="I37" authorId="0" shapeId="0" xr:uid="{00000000-0006-0000-22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https://energy.economictimes.indiatimes.com/news/oil-and-gas/india-raises-natural-gas-prices-by-16-per-cent-first-hike-in-3-years/60883852</t>
        </r>
      </text>
    </comment>
    <comment ref="A40" authorId="0" shapeId="0" xr:uid="{00000000-0006-0000-22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IGU, Wholesale Gas price Survey Report 2015 (includes prices for 2014).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D6" authorId="0" shapeId="0" xr:uid="{00000000-0006-0000-23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all taxes applicable in Phoenix.  Source:  https://www.swgas.com/1409184757502/Tax-Adjustment-No.-125--Website-.pdf</t>
        </r>
      </text>
    </comment>
    <comment ref="E8" authorId="0" shapeId="0" xr:uid="{00000000-0006-0000-23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regulatory fee and CARE Public Purpose Surcharge
</t>
        </r>
      </text>
    </comment>
    <comment ref="D9" authorId="0" shapeId="0" xr:uid="{00000000-0006-0000-23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3% franchise fee
</t>
        </r>
      </text>
    </comment>
    <comment ref="D12" authorId="0" shapeId="0" xr:uid="{00000000-0006-0000-23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items listed on bill as "taxes" including DC Rights of Way Fee, Sustainable Energy Trust Fund, Energy Assistance Trust Fund and Delivery Tax.</t>
        </r>
      </text>
    </comment>
    <comment ref="D15" authorId="0" shapeId="0" xr:uid="{00000000-0006-0000-23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General Excise Tax (GET)</t>
        </r>
      </text>
    </comment>
    <comment ref="D16" authorId="0" shapeId="0" xr:uid="{00000000-0006-0000-23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Municipal Franchise Fee
</t>
        </r>
      </text>
    </comment>
    <comment ref="D17" authorId="0" shapeId="0" xr:uid="{00000000-0006-0000-23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of 0.1% and Chicago Municipal Tax of 8.24%.</t>
        </r>
      </text>
    </comment>
    <comment ref="E17" authorId="0" shapeId="0" xr:uid="{00000000-0006-0000-23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Gas Revenue Tax of $0.024 per therm.</t>
        </r>
      </text>
    </comment>
    <comment ref="D18" authorId="0" shapeId="0" xr:uid="{00000000-0006-0000-23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state utility tax.</t>
        </r>
      </text>
    </comment>
    <comment ref="D19" authorId="0" shapeId="0" xr:uid="{00000000-0006-0000-23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Des Moines City franchise fee.</t>
        </r>
      </text>
    </comment>
    <comment ref="D20" authorId="0" shapeId="0" xr:uid="{00000000-0006-0000-23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1% County Sales Tax for Wichita and 6% Municipal Franchise fee.</t>
        </r>
      </text>
    </comment>
    <comment ref="D22" authorId="0" shapeId="0" xr:uid="{00000000-0006-0000-23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Street use franchise fee.</t>
        </r>
      </text>
    </comment>
    <comment ref="E24" authorId="0" shapeId="0" xr:uid="{00000000-0006-0000-23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tax per gge.</t>
        </r>
      </text>
    </comment>
    <comment ref="D27" authorId="0" shapeId="0" xr:uid="{00000000-0006-0000-23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4.5% Minneapolis City Franchise Fee.  Sales tax is exempt for months of November-April, which account for 85% of annual natural gas demand.  15% of the sales tax is therefore applied.</t>
        </r>
      </text>
    </comment>
    <comment ref="D35" authorId="0" shapeId="0" xr:uid="{00000000-0006-0000-23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2% Franchise Fee plus 7% Gross Receipts Tax.</t>
        </r>
      </text>
    </comment>
    <comment ref="D36" authorId="0" shapeId="0" xr:uid="{00000000-0006-0000-23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5% NY State and Local Surcharge and 4.5% State Sales Tax.</t>
        </r>
      </text>
    </comment>
    <comment ref="D37" authorId="0" shapeId="0" xr:uid="{00000000-0006-0000-2300-00001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specific to natural gas.</t>
        </r>
      </text>
    </comment>
    <comment ref="D40" authorId="0" shapeId="0" xr:uid="{00000000-0006-0000-2300-00001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Oklahoma City Franchise Fee.</t>
        </r>
      </text>
    </comment>
    <comment ref="D48" authorId="0" shapeId="0" xr:uid="{00000000-0006-0000-2300-00001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For Salt Lake City, includes sales tax of 4.15% plus Municipal Franchise Tax of 6%.</t>
        </r>
      </text>
    </comment>
    <comment ref="D49" authorId="0" shapeId="0" xr:uid="{00000000-0006-0000-2300-00001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receipts tax</t>
        </r>
      </text>
    </comment>
    <comment ref="D50" authorId="0" shapeId="0" xr:uid="{00000000-0006-0000-2300-00001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Utility tax of $3/month
</t>
        </r>
      </text>
    </comment>
    <comment ref="D52" authorId="0" shapeId="0" xr:uid="{00000000-0006-0000-2300-00001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Local surcharge for Charleston of 3.236% plus excise tax of 2%.</t>
        </r>
      </text>
    </comment>
    <comment ref="D53" authorId="0" shapeId="0" xr:uid="{00000000-0006-0000-2300-00001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Residential natural gas is exempt from sales and use tax from November through April, equal to approximately 85% of residential consumption.  Also subject to 0.97% Utility tax.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5" authorId="0" shapeId="0" xr:uid="{00000000-0006-0000-2400-000001000000}">
      <text>
        <r>
          <rPr>
            <b/>
            <sz val="9"/>
            <color indexed="81"/>
            <rFont val="Calibri"/>
            <family val="2"/>
          </rPr>
          <t xml:space="preserve">Bruce Everett:
For EU Euros per kWh
</t>
        </r>
        <r>
          <rPr>
            <sz val="9"/>
            <color indexed="81"/>
            <rFont val="Calibri"/>
            <family val="2"/>
          </rPr>
          <t xml:space="preserve">
Source:  http://ec.europa.eu/eurostat/statistics-explained/index.php/Natural_gas_price_statistics#Natural_gas_prices_for_household_consumers
</t>
        </r>
      </text>
    </comment>
    <comment ref="H15" authorId="0" shapeId="0" xr:uid="{00000000-0006-0000-24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
</t>
        </r>
      </text>
    </comment>
    <comment ref="H24" authorId="0" shapeId="0" xr:uid="{00000000-0006-0000-24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Assumed equal; to Denmark
</t>
        </r>
      </text>
    </comment>
    <comment ref="H28" authorId="0" shapeId="0" xr:uid="{00000000-0006-0000-24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OECD in LC per MWh
</t>
        </r>
      </text>
    </comment>
    <comment ref="J29" authorId="0" shapeId="0" xr:uid="{00000000-0006-0000-24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CO2 tax per gge.  See calculation below.</t>
        </r>
      </text>
    </comment>
    <comment ref="H31" authorId="0" shapeId="0" xr:uid="{00000000-0006-0000-24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 per MWh
</t>
        </r>
      </text>
    </comment>
    <comment ref="I32" authorId="0" shapeId="0" xr:uid="{00000000-0006-0000-24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data.  Assumed to be same as Japan.</t>
        </r>
      </text>
    </comment>
    <comment ref="H33" authorId="0" shapeId="0" xr:uid="{00000000-0006-0000-24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AUS cents per MJ</t>
        </r>
      </text>
    </comment>
    <comment ref="H34" authorId="0" shapeId="0" xr:uid="{00000000-0006-0000-24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OECD, LC/MWh</t>
        </r>
      </text>
    </comment>
    <comment ref="H36" authorId="0" shapeId="0" xr:uid="{00000000-0006-0000-24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Per gge, Source:  https://www.sciencedirect.com/science/article/pii/S2352854015000716</t>
        </r>
      </text>
    </comment>
    <comment ref="I37" authorId="0" shapeId="0" xr:uid="{00000000-0006-0000-24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https://energy.economictimes.indiatimes.com/news/oil-and-gas/india-raises-natural-gas-prices-by-16-per-cent-first-hike-in-3-years/60883852</t>
        </r>
      </text>
    </comment>
    <comment ref="A40" authorId="0" shapeId="0" xr:uid="{00000000-0006-0000-24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IGU, Wholesale Gas price Survey Report 2015 (includes prices for 2014).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6" authorId="0" shapeId="0" xr:uid="{00000000-0006-0000-25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all taxes applicable in Phoenix.  Source:  https://www.swgas.com/1409184757502/Tax-Adjustment-No.-125--Website-.pdf</t>
        </r>
      </text>
    </comment>
    <comment ref="D8" authorId="0" shapeId="0" xr:uid="{00000000-0006-0000-25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Non-CARE surcharge for Pacific Gas and Electric 2015 per gge
</t>
        </r>
      </text>
    </comment>
    <comment ref="C15" authorId="0" shapeId="0" xr:uid="{00000000-0006-0000-25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General Excise Tax (GET)</t>
        </r>
      </text>
    </comment>
    <comment ref="C16" authorId="0" shapeId="0" xr:uid="{00000000-0006-0000-25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Municipal Franchise Fee
</t>
        </r>
      </text>
    </comment>
    <comment ref="C17" authorId="0" shapeId="0" xr:uid="{00000000-0006-0000-25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of 0.1% and Chicago Municipal Tax of 8.24%.</t>
        </r>
      </text>
    </comment>
    <comment ref="D17" authorId="0" shapeId="0" xr:uid="{00000000-0006-0000-25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Gas Revenue Tax of $0.024 per therm.</t>
        </r>
      </text>
    </comment>
    <comment ref="C18" authorId="0" shapeId="0" xr:uid="{00000000-0006-0000-25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state utility tax.</t>
        </r>
      </text>
    </comment>
    <comment ref="C19" authorId="0" shapeId="0" xr:uid="{00000000-0006-0000-25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Des Moines City franchise fee.</t>
        </r>
      </text>
    </comment>
    <comment ref="C20" authorId="0" shapeId="0" xr:uid="{00000000-0006-0000-25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1% County Sales Tax for Wichita and 6% Municipal Franchise fee.</t>
        </r>
      </text>
    </comment>
    <comment ref="C22" authorId="0" shapeId="0" xr:uid="{00000000-0006-0000-25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Street use franchise fee.</t>
        </r>
      </text>
    </comment>
    <comment ref="D24" authorId="0" shapeId="0" xr:uid="{00000000-0006-0000-25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tax per gge.</t>
        </r>
      </text>
    </comment>
    <comment ref="C35" authorId="0" shapeId="0" xr:uid="{00000000-0006-0000-25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2% Franchise Fee plus 7% Gross Receipts Tax.</t>
        </r>
      </text>
    </comment>
    <comment ref="C36" authorId="0" shapeId="0" xr:uid="{00000000-0006-0000-25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5% NY State and Local Surcharge and 4.5% State Sales Tax.</t>
        </r>
      </text>
    </comment>
    <comment ref="C37" authorId="0" shapeId="0" xr:uid="{00000000-0006-0000-25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specific to natural gas.</t>
        </r>
      </text>
    </comment>
    <comment ref="C40" authorId="0" shapeId="0" xr:uid="{00000000-0006-0000-25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Oklahoma City Franchise Fee.</t>
        </r>
      </text>
    </comment>
    <comment ref="C48" authorId="0" shapeId="0" xr:uid="{00000000-0006-0000-25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For Salt Lake City, includes sales tax of 4.15% plus Municipal Franchise Tax of 6%.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5" authorId="0" shapeId="0" xr:uid="{00000000-0006-0000-2600-000001000000}">
      <text>
        <r>
          <rPr>
            <b/>
            <sz val="9"/>
            <color indexed="81"/>
            <rFont val="Calibri"/>
            <family val="2"/>
          </rPr>
          <t xml:space="preserve">Bruce Everett:
For EU Euros per kWh
</t>
        </r>
        <r>
          <rPr>
            <sz val="9"/>
            <color indexed="81"/>
            <rFont val="Calibri"/>
            <family val="2"/>
          </rPr>
          <t xml:space="preserve">
Source:  http://ec.europa.eu/eurostat/statistics-explained/index.php/Natural_gas_price_statistics#Natural_gas_prices_for_household_consumers
</t>
        </r>
      </text>
    </comment>
    <comment ref="O29" authorId="0" shapeId="0" xr:uid="{00000000-0006-0000-26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CO2 tax per gge
</t>
        </r>
      </text>
    </comment>
    <comment ref="M31" authorId="0" shapeId="0" xr:uid="{00000000-0006-0000-26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2014</t>
        </r>
      </text>
    </comment>
    <comment ref="N36" authorId="0" shapeId="0" xr:uid="{00000000-0006-0000-26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Natural Gas Pricing Reform in China:  Getting Closer to a Market System?  Sergey Paltsev and Danwei Zhang, MIT, 2015.</t>
        </r>
      </text>
    </comment>
    <comment ref="X36" authorId="0" shapeId="0" xr:uid="{00000000-0006-0000-26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5$ tax on sales of natural gas is assumed to be equivalent to VAT and not specific to the product.</t>
        </r>
      </text>
    </comment>
    <comment ref="O38" authorId="0" shapeId="0" xr:uid="{00000000-0006-0000-26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 of PIS/COFINS.</t>
        </r>
      </text>
    </comment>
    <comment ref="N39" authorId="0" shapeId="0" xr:uid="{00000000-0006-0000-26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http://www.eegas.com/US-RUS_end-use_price.htm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6" authorId="0" shapeId="0" xr:uid="{00000000-0006-0000-27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all taxes applicable in Phoenix.  Source:  https://www.swgas.com/1409184757502/Tax-Adjustment-No.-125--Website-.pdf</t>
        </r>
      </text>
    </comment>
    <comment ref="D8" authorId="0" shapeId="0" xr:uid="{00000000-0006-0000-27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Non-CARE surcharge for Pacific Gas and Electric 2015 per gge
</t>
        </r>
      </text>
    </comment>
    <comment ref="C15" authorId="0" shapeId="0" xr:uid="{00000000-0006-0000-27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General Excise Tax (GET)</t>
        </r>
      </text>
    </comment>
    <comment ref="C16" authorId="0" shapeId="0" xr:uid="{00000000-0006-0000-27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Municipal Franchise Fee
</t>
        </r>
      </text>
    </comment>
    <comment ref="C17" authorId="0" shapeId="0" xr:uid="{00000000-0006-0000-27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of 0.1% and Chicago Municipal Tax of 8.24%.</t>
        </r>
      </text>
    </comment>
    <comment ref="D17" authorId="0" shapeId="0" xr:uid="{00000000-0006-0000-27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Gas Revenue Tax of $0.024 per therm.</t>
        </r>
      </text>
    </comment>
    <comment ref="C18" authorId="0" shapeId="0" xr:uid="{00000000-0006-0000-27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state utility tax.</t>
        </r>
      </text>
    </comment>
    <comment ref="C19" authorId="0" shapeId="0" xr:uid="{00000000-0006-0000-27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Des Moines City franchise fee.</t>
        </r>
      </text>
    </comment>
    <comment ref="C20" authorId="0" shapeId="0" xr:uid="{00000000-0006-0000-27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1% County Sales Tax for Wichita and 6% Municipal Franchise fee.</t>
        </r>
      </text>
    </comment>
    <comment ref="C22" authorId="0" shapeId="0" xr:uid="{00000000-0006-0000-27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Street use franchise fee.</t>
        </r>
      </text>
    </comment>
    <comment ref="D24" authorId="0" shapeId="0" xr:uid="{00000000-0006-0000-27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tax per gge.</t>
        </r>
      </text>
    </comment>
    <comment ref="C35" authorId="0" shapeId="0" xr:uid="{00000000-0006-0000-27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2% Franchise Fee plus 7% Gross Receipts Tax.</t>
        </r>
      </text>
    </comment>
    <comment ref="C36" authorId="0" shapeId="0" xr:uid="{00000000-0006-0000-27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5% NY State and Local Surcharge and 4.5% State Sales Tax.</t>
        </r>
      </text>
    </comment>
    <comment ref="C37" authorId="0" shapeId="0" xr:uid="{00000000-0006-0000-27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specific to natural gas.</t>
        </r>
      </text>
    </comment>
    <comment ref="C40" authorId="0" shapeId="0" xr:uid="{00000000-0006-0000-27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Oklahoma City Franchise Fee.</t>
        </r>
      </text>
    </comment>
    <comment ref="C48" authorId="0" shapeId="0" xr:uid="{00000000-0006-0000-27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For Salt Lake City, includes sales tax of 4.15% plus Municipal Franchise Tax of 6%.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D3" authorId="0" shapeId="0" xr:uid="{00000000-0006-0000-04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Tax Foundation at http://taxfoundation.org/article/state-and-local-sales-tax-rates-</t>
        </r>
      </text>
    </comment>
    <comment ref="O3" authorId="0" shapeId="0" xr:uid="{00000000-0006-0000-04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From EIA "Weekly Retail Gasoline and Diesel Prices.  By state where available.  Otherwise by PADD average.</t>
        </r>
      </text>
    </comment>
    <comment ref="Q3" authorId="0" shapeId="0" xr:uid="{00000000-0006-0000-04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E28" authorId="0" shapeId="0" xr:uid="{00000000-0006-0000-28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Toronto</t>
        </r>
      </text>
    </comment>
    <comment ref="N34" authorId="0" shapeId="0" xr:uid="{00000000-0006-0000-28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2104 data</t>
        </r>
      </text>
    </comment>
    <comment ref="A35" authorId="0" shapeId="0" xr:uid="{00000000-0006-0000-28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40" authorId="0" shapeId="0" xr:uid="{00000000-0006-0000-28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E65" authorId="0" shapeId="0" xr:uid="{00000000-0006-0000-28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WB data sows $9.378 per kWh, clearly anomalous.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D5" authorId="0" shapeId="0" xr:uid="{00000000-0006-0000-29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Regulatory cost charges (RCC)
</t>
        </r>
      </text>
    </comment>
    <comment ref="D6" authorId="0" shapeId="0" xr:uid="{00000000-0006-0000-29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all state, county and city taxes and city franchise fee for Phoenix.</t>
        </r>
      </text>
    </comment>
    <comment ref="D7" authorId="0" shapeId="0" xr:uid="{00000000-0006-0000-29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sales taxes and franchise fee.</t>
        </r>
      </text>
    </comment>
    <comment ref="D8" authorId="0" shapeId="0" xr:uid="{00000000-0006-0000-29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of 2% plus Utility Users Tax of 10% for Los Angeles.</t>
        </r>
      </text>
    </comment>
    <comment ref="D9" authorId="0" shapeId="0" xr:uid="{00000000-0006-0000-29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3% Denver franchise fee.</t>
        </r>
      </text>
    </comment>
    <comment ref="D10" authorId="0" shapeId="0" xr:uid="{00000000-0006-0000-29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Earnings Tax.</t>
        </r>
      </text>
    </comment>
    <comment ref="D12" authorId="0" shapeId="0" xr:uid="{00000000-0006-0000-29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Delivery tax</t>
        </r>
      </text>
    </comment>
    <comment ref="D13" authorId="0" shapeId="0" xr:uid="{00000000-0006-0000-29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For Jacksonville, includes City Contribution, Public Service Tax, City Franchise Fee and State Gross receipts Tax.</t>
        </r>
      </text>
    </comment>
    <comment ref="D14" authorId="0" shapeId="0" xr:uid="{00000000-0006-0000-29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Franchise Fee.</t>
        </r>
      </text>
    </comment>
    <comment ref="D16" authorId="0" shapeId="0" xr:uid="{00000000-0006-0000-29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Boise Franchise Fee</t>
        </r>
      </text>
    </comment>
    <comment ref="D17" authorId="0" shapeId="0" xr:uid="{00000000-0006-0000-29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 for Chicago of Francise Fee (2.363% on delivery charge only), State Tax ($0.003/kWh) and Municipal Tax ($0.003/kWh) based on average annual consumption of 8500 kWh per household.</t>
        </r>
      </text>
    </comment>
    <comment ref="D20" authorId="0" shapeId="0" xr:uid="{00000000-0006-0000-29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Fee of 5% and Sales tax of 1%.</t>
        </r>
      </text>
    </comment>
    <comment ref="D22" authorId="0" shapeId="0" xr:uid="{00000000-0006-0000-29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New Orleans Municipal Franchise Fee</t>
        </r>
      </text>
    </comment>
    <comment ref="D23" authorId="0" shapeId="0" xr:uid="{00000000-0006-0000-29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of the first 750 kWh of electricity per month to residential consumers are exempt from sales tax.  This would cover most consumers.</t>
        </r>
      </text>
    </comment>
    <comment ref="D24" authorId="0" shapeId="0" xr:uid="{00000000-0006-0000-29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tax for Baltimore</t>
        </r>
      </text>
    </comment>
    <comment ref="D26" authorId="0" shapeId="0" xr:uid="{00000000-0006-0000-29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Michigan sales tax rate for residential electricity.</t>
        </r>
      </text>
    </comment>
    <comment ref="D27" authorId="0" shapeId="0" xr:uid="{00000000-0006-0000-2900-00001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Residential electricity is exempt from sales tax for the months November-April, comprising about 53% of average annual use.</t>
        </r>
      </text>
    </comment>
    <comment ref="D30" authorId="0" shapeId="0" xr:uid="{00000000-0006-0000-2900-00001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Electricity supply and delivery taxes</t>
        </r>
      </text>
    </comment>
    <comment ref="D32" authorId="0" shapeId="0" xr:uid="{00000000-0006-0000-2900-00001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Local government fees for Las vegas, including business licens taxes, franchise fees and right-of-way fees.</t>
        </r>
      </text>
    </comment>
    <comment ref="D33" authorId="0" shapeId="0" xr:uid="{00000000-0006-0000-2900-00001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Electricity Consumption Tax of $0.00055/kWh
</t>
        </r>
      </text>
    </comment>
    <comment ref="D36" authorId="0" shapeId="0" xr:uid="{00000000-0006-0000-2900-00001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tax, Gross Receipts Tax and other fees
</t>
        </r>
      </text>
    </comment>
    <comment ref="D37" authorId="0" shapeId="0" xr:uid="{00000000-0006-0000-2900-00001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Combined state and local sales tax.</t>
        </r>
      </text>
    </comment>
    <comment ref="D41" authorId="0" shapeId="0" xr:uid="{00000000-0006-0000-2900-00001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Public Purpose Charge</t>
        </r>
      </text>
    </comment>
    <comment ref="D42" authorId="0" shapeId="0" xr:uid="{00000000-0006-0000-2900-00001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Receipts Tax included in customer's basic charge.</t>
        </r>
      </text>
    </comment>
    <comment ref="D43" authorId="0" shapeId="0" xr:uid="{00000000-0006-0000-2900-00001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Earnings Tax
</t>
        </r>
      </text>
    </comment>
    <comment ref="D44" authorId="0" shapeId="0" xr:uid="{00000000-0006-0000-2900-00001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Excise tax
</t>
        </r>
      </text>
    </comment>
    <comment ref="D47" authorId="0" shapeId="0" xr:uid="{00000000-0006-0000-2900-00001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Local Houston sales tax of 2% plus uyility Gross Receipts Tax of 0.1667%
</t>
        </r>
      </text>
    </comment>
    <comment ref="D50" authorId="0" shapeId="0" xr:uid="{00000000-0006-0000-2900-00001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City of Virginia Beach Utility Tax.
</t>
        </r>
      </text>
    </comment>
    <comment ref="D52" authorId="0" shapeId="0" xr:uid="{00000000-0006-0000-2900-00001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According to Appalachian Power, average of local taxes and fees.</t>
        </r>
      </text>
    </comment>
    <comment ref="D53" authorId="0" shapeId="0" xr:uid="{00000000-0006-0000-2900-00001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Residential electricity is exempt from sales tax for the months of November-April, accounting for 51% of annual usage.  Plus 0.003$ Low Income Assistance charge.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E28" authorId="0" shapeId="0" xr:uid="{00000000-0006-0000-2A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Toronto</t>
        </r>
      </text>
    </comment>
    <comment ref="N34" authorId="0" shapeId="0" xr:uid="{00000000-0006-0000-2A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2104 data</t>
        </r>
      </text>
    </comment>
    <comment ref="A35" authorId="0" shapeId="0" xr:uid="{00000000-0006-0000-2A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40" authorId="0" shapeId="0" xr:uid="{00000000-0006-0000-2A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E65" authorId="0" shapeId="0" xr:uid="{00000000-0006-0000-2A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WB data sows $9.378 per kWh, clearly anomalous.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D5" authorId="0" shapeId="0" xr:uid="{00000000-0006-0000-2B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Regulatory cost charges (RCC)
</t>
        </r>
      </text>
    </comment>
    <comment ref="D6" authorId="0" shapeId="0" xr:uid="{00000000-0006-0000-2B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all state, county and city taxes and city franchise fee for Phoenix.</t>
        </r>
      </text>
    </comment>
    <comment ref="D7" authorId="0" shapeId="0" xr:uid="{00000000-0006-0000-2B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sales taxes and franchise fee.</t>
        </r>
      </text>
    </comment>
    <comment ref="D8" authorId="0" shapeId="0" xr:uid="{00000000-0006-0000-2B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of 2% plus Utility Users Tax of 10% for Los Angeles.</t>
        </r>
      </text>
    </comment>
    <comment ref="D9" authorId="0" shapeId="0" xr:uid="{00000000-0006-0000-2B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3% Denver franchise fee.</t>
        </r>
      </text>
    </comment>
    <comment ref="D10" authorId="0" shapeId="0" xr:uid="{00000000-0006-0000-2B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Earnings Tax.</t>
        </r>
      </text>
    </comment>
    <comment ref="D12" authorId="0" shapeId="0" xr:uid="{00000000-0006-0000-2B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Delivery tax</t>
        </r>
      </text>
    </comment>
    <comment ref="D13" authorId="0" shapeId="0" xr:uid="{00000000-0006-0000-2B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For Jacksonville, includes City Contribution, Public Service Tax, City Franchise Fee and State Gross receipts Tax.</t>
        </r>
      </text>
    </comment>
    <comment ref="D14" authorId="0" shapeId="0" xr:uid="{00000000-0006-0000-2B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Sales Tax plus Franchise Fee.</t>
        </r>
      </text>
    </comment>
    <comment ref="D16" authorId="0" shapeId="0" xr:uid="{00000000-0006-0000-2B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Boise Franchise Fee</t>
        </r>
      </text>
    </comment>
    <comment ref="D17" authorId="0" shapeId="0" xr:uid="{00000000-0006-0000-2B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Estimate for Chicago of Francise Fee (2.363% on delivery charge only), State Tax ($0.003/kWh) and Municipal Tax ($0.003/kWh) based on average annual consumption of 8500 kWh per household.</t>
        </r>
      </text>
    </comment>
    <comment ref="D20" authorId="0" shapeId="0" xr:uid="{00000000-0006-0000-2B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Franchise Fee of 5% and Sales tax of 1%.</t>
        </r>
      </text>
    </comment>
    <comment ref="D22" authorId="0" shapeId="0" xr:uid="{00000000-0006-0000-2B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New Orleans Municipal Franchise Fee</t>
        </r>
      </text>
    </comment>
    <comment ref="D30" authorId="0" shapeId="0" xr:uid="{00000000-0006-0000-2B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Electricity supply and delivery taxes</t>
        </r>
      </text>
    </comment>
    <comment ref="D32" authorId="0" shapeId="0" xr:uid="{00000000-0006-0000-2B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Local government fees for Las vegas, including business licens taxes, franchise fees and right-of-way fees.</t>
        </r>
      </text>
    </comment>
    <comment ref="D33" authorId="0" shapeId="0" xr:uid="{00000000-0006-0000-2B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Electricity Consumption Tax of $0.00055/kWh
</t>
        </r>
      </text>
    </comment>
    <comment ref="D37" authorId="0" shapeId="0" xr:uid="{00000000-0006-0000-2B00-00001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Combined state and local sales tax.</t>
        </r>
      </text>
    </comment>
    <comment ref="D41" authorId="0" shapeId="0" xr:uid="{00000000-0006-0000-2B00-00001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Public Purpose Charge</t>
        </r>
      </text>
    </comment>
    <comment ref="D50" authorId="0" shapeId="0" xr:uid="{00000000-0006-0000-2B00-00001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City of Virginia Beach Utility Tax.
</t>
        </r>
      </text>
    </comment>
    <comment ref="D52" authorId="0" shapeId="0" xr:uid="{00000000-0006-0000-2B00-00001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According to Appalachian Power, average of local taxes and fees.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O2" authorId="0" shapeId="0" xr:uid="{00000000-0006-0000-2C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Industrial electricity prices tend to be lower than residential prices because power is delivered at higher voltage in larger quantities.    In the EU countries, the industrial price is 62% of the residential price, so this will be used as the deafult price where no other data are available.</t>
        </r>
      </text>
    </comment>
    <comment ref="AE28" authorId="0" shapeId="0" xr:uid="{00000000-0006-0000-2C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Toronto</t>
        </r>
      </text>
    </comment>
    <comment ref="N34" authorId="0" shapeId="0" xr:uid="{00000000-0006-0000-2C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2104 data</t>
        </r>
      </text>
    </comment>
    <comment ref="A35" authorId="0" shapeId="0" xr:uid="{00000000-0006-0000-2C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40" authorId="0" shapeId="0" xr:uid="{00000000-0006-0000-2C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World Bank, at http://pubdocs.worldbank.org/en/444681490076354657/Electricity-Tariffs-Power-Outages-and-Firm-Performance.pdf</t>
        </r>
      </text>
    </comment>
    <comment ref="AE65" authorId="0" shapeId="0" xr:uid="{00000000-0006-0000-2C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WB data sows $9.378 per kWh, clearly anomalous.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C4" authorId="0" shapeId="0" xr:uid="{00000000-0006-0000-2D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Public utility tax.</t>
        </r>
      </text>
    </comment>
    <comment ref="B8" authorId="0" shapeId="0" xr:uid="{00000000-0006-0000-2D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Los Angeles.</t>
        </r>
      </text>
    </comment>
    <comment ref="C8" authorId="0" shapeId="0" xr:uid="{00000000-0006-0000-2D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Utility User Tax (UUT).</t>
        </r>
      </text>
    </comment>
    <comment ref="D8" authorId="0" shapeId="0" xr:uid="{00000000-0006-0000-2D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State tax surcharge of $0.00029 per kWh.</t>
        </r>
      </text>
    </comment>
    <comment ref="B13" authorId="0" shapeId="0" xr:uid="{00000000-0006-0000-2D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Miami</t>
        </r>
      </text>
    </comment>
    <comment ref="B14" authorId="0" shapeId="0" xr:uid="{00000000-0006-0000-2D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Atlanta</t>
        </r>
      </text>
    </comment>
    <comment ref="C14" authorId="0" shapeId="0" xr:uid="{00000000-0006-0000-2D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Municipal Franchise fee of 3%.
</t>
        </r>
      </text>
    </comment>
    <comment ref="B17" authorId="0" shapeId="0" xr:uid="{00000000-0006-0000-2D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Chicago</t>
        </r>
      </text>
    </comment>
    <comment ref="B18" authorId="0" shapeId="0" xr:uid="{00000000-0006-0000-2D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Chicago</t>
        </r>
      </text>
    </comment>
    <comment ref="C21" authorId="0" shapeId="0" xr:uid="{00000000-0006-0000-2D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Utility tax</t>
        </r>
      </text>
    </comment>
    <comment ref="B36" authorId="0" shapeId="0" xr:uid="{00000000-0006-0000-2D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New York</t>
        </r>
      </text>
    </comment>
    <comment ref="B37" authorId="0" shapeId="0" xr:uid="{00000000-0006-0000-2D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Charlotte</t>
        </r>
      </text>
    </comment>
    <comment ref="B39" authorId="0" shapeId="0" xr:uid="{00000000-0006-0000-2D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Cleveland</t>
        </r>
      </text>
    </comment>
    <comment ref="C39" authorId="0" shapeId="0" xr:uid="{00000000-0006-0000-2D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CAT</t>
        </r>
      </text>
    </comment>
    <comment ref="D39" authorId="0" shapeId="0" xr:uid="{00000000-0006-0000-2D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kWh tax
</t>
        </r>
      </text>
    </comment>
    <comment ref="B42" authorId="0" shapeId="0" xr:uid="{00000000-0006-0000-2D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Philadelphia
</t>
        </r>
      </text>
    </comment>
    <comment ref="D47" authorId="0" shapeId="0" xr:uid="{00000000-0006-0000-2D00-00001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Gross Receipts Tax and PUCA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293" authorId="0" shapeId="0" xr:uid="{00000000-0006-0000-2F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2014 Data.  Latest year available.
</t>
        </r>
      </text>
    </comment>
    <comment ref="A298" authorId="0" shapeId="0" xr:uid="{00000000-0006-0000-2F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2014 Data.  Latest year available.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125" authorId="0" shapeId="0" xr:uid="{00000000-0006-0000-30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2014 data</t>
        </r>
      </text>
    </comment>
    <comment ref="A129" authorId="0" shapeId="0" xr:uid="{00000000-0006-0000-30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2014 data.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23" authorId="0" shapeId="0" xr:uid="{00000000-0006-0000-31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Listed on OECD data under "other kero", although clearly applies to jet fuel.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A25" authorId="0" shapeId="0" xr:uid="{00000000-0006-0000-32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Fuel tax exemption listed under this category have been assigned to jet fuel.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05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I2" authorId="0" shapeId="0" xr:uid="{00000000-0006-0000-05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K2" authorId="0" shapeId="0" xr:uid="{00000000-0006-0000-05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C3" authorId="0" shapeId="0" xr:uid="{00000000-0006-0000-05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H36" authorId="0" shapeId="0" xr:uid="{00000000-0006-0000-05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Backcalculated from retail price and taxes</t>
        </r>
      </text>
    </comment>
    <comment ref="I36" authorId="0" shapeId="0" xr:uid="{00000000-0006-0000-05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http://www.japantimes.co.jp/news/2014/11/29/business/economy-business/china-hikes-gasoline-diesel-consumption-tax-for-first-time-since-2009/#.WGwcSJJX_ys</t>
        </r>
      </text>
    </comment>
    <comment ref="B37" authorId="0" shapeId="0" xr:uid="{00000000-0006-0000-05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http://www.financialexpress.com/economy/taxes-exceed-actual-cost-of-petrol/163469/</t>
        </r>
      </text>
    </comment>
    <comment ref="K37" authorId="0" shapeId="0" xr:uid="{00000000-0006-0000-05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VAT in India is mainly at the state level.  This rate is for Uttar Pradesh, the most populous state.</t>
        </r>
      </text>
    </comment>
    <comment ref="I38" authorId="0" shapeId="0" xr:uid="{00000000-0006-0000-05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excise tax and PIS/COFINS, which were reduced per the subsidy in line T38.</t>
        </r>
      </text>
    </comment>
    <comment ref="A40" authorId="0" shapeId="0" xr:uid="{00000000-0006-0000-05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Data from World Bank http://data.worldbank.org/indicator/EP.PMP.DESL.CD  Data in red are current prices from other sources.</t>
        </r>
      </text>
    </comment>
    <comment ref="W44" authorId="0" shapeId="0" xr:uid="{00000000-0006-0000-05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available.</t>
        </r>
      </text>
    </comment>
    <comment ref="W45" authorId="0" shapeId="0" xr:uid="{00000000-0006-0000-05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  <comment ref="W46" authorId="0" shapeId="0" xr:uid="{00000000-0006-0000-05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https://knoema.com/atlas/Bahrain/Diesel-price.  No 2015 data </t>
        </r>
      </text>
    </comment>
    <comment ref="W51" authorId="0" shapeId="0" xr:uid="{00000000-0006-0000-05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2010 data from https://knoema.com/atlas/Iraq/topics/Economy/Inflation-and-Prices/Price-for-diesel-fuel.  No more recent data avilable.</t>
        </r>
      </text>
    </comment>
    <comment ref="W55" authorId="0" shapeId="0" xr:uid="{00000000-0006-0000-05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2013 price from https://tradingeconomics.com/libya/pump-price-for-diesel-fuel-us-dollar-per-liter-wb-.  No more recent data available.</t>
        </r>
      </text>
    </comment>
    <comment ref="W58" authorId="0" shapeId="0" xr:uid="{00000000-0006-0000-05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  <comment ref="W59" authorId="0" shapeId="0" xr:uid="{00000000-0006-0000-0500-00001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  <comment ref="W60" authorId="0" shapeId="0" xr:uid="{00000000-0006-0000-0500-00001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  <comment ref="W61" authorId="0" shapeId="0" xr:uid="{00000000-0006-0000-0500-00001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  <comment ref="W64" authorId="0" shapeId="0" xr:uid="{00000000-0006-0000-0500-00001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2017 data from http://www.globalpetrolprices.com/diesel_prices/ .  No 2015 data 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9" authorId="0" shapeId="0" xr:uid="{00000000-0006-0000-38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Assume half for Commercial Use and half for Industrial , which has already been counted.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G2" authorId="0" shapeId="0" xr:uid="{00000000-0006-0000-06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On-highway distillate
</t>
        </r>
      </text>
    </comment>
    <comment ref="D3" authorId="0" shapeId="0" xr:uid="{00000000-0006-0000-06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Tax Foundation at http://taxfoundation.org/article/state-and-local-sales-tax-rates-</t>
        </r>
      </text>
    </comment>
    <comment ref="H3" authorId="0" shapeId="0" xr:uid="{00000000-0006-0000-06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From EIA "Weekly Retail Gasoline and Diesel Prices.  By state where available.  Otherwise by PADD average.</t>
        </r>
      </text>
    </comment>
    <comment ref="J3" authorId="0" shapeId="0" xr:uid="{00000000-0006-0000-06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  <comment ref="C4" authorId="0" shapeId="0" xr:uid="{00000000-0006-0000-06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Includes $0.001 LUST tax.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H2" authorId="0" shapeId="0" xr:uid="{00000000-0006-0000-07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I2" authorId="0" shapeId="0" xr:uid="{00000000-0006-0000-07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K2" authorId="0" shapeId="0" xr:uid="{00000000-0006-0000-07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C3" authorId="0" shapeId="0" xr:uid="{00000000-0006-0000-07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G24" authorId="0" shapeId="0" xr:uid="{00000000-0006-0000-07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No significant consumption.
</t>
        </r>
      </text>
    </comment>
    <comment ref="H36" authorId="0" shapeId="0" xr:uid="{00000000-0006-0000-07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Backcalculated from retail price and taxes</t>
        </r>
      </text>
    </comment>
    <comment ref="I36" authorId="0" shapeId="0" xr:uid="{00000000-0006-0000-07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http://www.japantimes.co.jp/news/2014/11/29/business/economy-business/china-hikes-gasoline-diesel-consumption-tax-for-first-time-since-2009/#.WGwcSJJX_ys</t>
        </r>
      </text>
    </comment>
    <comment ref="B37" authorId="0" shapeId="0" xr:uid="{00000000-0006-0000-07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http://www.financialexpress.com/economy/taxes-exceed-actual-cost-of-petrol/163469/</t>
        </r>
      </text>
    </comment>
    <comment ref="K37" authorId="0" shapeId="0" xr:uid="{00000000-0006-0000-07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VAT in India is mainly at the state level.  This rate is for Uttar Pradesh, the most populous state.</t>
        </r>
      </text>
    </comment>
    <comment ref="A40" authorId="0" shapeId="0" xr:uid="{00000000-0006-0000-07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Data from World Bank http://data.worldbank.org/indicator/EP.PMP.DESL.CD  Data in red are current prices from other sources.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B1" authorId="0" shapeId="0" xr:uid="{00000000-0006-0000-08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 Adjusted Sales of Distillate Fuel Oil by End Use.</t>
        </r>
      </text>
    </comment>
    <comment ref="I2" authorId="0" shapeId="0" xr:uid="{00000000-0006-0000-08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Sales of Distillate Fuel Oil by End Use.</t>
        </r>
      </text>
    </comment>
    <comment ref="J2" authorId="0" shapeId="0" xr:uid="{00000000-0006-0000-08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Weekly Heating Oil and Propane Prices.</t>
        </r>
      </text>
    </comment>
    <comment ref="L3" authorId="0" shapeId="0" xr:uid="{00000000-0006-0000-08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Ex Tax Price with sales tax applied where appropriate.
</t>
        </r>
      </text>
    </comment>
    <comment ref="J10" authorId="0" shapeId="0" xr:uid="{00000000-0006-0000-08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23" authorId="0" shapeId="0" xr:uid="{00000000-0006-0000-08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24" authorId="0" shapeId="0" xr:uid="{00000000-0006-0000-0800-000007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Weekely Heating Oil and Propane Prices, average Jan-Feb-Mar-Oct-Nov-Dec, 2015.  Average for PADD1B</t>
        </r>
      </text>
    </comment>
    <comment ref="J25" authorId="0" shapeId="0" xr:uid="{00000000-0006-0000-0800-000008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33" authorId="0" shapeId="0" xr:uid="{00000000-0006-0000-0800-000009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34" authorId="0" shapeId="0" xr:uid="{00000000-0006-0000-0800-00000A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Weekely Heating Oil and Propane Prices, average Jan-Feb-Mar-Oct-Nov-Dec, 2015.  Average for PADD1B</t>
        </r>
      </text>
    </comment>
    <comment ref="D36" authorId="0" shapeId="0" xr:uid="{00000000-0006-0000-0800-00000B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Residential heating oil is exempt from state sales taxes, but local taxes are applied in many cities.  Example here is New York City.</t>
        </r>
      </text>
    </comment>
    <comment ref="J36" authorId="0" shapeId="0" xr:uid="{00000000-0006-0000-0800-00000C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Weekely Heating Oil and Propane Prices, average Jan-Feb-Mar-Oct-Nov-Dec, 2015.  Average for PADD1B</t>
        </r>
      </text>
    </comment>
    <comment ref="J42" authorId="0" shapeId="0" xr:uid="{00000000-0006-0000-0800-00000D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Weekely Heating Oil and Propane Prices, average Jan-Feb-Mar-Oct-Nov-Dec, 2015.  Average for PADD1B</t>
        </r>
      </text>
    </comment>
    <comment ref="J43" authorId="0" shapeId="0" xr:uid="{00000000-0006-0000-0800-00000E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49" authorId="0" shapeId="0" xr:uid="{00000000-0006-0000-0800-00000F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average of six months:  Jan-Feb-Mar-Oct-Nov-Dec 2015.  Average for PADD 1A
</t>
        </r>
      </text>
    </comment>
    <comment ref="J50" authorId="0" shapeId="0" xr:uid="{00000000-0006-0000-0800-000010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EIA, Weekly Heating Oil and proane Prices, Average for Jan-Feb-Mar-Oct-Nov-Dec, 2015.  Average for PADD1C.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Bruce Everett</author>
  </authors>
  <commentList>
    <comment ref="I2" authorId="0" shapeId="0" xr:uid="{00000000-0006-0000-0900-000001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K2" authorId="0" shapeId="0" xr:uid="{00000000-0006-0000-0900-000002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IEA "Energy Prices and Taxes" 4th quarter 2015.</t>
        </r>
      </text>
    </comment>
    <comment ref="C3" authorId="0" shapeId="0" xr:uid="{00000000-0006-0000-0900-000003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 is iEA at http://www.iea.org/statistics/statisticssearch/report/?country=GREECE&amp;product=oil&amp;year=2014</t>
        </r>
      </text>
    </comment>
    <comment ref="I36" authorId="0" shapeId="0" xr:uid="{00000000-0006-0000-0900-000004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Source:  http://www.japantimes.co.jp/news/2014/11/29/business/economy-business/china-hikes-gasoline-diesel-consumption-tax-for-first-time-since-2009/#.WGwcSJJX_ys</t>
        </r>
      </text>
    </comment>
    <comment ref="K37" authorId="0" shapeId="0" xr:uid="{00000000-0006-0000-0900-000005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VAT in India is mainly at the state level.  This rate is for Uttar Pradesh, the most populous state.</t>
        </r>
      </text>
    </comment>
    <comment ref="A40" authorId="0" shapeId="0" xr:uid="{00000000-0006-0000-0900-000006000000}">
      <text>
        <r>
          <rPr>
            <b/>
            <sz val="9"/>
            <color indexed="81"/>
            <rFont val="Calibri"/>
            <family val="2"/>
          </rPr>
          <t>Bruce Everett:</t>
        </r>
        <r>
          <rPr>
            <sz val="9"/>
            <color indexed="81"/>
            <rFont val="Calibri"/>
            <family val="2"/>
          </rPr>
          <t xml:space="preserve">
Data from World Bank http://data.worldbank.org/indicator/EP.PMP.DESL.CD  Data in red are current prices from other sources.</t>
        </r>
      </text>
    </comment>
  </commentList>
</comments>
</file>

<file path=xl/sharedStrings.xml><?xml version="1.0" encoding="utf-8"?>
<sst xmlns="http://schemas.openxmlformats.org/spreadsheetml/2006/main" count="10308" uniqueCount="1758">
  <si>
    <t>Belgium</t>
  </si>
  <si>
    <t>Czech Republic</t>
  </si>
  <si>
    <t>Denmark</t>
  </si>
  <si>
    <t>Germany</t>
  </si>
  <si>
    <t>Estonia</t>
  </si>
  <si>
    <t>Greece</t>
  </si>
  <si>
    <t>Spain</t>
  </si>
  <si>
    <t>France</t>
  </si>
  <si>
    <t>Ireland</t>
  </si>
  <si>
    <t>Italy</t>
  </si>
  <si>
    <t>Luxembourg</t>
  </si>
  <si>
    <t>Hungary</t>
  </si>
  <si>
    <t>Netherlands</t>
  </si>
  <si>
    <t>Austria</t>
  </si>
  <si>
    <t>Poland</t>
  </si>
  <si>
    <t>Portugal</t>
  </si>
  <si>
    <t>Slovenia</t>
  </si>
  <si>
    <t>Slovakia</t>
  </si>
  <si>
    <t>Finland</t>
  </si>
  <si>
    <t>Sweden</t>
  </si>
  <si>
    <t>UK</t>
  </si>
  <si>
    <t>Gasoline</t>
  </si>
  <si>
    <t>per gallon</t>
  </si>
  <si>
    <t>Liters per gallon</t>
  </si>
  <si>
    <t>Demand</t>
  </si>
  <si>
    <t>Gallons</t>
  </si>
  <si>
    <t>Total tax</t>
  </si>
  <si>
    <t>2013</t>
  </si>
  <si>
    <t>Diesel</t>
  </si>
  <si>
    <t>Btu</t>
  </si>
  <si>
    <t>gallons</t>
  </si>
  <si>
    <t>Japan</t>
  </si>
  <si>
    <t>Australia</t>
  </si>
  <si>
    <t>New Zealand</t>
  </si>
  <si>
    <t>Net tax</t>
  </si>
  <si>
    <t>EU-28</t>
  </si>
  <si>
    <t>Other industrial countries</t>
  </si>
  <si>
    <t>United States</t>
  </si>
  <si>
    <t>Canada</t>
  </si>
  <si>
    <t>Norway</t>
  </si>
  <si>
    <t>Switzerland</t>
  </si>
  <si>
    <t>$ per LC</t>
  </si>
  <si>
    <t>Total</t>
  </si>
  <si>
    <t>Oil</t>
  </si>
  <si>
    <t>Natural gas</t>
  </si>
  <si>
    <t>Coal</t>
  </si>
  <si>
    <t>China</t>
  </si>
  <si>
    <t>South Korea</t>
  </si>
  <si>
    <t>Mexico</t>
  </si>
  <si>
    <t>India</t>
  </si>
  <si>
    <t>Brazil</t>
  </si>
  <si>
    <t>Russia</t>
  </si>
  <si>
    <t>Producing countries</t>
  </si>
  <si>
    <t>Algeria</t>
  </si>
  <si>
    <t>Angola</t>
  </si>
  <si>
    <t>Azerbaijan</t>
  </si>
  <si>
    <t>Bahrain</t>
  </si>
  <si>
    <t>Brunei</t>
  </si>
  <si>
    <t>Ecuador</t>
  </si>
  <si>
    <t>Egypt</t>
  </si>
  <si>
    <t>Gabon</t>
  </si>
  <si>
    <t>Indonesia</t>
  </si>
  <si>
    <t>Iraq</t>
  </si>
  <si>
    <t>Iran</t>
  </si>
  <si>
    <t>Kazakhstan</t>
  </si>
  <si>
    <t>Kuwait</t>
  </si>
  <si>
    <t>Libya</t>
  </si>
  <si>
    <t>Malaysia</t>
  </si>
  <si>
    <t>Nigeria</t>
  </si>
  <si>
    <t>Qatar</t>
  </si>
  <si>
    <t>Saudi Arabia</t>
  </si>
  <si>
    <t>Trinidad</t>
  </si>
  <si>
    <t>Turkmenistan</t>
  </si>
  <si>
    <t>UAE</t>
  </si>
  <si>
    <t>Uzbekistan</t>
  </si>
  <si>
    <t>Venezuela</t>
  </si>
  <si>
    <t>Subsidy (OECD)</t>
  </si>
  <si>
    <t>Subsidy ($)</t>
  </si>
  <si>
    <t>BRICs</t>
  </si>
  <si>
    <t>Tax</t>
  </si>
  <si>
    <t>MBtu</t>
  </si>
  <si>
    <t>Terajoule =</t>
  </si>
  <si>
    <t>Default coal price =</t>
  </si>
  <si>
    <t>per MBtu</t>
  </si>
  <si>
    <t>%</t>
  </si>
  <si>
    <t>tax</t>
  </si>
  <si>
    <t>US</t>
  </si>
  <si>
    <t>Liters</t>
  </si>
  <si>
    <t>(KT)</t>
  </si>
  <si>
    <t>1 mt of gasoil =</t>
  </si>
  <si>
    <t>1 kt of gasoil =</t>
  </si>
  <si>
    <t>1 kt of jet =</t>
  </si>
  <si>
    <t>Jet</t>
  </si>
  <si>
    <t>(Kt)</t>
  </si>
  <si>
    <t>(kt)</t>
  </si>
  <si>
    <t>1 mt of LPG =</t>
  </si>
  <si>
    <t>1 kt of LPG =</t>
  </si>
  <si>
    <t>LPG</t>
  </si>
  <si>
    <t>Transport</t>
  </si>
  <si>
    <t>liters</t>
  </si>
  <si>
    <t>Other</t>
  </si>
  <si>
    <t>HFO</t>
  </si>
  <si>
    <t>Other kero</t>
  </si>
  <si>
    <t>1 mt of HFO =</t>
  </si>
  <si>
    <t>1 kt of HFO =</t>
  </si>
  <si>
    <t>1 mt of jet=</t>
  </si>
  <si>
    <t>1 mt of kero =</t>
  </si>
  <si>
    <t>1 kt of kero =</t>
  </si>
  <si>
    <t>Total oil</t>
  </si>
  <si>
    <t>Gasoline equivalent</t>
  </si>
  <si>
    <t>1 GJ of natural gas =</t>
  </si>
  <si>
    <t>gallons gasoline equivalent</t>
  </si>
  <si>
    <t>(TJ)</t>
  </si>
  <si>
    <t>1 TJ of natural gas =</t>
  </si>
  <si>
    <t>Nat Gas</t>
  </si>
  <si>
    <t>Total NG</t>
  </si>
  <si>
    <t>Gas</t>
  </si>
  <si>
    <t>Anthracite</t>
  </si>
  <si>
    <t>Bitum</t>
  </si>
  <si>
    <t>Sub-bit</t>
  </si>
  <si>
    <t>Lignite</t>
  </si>
  <si>
    <t>(MBtu)</t>
  </si>
  <si>
    <t>GJ</t>
  </si>
  <si>
    <t>Electricity</t>
  </si>
  <si>
    <t>MWh</t>
  </si>
  <si>
    <t>1 kWh =</t>
  </si>
  <si>
    <t>1 MWh =</t>
  </si>
  <si>
    <t>1 gge =</t>
  </si>
  <si>
    <t>gge</t>
  </si>
  <si>
    <t>per MWh</t>
  </si>
  <si>
    <t>Electricity - Residential</t>
  </si>
  <si>
    <t>Residential</t>
  </si>
  <si>
    <t>Electr (GWh)</t>
  </si>
  <si>
    <t>Production (MWh)</t>
  </si>
  <si>
    <t>Fossil Fuels</t>
  </si>
  <si>
    <t>FF share</t>
  </si>
  <si>
    <t>Fed Ex</t>
  </si>
  <si>
    <t>State Ex</t>
  </si>
  <si>
    <t>Pennsylvania</t>
  </si>
  <si>
    <t>Washington</t>
  </si>
  <si>
    <t>New York</t>
  </si>
  <si>
    <t>Hawaii</t>
  </si>
  <si>
    <t>California</t>
  </si>
  <si>
    <t>Connecticut</t>
  </si>
  <si>
    <t>Florida</t>
  </si>
  <si>
    <t>North Carolina</t>
  </si>
  <si>
    <t>Rhode Island</t>
  </si>
  <si>
    <t>Nevada</t>
  </si>
  <si>
    <t>West Virginia</t>
  </si>
  <si>
    <t>Wisconsin</t>
  </si>
  <si>
    <t>Maryland</t>
  </si>
  <si>
    <t>Iowa</t>
  </si>
  <si>
    <t>Idaho</t>
  </si>
  <si>
    <t>Oregon</t>
  </si>
  <si>
    <t>Georgia</t>
  </si>
  <si>
    <t>Michigan</t>
  </si>
  <si>
    <t>Vermont</t>
  </si>
  <si>
    <t>Illinois</t>
  </si>
  <si>
    <t>Maine</t>
  </si>
  <si>
    <t>South Dakota</t>
  </si>
  <si>
    <t>Indiana</t>
  </si>
  <si>
    <t>Utah</t>
  </si>
  <si>
    <t>Minnesota</t>
  </si>
  <si>
    <t>Ohio</t>
  </si>
  <si>
    <t>Montana</t>
  </si>
  <si>
    <t>Nebraska</t>
  </si>
  <si>
    <t>Massachusetts</t>
  </si>
  <si>
    <t>Kentucky</t>
  </si>
  <si>
    <t>Kansas</t>
  </si>
  <si>
    <t>Wyoming</t>
  </si>
  <si>
    <t>New Hampshire</t>
  </si>
  <si>
    <t>District of Columbia</t>
  </si>
  <si>
    <t>Delaware</t>
  </si>
  <si>
    <t>North Dakota</t>
  </si>
  <si>
    <t>Virginia</t>
  </si>
  <si>
    <t>Colorado</t>
  </si>
  <si>
    <t>Arkansas</t>
  </si>
  <si>
    <t>Tennessee</t>
  </si>
  <si>
    <t>Alabama</t>
  </si>
  <si>
    <t>Louisiana</t>
  </si>
  <si>
    <t>Texas</t>
  </si>
  <si>
    <t>Arizona</t>
  </si>
  <si>
    <t>New Mexico</t>
  </si>
  <si>
    <t>Mississippi</t>
  </si>
  <si>
    <t>Missouri</t>
  </si>
  <si>
    <t>Oklahoma</t>
  </si>
  <si>
    <t>South Carolina</t>
  </si>
  <si>
    <t>New Jersey</t>
  </si>
  <si>
    <t>Alaska</t>
  </si>
  <si>
    <t>Sales</t>
  </si>
  <si>
    <t>Price</t>
  </si>
  <si>
    <t>per gal</t>
  </si>
  <si>
    <t>Value</t>
  </si>
  <si>
    <t>Actual</t>
  </si>
  <si>
    <t>VAT/GST</t>
  </si>
  <si>
    <t>kWh</t>
  </si>
  <si>
    <t>Commercial</t>
  </si>
  <si>
    <t>Utility</t>
  </si>
  <si>
    <t>Overtax</t>
  </si>
  <si>
    <t>No</t>
  </si>
  <si>
    <t>Yes</t>
  </si>
  <si>
    <t>US State Gasoline Tax</t>
  </si>
  <si>
    <t>Sales Tax Exemption for Natural Gas</t>
  </si>
  <si>
    <t>Sales Tax Exemption for Oil &amp; Gas Equipment</t>
  </si>
  <si>
    <t>Qualified Capital Expenditure Credit</t>
  </si>
  <si>
    <t>Development Credit for Small Producers and New Areas</t>
  </si>
  <si>
    <t>Alternative Credit for Exploration</t>
  </si>
  <si>
    <t>Non Utility Sales of Natural Gas</t>
  </si>
  <si>
    <t>Credit for Reducing Utility Charges</t>
  </si>
  <si>
    <t>Exclusion of Low Volume Oil &amp; Gas Wells</t>
  </si>
  <si>
    <t>Coalbed Methane Exemption</t>
  </si>
  <si>
    <t>Percentage Depletion of Mineral and Other Resources</t>
  </si>
  <si>
    <t>Sales Tax Exemption for Gasoline and Special Fuel</t>
  </si>
  <si>
    <t>Sales Tax Exemption for Residential Use of Fuel</t>
  </si>
  <si>
    <t>Sales Tax Exemption for Energy and Energy Producing Fuels</t>
  </si>
  <si>
    <t>Natural Gas Severance Tax Suspension for Horizontal Wells</t>
  </si>
  <si>
    <t>Natural Gas Severance Tax Suspension for Inactive Wells</t>
  </si>
  <si>
    <t>Natural Gas Severance Tax Suspension for Deep Wells</t>
  </si>
  <si>
    <t>Reduced Severance Tax on Incapable Oil Well Gas</t>
  </si>
  <si>
    <t>Reduced Severance Tax on Incapable Gas Well Gas</t>
  </si>
  <si>
    <t>Severance Tax Exclusion on Flared or Vented Natural Gas</t>
  </si>
  <si>
    <t>Severance Tax Exclusion for Natural Gas Used in Field Operations</t>
  </si>
  <si>
    <t>Severance Tax Exclusion for Carbon Black Producers</t>
  </si>
  <si>
    <t>Excess of Percentage over Cost Depletion</t>
  </si>
  <si>
    <t>Enhanced Oil Recovery Deduction</t>
  </si>
  <si>
    <t>Gross Production Tax Rebate for Horizontally Drilled Wells</t>
  </si>
  <si>
    <t>Gross Production Tax Rebate for Reestablished Production</t>
  </si>
  <si>
    <t>Gross Production Tax Rebate for Production Enhancement</t>
  </si>
  <si>
    <t>Gross Production Tax Rebate for Deep and Ultra Deep Wells</t>
  </si>
  <si>
    <t>Gross Production Tax Rebate for New Discovery Wells</t>
  </si>
  <si>
    <t>Gross Production Tax Rebate for 3D Seismic Wells</t>
  </si>
  <si>
    <t>Gross Production Tax Rebate for Economically At Risk Wells</t>
  </si>
  <si>
    <t>Gross Production Tax Exemption for O&amp;G Owned by Government</t>
  </si>
  <si>
    <t>Gas Marketing Deduction Against Gross Production Tax</t>
  </si>
  <si>
    <t>Severance-Tax Exemption for Stripper Wells</t>
  </si>
  <si>
    <t>Gas Storage Facility Credit</t>
  </si>
  <si>
    <t>Credit for Ad Valorem Tax on Natural Gas</t>
  </si>
  <si>
    <t>Per OECD</t>
  </si>
  <si>
    <t>Industrial</t>
  </si>
  <si>
    <t>Double count</t>
  </si>
  <si>
    <t>Alaska Affordable Heating Program</t>
  </si>
  <si>
    <t>Alaska Gasline Inducement Act</t>
  </si>
  <si>
    <t>Oil and Gas Research Fund</t>
  </si>
  <si>
    <t>Oil and Gas Impact Grant Fund</t>
  </si>
  <si>
    <t>Abandoned Oil and Gas Well Plugging and Site Reclamation Fund</t>
  </si>
  <si>
    <t>Fossil Energy R&amp;D</t>
  </si>
  <si>
    <t>Expensing of Exploration and Development Costs</t>
  </si>
  <si>
    <t>Amortisation of Geological and Geophysical Expenditure</t>
  </si>
  <si>
    <t>Exception from Passive Loss Limitation</t>
  </si>
  <si>
    <t>Counted</t>
  </si>
  <si>
    <t>Temporary Expensing of Equipment for Refining</t>
  </si>
  <si>
    <t>LIHEAP</t>
  </si>
  <si>
    <t>Euro</t>
  </si>
  <si>
    <t>1 gallon diesel =</t>
  </si>
  <si>
    <t>Fuel Tax Reductions for Certain Professional and Residential Users</t>
  </si>
  <si>
    <t>Fuel Tax Rebate for Taxi Drivers and Freight</t>
  </si>
  <si>
    <t>Excise Concessions for 'Alternative Fuels'</t>
  </si>
  <si>
    <t>CIDE Fuel-Tax Reductions</t>
  </si>
  <si>
    <t>Special Tax Regime for Imports of Crude Oil and Petroleum Products - REPEX</t>
  </si>
  <si>
    <t>PIS/COFINS Fuel-Tax Reduction</t>
  </si>
  <si>
    <t>Alberta Tax Exempt Fuel Use Program</t>
  </si>
  <si>
    <t>Your Energy Rebate</t>
  </si>
  <si>
    <t>Fuel Tax Exemption for Transmitting Waste Gas</t>
  </si>
  <si>
    <t>PST Exemption for Residential Fuels</t>
  </si>
  <si>
    <t>Fuel Tax Exemption for Farm Trucks</t>
  </si>
  <si>
    <t>Sales Tax Exemption for Exploration Equipment</t>
  </si>
  <si>
    <t>Fuel Tax Exemption for Marked Diesel and Gasoline</t>
  </si>
  <si>
    <t>Gas Tax Exemption for Farming</t>
  </si>
  <si>
    <t>Gas Tax Exemption for Electricity Generation</t>
  </si>
  <si>
    <t>Gas Tax Exemption for Municipalities</t>
  </si>
  <si>
    <t>Fuel Tax Exemption for Coloured Fuel</t>
  </si>
  <si>
    <t>Fuel Tax Reduction for Railway Diesel</t>
  </si>
  <si>
    <t>Fuel Tax Refunds for Auxiliary Equipment</t>
  </si>
  <si>
    <t>Gasoline Tax Exemption for Unlicensed Equipment</t>
  </si>
  <si>
    <t>Gasoline Tax Exemption for Methanol and Natural Gas</t>
  </si>
  <si>
    <t>Gasoline and Motive Fuel Tax Refunds</t>
  </si>
  <si>
    <t>Fuel Tax Reductions in Certain Regions</t>
  </si>
  <si>
    <t>Fuel Tax Reductions for Air and Rail Transport</t>
  </si>
  <si>
    <t>Fuel Tax Rebates for Farming, Forestry and Mining</t>
  </si>
  <si>
    <t>Fuel Tax Rebate for Public Carriers</t>
  </si>
  <si>
    <t>Fuel Tax Rebate for Certain Stationary Engines</t>
  </si>
  <si>
    <t>Tax Exemption for Marked Fuel Permits</t>
  </si>
  <si>
    <t>Alberta Farm Fuel Benefit</t>
  </si>
  <si>
    <t>VAT Rebate on Imported Natural Gas Attributable to PetroChina</t>
  </si>
  <si>
    <t>Excise Tax Refund for Diesel Fuel Used in Agriculture</t>
  </si>
  <si>
    <t>Energy Tax Breaks for Agriculture and Manufacturing</t>
  </si>
  <si>
    <t>Peak Equalisation Scheme</t>
  </si>
  <si>
    <t>Energy Tax Relief for Energy Intensive Processes</t>
  </si>
  <si>
    <t>Manufacturer Privilege</t>
  </si>
  <si>
    <t>Energy Tax Exemption for Fuels Used in Internal Waterway Transportation</t>
  </si>
  <si>
    <t>Energy Tax Relief for LPG and Natural Gas Used in Engines</t>
  </si>
  <si>
    <t>Energy Tax Refund for Diesel Used in Agriculture and Forestry</t>
  </si>
  <si>
    <t>Reduced Energy Duty for CHP Generation</t>
  </si>
  <si>
    <t>Reduced Energy Duty for Diesel Fuel</t>
  </si>
  <si>
    <t>Excise Duty Exemption for Fuels Used in Domestic Commercial Fishing</t>
  </si>
  <si>
    <t>Excise Duty Reduction for Diesel Fuel and Light Heating Oil Used for Special Purposes</t>
  </si>
  <si>
    <t>Reduced Energy Tax Rate on Diesel Used in Transport</t>
  </si>
  <si>
    <t>Reduced Energy Tax Rate for Light Fuel Oil Used in Mobile Machinery</t>
  </si>
  <si>
    <t>Reduced Energy Tax Rate for Natural Gas Used in Heating</t>
  </si>
  <si>
    <t>Energy Tax Refund for Energy Intensive Enterprises</t>
  </si>
  <si>
    <t>Energy Tax Rebates for Certain Fuels Used in Agriculture</t>
  </si>
  <si>
    <t>Reduced Energy Tax Rate on Peat Used in Heating</t>
  </si>
  <si>
    <t>Reduced CO2 Tax for Combined Heat and Power Production</t>
  </si>
  <si>
    <t>Energy Tax Exemption for Fuels Used in Vessel Traffic</t>
  </si>
  <si>
    <t>Overseas VAT Exemption for Petroleum Products</t>
  </si>
  <si>
    <t>VAT Reduction for Petroleum Products Sold in Corsica</t>
  </si>
  <si>
    <t>Reduced Rate of Excise for Taxi Drivers</t>
  </si>
  <si>
    <t>Excise Tax Exemption for Cogeneration</t>
  </si>
  <si>
    <t>Excise Tax Exemption for Natural Gas Producers</t>
  </si>
  <si>
    <t>Excise Tax Exemption for Households</t>
  </si>
  <si>
    <t>Excise Tax Exemption for Fuel Used in Certain Boats</t>
  </si>
  <si>
    <t>Excise Tax Exemption for Fuel Used by Refiners</t>
  </si>
  <si>
    <t>Reduced Rate of VAT for Fuel and Power</t>
  </si>
  <si>
    <t>Excise Tax Refund for Fuels Used in Agriculture</t>
  </si>
  <si>
    <t>Excise Tax Refund for Fuels Used in Domestic Shipping Including Fishing</t>
  </si>
  <si>
    <t>Excise Tax Refund for Fuels Used in Tourist Boats</t>
  </si>
  <si>
    <t>Excise Tax and Other Tax Refunds for Fuel Used by Hospitals, Social Solidarity Institutions and Hotels</t>
  </si>
  <si>
    <t>Reduced Rate of VAT for District Heating</t>
  </si>
  <si>
    <t>Fuel Tax Exemption for Shipping</t>
  </si>
  <si>
    <t>Fuel Tax Reduction for Rail Transport</t>
  </si>
  <si>
    <t>Energy Tax Breaks for Agriculture</t>
  </si>
  <si>
    <t>Tax Relief for Ambulances</t>
  </si>
  <si>
    <t>Tax Relief for Trucking Companies</t>
  </si>
  <si>
    <t>Tax Relief for Users Living in Disadvantaged Areas</t>
  </si>
  <si>
    <t>Tax Relief for National Army Forces</t>
  </si>
  <si>
    <t>Tax Relief for Taxi Drivers</t>
  </si>
  <si>
    <t>Fuel Tax Exemption for Water Lifting</t>
  </si>
  <si>
    <t>Fuel Tax Exemption for Blast Furnaces</t>
  </si>
  <si>
    <t>Industrial Expansion and Revitalization Credit</t>
  </si>
  <si>
    <t>Sales Tax Exemption for Coal</t>
  </si>
  <si>
    <t>Sales Tax Exemption for Electricity Used in Enhanced Oil Recovery</t>
  </si>
  <si>
    <t>Sales tax exemption for coal</t>
  </si>
  <si>
    <t>Reduced Energy Tax Rate in Horticulture</t>
  </si>
  <si>
    <t>Energy Tax Rebate for Religious Institutions</t>
  </si>
  <si>
    <t>Energy Tax Rebate for Non Profit Organisations</t>
  </si>
  <si>
    <t>CO2 Tax Exemption for Natural Gas Used in Greenhouses</t>
  </si>
  <si>
    <t>NOx Tax Exemption for Industry</t>
  </si>
  <si>
    <t>NOx Tax Exemption for the Petroleum Sector</t>
  </si>
  <si>
    <t>Fuel Tax Exemption for Coastal and Inland Navigation</t>
  </si>
  <si>
    <t>Fuel Tax Exemption for Railway Vehicles</t>
  </si>
  <si>
    <t>Fuel Tax Exemption for Certain Industrial Processes</t>
  </si>
  <si>
    <t>Exemptions from the Coal Tax</t>
  </si>
  <si>
    <t>Exemption from Excise Duty for Certain Uses of Energy Products</t>
  </si>
  <si>
    <t>Partial Refund of Excise Duty on Fuel Used in Stationary Working Machinery</t>
  </si>
  <si>
    <t>Refund of Excise Duty on Diesel Used as Fuel for Commercial Purposes</t>
  </si>
  <si>
    <t>Energy Tax Exemption for Domestic Shipping</t>
  </si>
  <si>
    <t>Reduced Energy Tax Rate for Fuels Used in CHP Plants</t>
  </si>
  <si>
    <t>Reduced Energy Tax Rate on Diesel for the Mining Industry</t>
  </si>
  <si>
    <t>Reduced Energy Tax Rate on Heating Fuels for Industrial Consumers</t>
  </si>
  <si>
    <t>Reduced CO2 Tax Rate for Industrial Consumers outside EU ETS</t>
  </si>
  <si>
    <t>CO2 Tax Reduction for Energy Intensive Companies</t>
  </si>
  <si>
    <t>Specific CO2 Tax Reduction for Greenhouses and Agriculture</t>
  </si>
  <si>
    <t>General CO2 Tax Reduction for Greenhouses and Agriculture</t>
  </si>
  <si>
    <t>CO2 Tax Reduction for Diesel used in Agriculture and Forestry</t>
  </si>
  <si>
    <t>CO2 Tax Exemption for Domestic Shipping</t>
  </si>
  <si>
    <t>Reduced CO2 Tax Rate for Diesel Used by the Mining Industry</t>
  </si>
  <si>
    <t>Reduced CO2 Rate for District Heating Supplied to Industry</t>
  </si>
  <si>
    <t>Total World</t>
  </si>
  <si>
    <t>ND Motor Vehicle Fuel Tax Exemptions</t>
  </si>
  <si>
    <t>Prime Supplier Sales Volume</t>
  </si>
  <si>
    <t>Petroleum Products Pricing Act</t>
  </si>
  <si>
    <t>Fuel-Tax Concessions for Certain Industrial Activities</t>
  </si>
  <si>
    <t>Fuel-Tax Concessions for Farmers and Fishers</t>
  </si>
  <si>
    <t>1 ktoe =</t>
  </si>
  <si>
    <t>1 toe =</t>
  </si>
  <si>
    <t>1 BOE =</t>
  </si>
  <si>
    <t>1 g oil equivalent =</t>
  </si>
  <si>
    <t>ND Special Fuels Taxes Exemption</t>
  </si>
  <si>
    <t>Fuel Tax reductions for Certain Commercial and Industrial Users</t>
  </si>
  <si>
    <t>Fuel Tax Exemption for Rail Transport</t>
  </si>
  <si>
    <t>Fuel Tax Exemption for Inland navigation</t>
  </si>
  <si>
    <t>Energy Tax refund for Oil Used in Heating</t>
  </si>
  <si>
    <t>Carbon Dioxide Tax Refund for Refining</t>
  </si>
  <si>
    <t>Energy Duty Exemption for Ferries</t>
  </si>
  <si>
    <t>Peak Equalization Scheme</t>
  </si>
  <si>
    <t>Energy Tax relief for Public Transportation</t>
  </si>
  <si>
    <t>Excise Duty Exemption for Fuels Used in Mineralogical Processes</t>
  </si>
  <si>
    <t>Subsidy for Supplies of Fuels to Remote Areas</t>
  </si>
  <si>
    <t>Heating Allowance for Households for Space Heating Purposes</t>
  </si>
  <si>
    <t>Excise Tax refund for Fuels Used in Tourist Boats</t>
  </si>
  <si>
    <t>Excise Tax and Other Tax refunds for Fuel Used by Hospitals, Social Solidarity Institutions ond Hotels</t>
  </si>
  <si>
    <t>Excise Duty Exemption for Fuels Used in Stationary Engines and Warehouse Vehicles</t>
  </si>
  <si>
    <t>Fuel Tax Reduction for Agricultural Machinery</t>
  </si>
  <si>
    <t>Exemptions for Excise Duty on Fuel for Diplomatic Missions, etc.</t>
  </si>
  <si>
    <t xml:space="preserve">Partial Refund of Excise Duty on Motor Fuel Used in Agriculture and Forestry Machinery </t>
  </si>
  <si>
    <t>NL Home Heating Rebate Program</t>
  </si>
  <si>
    <t>Home Energy Assistance Program</t>
  </si>
  <si>
    <t>Fuel Supplement</t>
  </si>
  <si>
    <t>Yukon Pioneer Utility Grant Program</t>
  </si>
  <si>
    <t>Swiss Franc</t>
  </si>
  <si>
    <t>Fuel Consumption Fund</t>
  </si>
  <si>
    <t>Energy Development Fund</t>
  </si>
  <si>
    <t>Other industrial countries (per l)</t>
  </si>
  <si>
    <t>Other countries (per l)</t>
  </si>
  <si>
    <t>EU-28 (per '000 l)</t>
  </si>
  <si>
    <t>Commercial distillate</t>
  </si>
  <si>
    <t>Ex Tax</t>
  </si>
  <si>
    <t>Reference</t>
  </si>
  <si>
    <t>Net</t>
  </si>
  <si>
    <t>Exempt</t>
  </si>
  <si>
    <t>(gal)</t>
  </si>
  <si>
    <t>1 gal LPG =</t>
  </si>
  <si>
    <t>Sales price</t>
  </si>
  <si>
    <t>($/gal)</t>
  </si>
  <si>
    <t>PDS Kerosene and Domestic LPG Subsidy Scheme</t>
  </si>
  <si>
    <t>Freight Subsidy Scheme to Remote Areas</t>
  </si>
  <si>
    <t>Compensation for Under-recoveries Incurred by Downstream Oil Companies</t>
  </si>
  <si>
    <t>Rajiv Gandhi Grameen LPG Vitrak Yojana</t>
  </si>
  <si>
    <t>Reduced Energy-Tax Rate for District Heating Supplied to Industry</t>
  </si>
  <si>
    <t>Strategic Petroleum Reserve</t>
  </si>
  <si>
    <t>Oil Deduction Severance Tax on Transportation Fees</t>
  </si>
  <si>
    <t>Severance Tax Suspension on Oil from Horizontal Wells</t>
  </si>
  <si>
    <t>Severance Tax Suspension on Oil from Inactive Wells</t>
  </si>
  <si>
    <t>Severance Tax Suspension on Oil from Deep Wells</t>
  </si>
  <si>
    <t>Severance Tax Suspension on Oil from Tertiary Recovery</t>
  </si>
  <si>
    <t>Reduced Severance Tax Rate on Incapable Oil Wells</t>
  </si>
  <si>
    <t>Reduced Severance Tax Rate on Oil from Stripper Wells</t>
  </si>
  <si>
    <t>Taxable Per Barrel Credit</t>
  </si>
  <si>
    <t>Gross Value Reduction</t>
  </si>
  <si>
    <t>Oil and Gas Industry Service Expenditures Credit</t>
  </si>
  <si>
    <t>Property-Tax Exemption for Intangible Drilling Expenses</t>
  </si>
  <si>
    <t>In-State Refinery Tax Credit</t>
  </si>
  <si>
    <t>Impact Assistance Credit</t>
  </si>
  <si>
    <t>Severance-Tax Reductions for Low-Volume Wells</t>
  </si>
  <si>
    <t>Severance-Tax Reductions for New Oil-Shale Facilities</t>
  </si>
  <si>
    <t>Severance-Tax Exemption for Low-Volume Oil-Shale Production</t>
  </si>
  <si>
    <t>Occupational-Privilege-Tax Exemption for Oil and Gas Workers</t>
  </si>
  <si>
    <t>Reduced Value for Certain Mineral Properties</t>
  </si>
  <si>
    <t>Sales-Tax Exemption for CO2 Used in Tertiary Recovery</t>
  </si>
  <si>
    <t>Sales-Tax Exclusion for Installation of Board Roads in Oil-fields</t>
  </si>
  <si>
    <t>Sales-Tax Exclusion on Drilling Rigs</t>
  </si>
  <si>
    <t>Sales-Tax Exemption for Repairs and Materials Used on Drilling Rigs</t>
  </si>
  <si>
    <t>Sales-Tax Exemption on Alternative Substances Used as Fuels</t>
  </si>
  <si>
    <t>Cost of Complying with Sulphur Regulations</t>
  </si>
  <si>
    <t>Full Expensing of Capital Investments in Qualified New Refinery Capacity</t>
  </si>
  <si>
    <t>Gross Production and Excise Tax Credits, Small Business and Rural Small Business Capital Companies</t>
  </si>
  <si>
    <t>Realty-Transfer Tax Exemption for Resource Leases</t>
  </si>
  <si>
    <t>Severance-Tax Reduction for Stripper Wells</t>
  </si>
  <si>
    <t>Severance-Tax Reduction for Tertiary Recovery</t>
  </si>
  <si>
    <t>24-Month Severance-Tax Reduction</t>
  </si>
  <si>
    <t>Severance-Tax Reduction for Workover Wells</t>
  </si>
  <si>
    <t>Severance-Tax Reduction for Idle Wells</t>
  </si>
  <si>
    <t>Sales-Tax Exemption for Certain Well Services</t>
  </si>
  <si>
    <t>Sales-Tax Exemption for CO2 Used in Tertiary Production</t>
  </si>
  <si>
    <t>Reduced Tax Rate for Certain Wells Outside the Bakken and Three Forks Region</t>
  </si>
  <si>
    <t>Sales tax exemption for oil</t>
  </si>
  <si>
    <t>Sales tax exemption for CO2 used for enhance oil recovery</t>
  </si>
  <si>
    <t>$2013 to $2014 conversion =</t>
  </si>
  <si>
    <t>PRT Tariff Receipts Allowance</t>
  </si>
  <si>
    <t>PRT Oil Allowance</t>
  </si>
  <si>
    <t>Ring-Fence Expenditure Supplement</t>
  </si>
  <si>
    <t>Field Allowance</t>
  </si>
  <si>
    <t>Mineral Extraction Allowance</t>
  </si>
  <si>
    <t>Abandonment Costs</t>
  </si>
  <si>
    <t>Crude</t>
  </si>
  <si>
    <t>Earned Depletion Allowance</t>
  </si>
  <si>
    <t>Flow Through Share Deductions</t>
  </si>
  <si>
    <t>Reclassification of Expenses Under FTS</t>
  </si>
  <si>
    <t>Canadian Exploration Expenses</t>
  </si>
  <si>
    <t>Funding for Geoscience BC</t>
  </si>
  <si>
    <t>Heartlands Oil and Gas Road Rehabilitation</t>
  </si>
  <si>
    <t>Oil and Gas R&amp;D Funding</t>
  </si>
  <si>
    <t>Petroleum Exploration Enhancement Program</t>
  </si>
  <si>
    <t>Offshore Development Fund</t>
  </si>
  <si>
    <t>Alberta Crown Royalty Reductions</t>
  </si>
  <si>
    <t>Saskatchewan Petroleum Research Incentive</t>
  </si>
  <si>
    <t>Road and Pipeline Infrastructure Credit</t>
  </si>
  <si>
    <t>Manitoba Drilling Incentive Program</t>
  </si>
  <si>
    <t>Oil Product Quality Assurance Subsidy</t>
  </si>
  <si>
    <t>Large-Scale Oil Disaster Prevention Subsidy</t>
  </si>
  <si>
    <t>New Frontiers</t>
  </si>
  <si>
    <t>Creating Opportunities for Resource Exploration</t>
  </si>
  <si>
    <t>Capital Expenditure Deduction for Mining, Quarrying and Petroleum Operations</t>
  </si>
  <si>
    <t>Increased Deduction for Petroleum Exploration Expenditure</t>
  </si>
  <si>
    <t>Expenditure Uplift Rate</t>
  </si>
  <si>
    <t>Tax Deductions for Petroleum-Mining Expenditures</t>
  </si>
  <si>
    <t>Non-Resident Drilling Rig and Seismic Ship Tax Exemption</t>
  </si>
  <si>
    <t>Reduction in Royalty Payments for Petroleum</t>
  </si>
  <si>
    <t>Research and Development</t>
  </si>
  <si>
    <t>Acquisition of Petroleum Exploration Data</t>
  </si>
  <si>
    <t>Management of IEA Oil Stocks</t>
  </si>
  <si>
    <t>National Priority Scientific Research Funding to Major CNOOC Subsidiaries</t>
  </si>
  <si>
    <t>Resource-Tax Abatements and Refunds for Oil and Gas Extraction</t>
  </si>
  <si>
    <t>Tax Abatements or Exemptions for Sino-Foreign Joint Ventures in Oil &amp; Gas Extraction</t>
  </si>
  <si>
    <t>Naphtha and Fuel-Oil Excise-Tax Exemptions and Rebates</t>
  </si>
  <si>
    <t>Zero Excise Tax on MTBE, Aromatics and Mixed Aromatics</t>
  </si>
  <si>
    <t>Tax Reductions for Newly Developed Oilfields in Specific Regions</t>
  </si>
  <si>
    <t>Tax Reductions for Newly Developed Offshore Oilfields North of the Arctic Circle</t>
  </si>
  <si>
    <t>Tax Reductions for New Offshore Oilfields in the Black and Okhotsk Seas</t>
  </si>
  <si>
    <t>Tax Reductions for Newly Developed Onshore Oilfields North of the 65th Latitude</t>
  </si>
  <si>
    <t>Reduced Extraction Tax for Investment into Exploration and Prospecting</t>
  </si>
  <si>
    <t>Temporary Exemption from Export Taxes for Oil Produced in East Siberia</t>
  </si>
  <si>
    <t>Temporary Exemption from Export Taxes for Oil Produced in the Caspian Sea</t>
  </si>
  <si>
    <t>Reduction of the Extraction Tax for Oil in Tatarstan and Bashkortostan</t>
  </si>
  <si>
    <t>Property-Tax Exemption for Trunk Oil and Gas Pipelines</t>
  </si>
  <si>
    <t>Federal Budget Spending on Exploration and Prospecting for Hydrocarbons</t>
  </si>
  <si>
    <t>Special Tax Regime for Goods used in the Exploration and Production of Oil and Natural Gas Fields — REPETRO</t>
  </si>
  <si>
    <t>National Plan for Research and Development in the Oil and Gas Sector - CT-Petro</t>
  </si>
  <si>
    <t>cubic feet (per IRS)</t>
  </si>
  <si>
    <t>1 gge of CNG =</t>
  </si>
  <si>
    <t>1 gallon of CNG =</t>
  </si>
  <si>
    <t>therms</t>
  </si>
  <si>
    <t>Other taxes</t>
  </si>
  <si>
    <t>($/MBtu)</t>
  </si>
  <si>
    <t>Per gge</t>
  </si>
  <si>
    <t>1 kg of natural gas =</t>
  </si>
  <si>
    <t>1 metric tonne of natural gas =</t>
  </si>
  <si>
    <t>Alternative Fuels Production Credit</t>
  </si>
  <si>
    <t>Low Income Home Energy Assistance Program</t>
  </si>
  <si>
    <t>LNG Storage Facility Credit</t>
  </si>
  <si>
    <t>Gas Exploration and Development Credit</t>
  </si>
  <si>
    <t>Sales-Tax Exclusion for Natural Gas Used in the Production of Iron</t>
  </si>
  <si>
    <t>Sales-Tax Exemption on Energy for Residential Use</t>
  </si>
  <si>
    <t>Severance-Tax Exemption for Flared Natural Gas</t>
  </si>
  <si>
    <t>Severance-Tax Credit for Certain R&amp;D Projects</t>
  </si>
  <si>
    <t>Sales-Tax Exemption for Energy Sold to Government</t>
  </si>
  <si>
    <t>Coal Conversion Tax Exemptions</t>
  </si>
  <si>
    <t>Sales tax exemption for natural gas</t>
  </si>
  <si>
    <t>$billion</t>
  </si>
  <si>
    <t>OECD Natural Gas Subsidies</t>
  </si>
  <si>
    <t>Small Fields Policy</t>
  </si>
  <si>
    <t>Marginal Fields and Prospects Incentive</t>
  </si>
  <si>
    <t>Reduced Energy-Tax Rate on Natural Gas Used in Transport</t>
  </si>
  <si>
    <t>Deep Drilling Credit</t>
  </si>
  <si>
    <t>CO2 Tax Exemption for Natural Gas Used by Industries Outside EU ETS</t>
  </si>
  <si>
    <t>Reticulated Natural Gas Rebate</t>
  </si>
  <si>
    <t>Home Energy Emergency Assistance Scheme</t>
  </si>
  <si>
    <t>Energy Accounts Payment Assistance Scheme</t>
  </si>
  <si>
    <t>Energy Resources Program</t>
  </si>
  <si>
    <t>Risk-Sharing Agreement with Genesis Energy</t>
  </si>
  <si>
    <t>Support Measures for Coal Bed Methane Producers</t>
  </si>
  <si>
    <t>2012-2015 Shale Gas Subsidies</t>
  </si>
  <si>
    <t>VAT Reduction for Natural Gas and Coal for Home Use</t>
  </si>
  <si>
    <t>Tax Exemptions for Coal and Natural Gas Used in Electricity Generation</t>
  </si>
  <si>
    <t>Tax Reductions for Gas and Condensate Produced on the Yamal Peninsula</t>
  </si>
  <si>
    <t>Exemption from the Extraction Tax for Natural Gas Used in Gas Cycling</t>
  </si>
  <si>
    <t>China coal tax calculation</t>
  </si>
  <si>
    <t>Department for Energy Development and Independence</t>
  </si>
  <si>
    <t>Coal Academy Mining Workforce Development</t>
  </si>
  <si>
    <t>Mine Safety and Licensing</t>
  </si>
  <si>
    <t>Advanced Conversion Technology Task Force</t>
  </si>
  <si>
    <t>Coal Development Trust Fund</t>
  </si>
  <si>
    <t>Abandoned Mine Reclamation Fund</t>
  </si>
  <si>
    <t>Reduced Tax for Thin-Seamed Coal</t>
  </si>
  <si>
    <t>Thin Seam Tax Credit</t>
  </si>
  <si>
    <t>Coal Incentive Tax Credit</t>
  </si>
  <si>
    <t>Sales Tax Incentive for Alternative Fuel or Gasification Facilities</t>
  </si>
  <si>
    <t>Railroad Improvement Tax Credit</t>
  </si>
  <si>
    <t>Nonrefundable Tax Credit for the Purchase of Oklahoma Mined Coal</t>
  </si>
  <si>
    <t>Mineral Resources and Mapping Program</t>
  </si>
  <si>
    <t>Coal Used in the Manufacture of Electricity</t>
  </si>
  <si>
    <t>Severance-Tax Reduction for Underground Coal</t>
  </si>
  <si>
    <t>Severance-Tax Reduction for Lignite</t>
  </si>
  <si>
    <t>Severance-Tax Exemption for Low-Volume Coal Mining</t>
  </si>
  <si>
    <t>Coal Used to Burn Solid Waste</t>
  </si>
  <si>
    <t>Coal Waste Removal Tax Credit</t>
  </si>
  <si>
    <t>Alternative Energy Production Tax Credit</t>
  </si>
  <si>
    <t>Severance-Tax Exemption for Coal Used as Process Energy</t>
  </si>
  <si>
    <t>Property-Tax Exemption for Underground Coal-Mining Equipment</t>
  </si>
  <si>
    <t>Sales-Tax Exemption for Coal-Gasification Equipment</t>
  </si>
  <si>
    <t>Coal Severance Tax Exemptions</t>
  </si>
  <si>
    <t>Capital Gains Treatment of Royalties on Coal</t>
  </si>
  <si>
    <t>Refined Coal Credit</t>
  </si>
  <si>
    <t>Indian Coal Credit</t>
  </si>
  <si>
    <t>Compensation of Municipalities Affected by Mining Funded from Royalties on Mining Leases</t>
  </si>
  <si>
    <t>Remediation of Environmental Damages Caused by Mining Funded from Royalties on Coal Extraction</t>
  </si>
  <si>
    <t>Restructuring of the Coal Mining Industry</t>
  </si>
  <si>
    <t>Mining Royalty Exemption for Hard Coal</t>
  </si>
  <si>
    <t>Mining Royalty Exemption for Lignite</t>
  </si>
  <si>
    <t>Water Fee Exemption for Hard Coal Producers</t>
  </si>
  <si>
    <t>Water Fee Exemption for Lignite Coal Producers</t>
  </si>
  <si>
    <t>Operating Aid to HUNOSA</t>
  </si>
  <si>
    <t>Operating Aid to Coal Producers</t>
  </si>
  <si>
    <t>Adjustment Aid to Coal Producers</t>
  </si>
  <si>
    <t>Inherited Liabilities Due to Coal Mining</t>
  </si>
  <si>
    <t>Coal Penny</t>
  </si>
  <si>
    <t>Support for Phasing Out Mining Activity by Bana Dolina, Vel’ky Krtis, a.s</t>
  </si>
  <si>
    <t>Strategic-Stockpile-Fee Exemption for Peat</t>
  </si>
  <si>
    <t>Energy Tax Exemption for Peat on Plants up until 5000 MWh per year of generation</t>
  </si>
  <si>
    <t>Energy Security Levy Exemption for Peat</t>
  </si>
  <si>
    <t>Peat Storage Support Coverage</t>
  </si>
  <si>
    <t>Inherited Liabilities Related to Coal Mining</t>
  </si>
  <si>
    <t>Mining Exploration Tax Credit</t>
  </si>
  <si>
    <t>Mineral Tax Framework</t>
  </si>
  <si>
    <t>Coal Industry Development</t>
  </si>
  <si>
    <t>Collingwood Park Mine Subsidence Package</t>
  </si>
  <si>
    <t>Stowing-Excise-Duty Exemption for the Development of Transportation Infrastructure in Coalfield Areas</t>
  </si>
  <si>
    <t>Stowing-Excise-Duty Exemption for Conservation and Safety in Coal Mines</t>
  </si>
  <si>
    <t>Tax Differential for Coal, Crude Oil, Aviation Turbine Fuel and LPG Under “Declared Goods” Status</t>
  </si>
  <si>
    <t>Regional Exploration, Promotional Exploration and Detailed Drilling in Non-CIL Blocks</t>
  </si>
  <si>
    <t>Coal Research and Development Programme</t>
  </si>
  <si>
    <t>Coal Environmental Measures and Subsidence Control</t>
  </si>
  <si>
    <t>Coal Sector Information Technology and Coal Controller</t>
  </si>
  <si>
    <t>Federal Budget Spending on Exploration and Prospecting for Coal</t>
  </si>
  <si>
    <t>Subsidies to Coal Mining and Processing Organizations for Environmental Liabilities</t>
  </si>
  <si>
    <t>Federal Support for Restructuring and Development of the Coal Industry</t>
  </si>
  <si>
    <t>World</t>
  </si>
  <si>
    <t>(Fossil Fuel Share)</t>
  </si>
  <si>
    <t>Electricity - Commercial</t>
  </si>
  <si>
    <t>1 TJ =</t>
  </si>
  <si>
    <t>1 GJ =</t>
  </si>
  <si>
    <t>US State Tax, Electricity - Residential</t>
  </si>
  <si>
    <t>Gross overtax</t>
  </si>
  <si>
    <t>Sales tax</t>
  </si>
  <si>
    <t>State tax</t>
  </si>
  <si>
    <t>Sample</t>
  </si>
  <si>
    <t>$/gallon</t>
  </si>
  <si>
    <t>US State Tax Severance Taxes</t>
  </si>
  <si>
    <t>Severance Tax</t>
  </si>
  <si>
    <t>Severance tax</t>
  </si>
  <si>
    <t>US State Tax, Electricity - Commercial</t>
  </si>
  <si>
    <t>Summary</t>
  </si>
  <si>
    <t>LPG Transport</t>
  </si>
  <si>
    <t>LPG Res</t>
  </si>
  <si>
    <t>LPG Comm</t>
  </si>
  <si>
    <t>NG Res</t>
  </si>
  <si>
    <t>NG Comm</t>
  </si>
  <si>
    <t>NG Ind</t>
  </si>
  <si>
    <t>Elect Res</t>
  </si>
  <si>
    <t>Elect Comm</t>
  </si>
  <si>
    <t>Elect Ind</t>
  </si>
  <si>
    <t>Kero Res</t>
  </si>
  <si>
    <t>OECD Subsidy</t>
  </si>
  <si>
    <t>Net overtax per gge</t>
  </si>
  <si>
    <t>Gge</t>
  </si>
  <si>
    <t>NA</t>
  </si>
  <si>
    <t>Other Industrial</t>
  </si>
  <si>
    <t>Excise tax</t>
  </si>
  <si>
    <t>GDP</t>
  </si>
  <si>
    <t>Total other industrial</t>
  </si>
  <si>
    <t>Share</t>
  </si>
  <si>
    <t>Total BRIC</t>
  </si>
  <si>
    <t>Total Oil Producers</t>
  </si>
  <si>
    <t>LPG Ind</t>
  </si>
  <si>
    <t>Kero Ind</t>
  </si>
  <si>
    <t>GJ per gge</t>
  </si>
  <si>
    <t>Excise</t>
  </si>
  <si>
    <t>Kero Comm</t>
  </si>
  <si>
    <t>Pretax Price</t>
  </si>
  <si>
    <t>($/gallon)</t>
  </si>
  <si>
    <t xml:space="preserve">EU-28 </t>
  </si>
  <si>
    <t>Pre-tax value</t>
  </si>
  <si>
    <t>Retail value</t>
  </si>
  <si>
    <t>LC/'000 liter</t>
  </si>
  <si>
    <t>Other petroleum products</t>
  </si>
  <si>
    <t>Retail price</t>
  </si>
  <si>
    <t>To convert euros per kWh to $ per gge</t>
  </si>
  <si>
    <t>1 TBtu LPG =</t>
  </si>
  <si>
    <t>(LC/unit)</t>
  </si>
  <si>
    <t>(LC/Unit)</t>
  </si>
  <si>
    <t>Total VAT</t>
  </si>
  <si>
    <t>on pretax</t>
  </si>
  <si>
    <t>on excise</t>
  </si>
  <si>
    <t xml:space="preserve">Default pre-tax prices </t>
  </si>
  <si>
    <t>Reference tax</t>
  </si>
  <si>
    <t>Residential distillate</t>
  </si>
  <si>
    <t>overtax</t>
  </si>
  <si>
    <t>Distillate heating oil/fuel oil</t>
  </si>
  <si>
    <t>Intl Aviation</t>
  </si>
  <si>
    <t>Bunkers (kt)</t>
  </si>
  <si>
    <t>Bunkers (gal)</t>
  </si>
  <si>
    <t>(LC/liter)</t>
  </si>
  <si>
    <t>Industrial natural gas</t>
  </si>
  <si>
    <t>Average</t>
  </si>
  <si>
    <t>tonne (gge)</t>
  </si>
  <si>
    <t>1 mt anthracite =</t>
  </si>
  <si>
    <t>1 mt bituminous coal =</t>
  </si>
  <si>
    <t>1 mt sub-bituminous coal =</t>
  </si>
  <si>
    <t>1 mt lignite =</t>
  </si>
  <si>
    <t>tonne (MBtu)</t>
  </si>
  <si>
    <t>Coal (assume bituminous)</t>
  </si>
  <si>
    <t>NW Europe</t>
  </si>
  <si>
    <t>per mt</t>
  </si>
  <si>
    <t>Japan steam coal imports</t>
  </si>
  <si>
    <t>per gge</t>
  </si>
  <si>
    <t>Excise LC</t>
  </si>
  <si>
    <t>1 GWh =</t>
  </si>
  <si>
    <t>1GWh=</t>
  </si>
  <si>
    <t>Wh</t>
  </si>
  <si>
    <t>Btu/kWh</t>
  </si>
  <si>
    <t>Btu/GWh</t>
  </si>
  <si>
    <t>gge/GWh</t>
  </si>
  <si>
    <t>per GWh</t>
  </si>
  <si>
    <t>(LC/MWh)</t>
  </si>
  <si>
    <t>Electricity - Industrial</t>
  </si>
  <si>
    <t>BRIC</t>
  </si>
  <si>
    <t>Extax price</t>
  </si>
  <si>
    <t>Res Dist</t>
  </si>
  <si>
    <t>Com Dist</t>
  </si>
  <si>
    <t>Ind Dist</t>
  </si>
  <si>
    <t>OECD gasoline subsidies</t>
  </si>
  <si>
    <t>Oil Producers</t>
  </si>
  <si>
    <t>NG</t>
  </si>
  <si>
    <t>Electr</t>
  </si>
  <si>
    <t>IEA Producer country subsidies</t>
  </si>
  <si>
    <t>Oman</t>
  </si>
  <si>
    <t>Domestic</t>
  </si>
  <si>
    <t>Intrntl</t>
  </si>
  <si>
    <t>Mis petroleum products for producing countries</t>
  </si>
  <si>
    <t>Energy Tax Relief for Public Transportation</t>
  </si>
  <si>
    <t xml:space="preserve">Excise Duty Exemption for Fuels Used in Stationary Engines and Warehouse Vehicles </t>
  </si>
  <si>
    <t>Subsidy for Suppliers of Fuel to Remote Areas</t>
  </si>
  <si>
    <t>Reduced Rate of Excise for Gasoline Sold in Corsica</t>
  </si>
  <si>
    <t>Exemption from Excise Duty on Fuels Used in Fishing Boats</t>
  </si>
  <si>
    <t>Fuel Tax Exemptions for Agriculture</t>
  </si>
  <si>
    <t>Fuel Tax Exemptions for Fisheries</t>
  </si>
  <si>
    <t>Petroleum Fuels Price Reform Support Programmes</t>
  </si>
  <si>
    <t>Local Currency</t>
  </si>
  <si>
    <t>Heating Oil Social Fund</t>
  </si>
  <si>
    <t>Reduced Rate of Excise for Certain Uses of Petroleum Fuels</t>
  </si>
  <si>
    <t>Fuel Tax refund for Railways</t>
  </si>
  <si>
    <t>Fuel Tax Refund for Agriculture</t>
  </si>
  <si>
    <t>Energy Tax refund for Energy Intensive Industries</t>
  </si>
  <si>
    <t>Reduced Rate of VAT for Red Diesel</t>
  </si>
  <si>
    <t>Fuel Tax Credits</t>
  </si>
  <si>
    <t>Petroleum Fuels Price Support Programmes</t>
  </si>
  <si>
    <t>Refund of Excise Tax for Own Use of Fuel in Oil and Gas Fields</t>
  </si>
  <si>
    <t>Compensation for the Under-recoveries Incurred by Downstream Oil Companies</t>
  </si>
  <si>
    <t>Fuel Tax Exemption for LPG and Natural Gas Used as Motor Fuels</t>
  </si>
  <si>
    <t>Fuel Tax Reductions</t>
  </si>
  <si>
    <t>Tax Relief for Certain LPG Users</t>
  </si>
  <si>
    <t>Energy Tax Refund for Energy Intensive Industries</t>
  </si>
  <si>
    <t>Energy Tax Exemption for LPG</t>
  </si>
  <si>
    <t>Gasoline Tax Reduction for Propane</t>
  </si>
  <si>
    <t>Fuel-Tax Exemption for Propane Gas</t>
  </si>
  <si>
    <t>Nox Tax Exemption for Industry</t>
  </si>
  <si>
    <t>Non-Mains Energy Concession</t>
  </si>
  <si>
    <t>Excise Concessions for "Alternative Fuels"</t>
  </si>
  <si>
    <t>Low-Income Home Energy Assistance Program</t>
  </si>
  <si>
    <t>Reduced Rate for Jet Fuel</t>
  </si>
  <si>
    <t>Energy Duty Exemption for Aircrafts</t>
  </si>
  <si>
    <t>Excise Duty Exemption for Fuels Used in Air Navigation.</t>
  </si>
  <si>
    <t>Fuel Tax Exemptions</t>
  </si>
  <si>
    <t>Energy Tax Exemption for Fuels Used in Commercial Aviation</t>
  </si>
  <si>
    <t>Excise Tax Exemption for Domestic Aviation</t>
  </si>
  <si>
    <t>Reduced VAT Rate for Certain Energy Products</t>
  </si>
  <si>
    <t xml:space="preserve">Energy Tax Exemption for Fuels Used in Commercial Aviation </t>
  </si>
  <si>
    <t>Energy Tax Exemption for Domestic Aviation</t>
  </si>
  <si>
    <t>Nox Tax Exemption for Domestic Aviation</t>
  </si>
  <si>
    <t>Reduced Excise Tax Rate on Aviation Fuel</t>
  </si>
  <si>
    <t>PIS/COFINS Fuel Tax Reduction</t>
  </si>
  <si>
    <t>Low-Income Home Energy Assistance</t>
  </si>
  <si>
    <t>Fuel Tax Reductions for Certain Commercial and Industrial Uses</t>
  </si>
  <si>
    <t>Fuel-Tax Exemption for Rail Transport</t>
  </si>
  <si>
    <t>OECD HFO subsidies</t>
  </si>
  <si>
    <t>Transportation</t>
  </si>
  <si>
    <t>OECD distillate subsidies</t>
  </si>
  <si>
    <t>Fuel Tax Exemption for Commercial Vessels</t>
  </si>
  <si>
    <t>Fuel tax Exemptions for Agriculture</t>
  </si>
  <si>
    <t>Naphtha and Fuel Oil Excise Tax Exemptions and Rebates</t>
  </si>
  <si>
    <t>Energy Tax Relief for Energy-Intensive Processes - Coke oven gas</t>
  </si>
  <si>
    <t>Energy Tax Relief for Energy-Intensive Processes - Blast furnace gas</t>
  </si>
  <si>
    <t>Manufacturer Privilege - Refinery gas</t>
  </si>
  <si>
    <t>Manufacturer Privilege - Petroleum coke</t>
  </si>
  <si>
    <t>Manufacturer Privilege - Other oil products</t>
  </si>
  <si>
    <t>Manufacturer Privilege - Coke oven gas</t>
  </si>
  <si>
    <t>Excise-Duty Exemption for Fuels Used as Inputs to Production</t>
  </si>
  <si>
    <t>Excise Tax Refund for Fuels Used in the Production of Energy Products for Intra-EU Use</t>
  </si>
  <si>
    <t>Fuel Tax Exemption for Agriculture - Lubricants</t>
  </si>
  <si>
    <t>Fuel Tax Exemption for Fisheries - Lubricants</t>
  </si>
  <si>
    <t>Reduced Excise Tax Rate on Aviation Fuel - Aviation Gasoline</t>
  </si>
  <si>
    <t>OECD Crude subsidies</t>
  </si>
  <si>
    <t>OECD LPG subsidies</t>
  </si>
  <si>
    <t>OECD Jet Fuel subsidies</t>
  </si>
  <si>
    <t>OECD Other kero subsidies</t>
  </si>
  <si>
    <t>OECD Other petroleum product subsidies</t>
  </si>
  <si>
    <t>Crude oil</t>
  </si>
  <si>
    <t>Natural gas liquids</t>
  </si>
  <si>
    <t>Tax issue?</t>
  </si>
  <si>
    <t>x</t>
  </si>
  <si>
    <t>Hydrocarbon Tax Allowance</t>
  </si>
  <si>
    <t>Energy Tax Exemption on Electricity used for Oil and Gas Drilling</t>
  </si>
  <si>
    <t xml:space="preserve">VAT Exemption for Offshore Drilling Equipment </t>
  </si>
  <si>
    <t xml:space="preserve">Canada </t>
  </si>
  <si>
    <t>Royalty-Free Thresholds</t>
  </si>
  <si>
    <t>Nox Tax Exemption for the Petroleum Sector</t>
  </si>
  <si>
    <t>Tax Abatements or Exemptions for Sino-Foreign Joint Ventures in Oil and Gas Extraction</t>
  </si>
  <si>
    <t>Income-Tax Exemption for the Production of Crude Oil from NELP Blocks</t>
  </si>
  <si>
    <t>Excise-Tax Exemption on Sales of Domestic Crude Oil</t>
  </si>
  <si>
    <t>Indian Strategic Petroleum Reserves, Ltd</t>
  </si>
  <si>
    <t>Special Tax Incentive for Oil Companies Infrastructure Development in North, Northeast and Midwest Regions - REPENEC</t>
  </si>
  <si>
    <t>National Plan for Research and Development in the Oil and Gas Sector – CT-Petro</t>
  </si>
  <si>
    <t>Federal Budget Spending on Research and Education Related to Fossil Fuels</t>
  </si>
  <si>
    <t>Total tax issues</t>
  </si>
  <si>
    <t>Total subsidies</t>
  </si>
  <si>
    <t>Fuel-Tax Exemptions for LPG and Natural Gas Used as Motor Fuels</t>
  </si>
  <si>
    <t>Energy Tax Exemption for Certain Uses of Natural Gas</t>
  </si>
  <si>
    <t>Excise-Duty Exemption for Fuels Used in Mineralogical Processes</t>
  </si>
  <si>
    <t>Excise-Duty Exemption for Natural Gas Used in Network Operation</t>
  </si>
  <si>
    <t>Reduced Rate of VAT on Natural Gas</t>
  </si>
  <si>
    <t>Tax Relief for Industrial Users of Natural Gas</t>
  </si>
  <si>
    <t>Tax Relief for Natural Gas Used in Hydrocarbon Exploitation</t>
  </si>
  <si>
    <t>Reduced VAT Rate for District Heating</t>
  </si>
  <si>
    <t>Houshold Cost Maintenance Subsidy</t>
  </si>
  <si>
    <t>Natural Gas Tax Exemption for Transportation and Processing of Fossil Energy Resources</t>
  </si>
  <si>
    <t>Tax break for Shale Gas Industry</t>
  </si>
  <si>
    <t>Public Support for the Construction and Reconstruction of the Gas Distribution Network</t>
  </si>
  <si>
    <t>Feed in Tariff for Natural Gas Used in CHP Plants</t>
  </si>
  <si>
    <t>Exemptions from the Natural Gas Tax</t>
  </si>
  <si>
    <t>Local Subsidies to Natural Gas Users</t>
  </si>
  <si>
    <t>Subsidies to Oil Companies for Transporting Natural Gas to the Northeastern Region</t>
  </si>
  <si>
    <t>Capital Contributions for Exploitation Rights and Assets Investment</t>
  </si>
  <si>
    <t>No data</t>
  </si>
  <si>
    <t>Data?</t>
  </si>
  <si>
    <t>ND</t>
  </si>
  <si>
    <t>IEA Subsidy</t>
  </si>
  <si>
    <t>OECD/IEA Subsidy</t>
  </si>
  <si>
    <t>Tax?</t>
  </si>
  <si>
    <t>OECD Coal subsidies</t>
  </si>
  <si>
    <t>Coking coal</t>
  </si>
  <si>
    <t>Other bituminous coal</t>
  </si>
  <si>
    <t>Sub-bituminous coal</t>
  </si>
  <si>
    <t>Hard coal (if no detail)</t>
  </si>
  <si>
    <t>Fuel-Tax Exemption for Residential Use of Coal</t>
  </si>
  <si>
    <t>Coke oven coke</t>
  </si>
  <si>
    <t>Energy Tax Exemption for Certain Uses of Solid Fuels</t>
  </si>
  <si>
    <t>BKB</t>
  </si>
  <si>
    <t>Excise Duty Exemption for Heating Fuels Used by Households</t>
  </si>
  <si>
    <t>Reduced VAT Rate on Heating Fuels to Certain Consumers</t>
  </si>
  <si>
    <t>Peat</t>
  </si>
  <si>
    <t>Excise Tax Exemption for Biomass Producers</t>
  </si>
  <si>
    <t>Public Service Obligation for Peat</t>
  </si>
  <si>
    <t>Coal Allowances in Coal Mining Sector</t>
  </si>
  <si>
    <t>Stranded Costs Compensations</t>
  </si>
  <si>
    <t>Closing of Trbovlje-Hrastnik Coalmine</t>
  </si>
  <si>
    <t>Patent fuel</t>
  </si>
  <si>
    <t>NOX Tax Exemption for Industry</t>
  </si>
  <si>
    <t>Coke oven coal</t>
  </si>
  <si>
    <t>VAT Exemption for Briquettes</t>
  </si>
  <si>
    <t>Coal Mining Inherited Social Liabilities</t>
  </si>
  <si>
    <t>Support for Coal Briquette Production</t>
  </si>
  <si>
    <t>Patent Fuel</t>
  </si>
  <si>
    <t>Exploration Development Incentive</t>
  </si>
  <si>
    <t>National Emergency Coal Reserve</t>
  </si>
  <si>
    <t>VAT Reduction for Natural Gas and Coal for Home UseInformation on item</t>
  </si>
  <si>
    <t>VAT Rebates for Oil-Shale Products and Coal-Mining By-Products</t>
  </si>
  <si>
    <t>Oil shale and oil sands</t>
  </si>
  <si>
    <t>Local Subsidies for Coal-Heating in Beijing</t>
  </si>
  <si>
    <t>Tax Exemptions for Coal and natural Gas Used in Electricity Generation</t>
  </si>
  <si>
    <t>Electricity Rebate</t>
  </si>
  <si>
    <t>Controlled Load Electricity Concession</t>
  </si>
  <si>
    <t>Low Income Household Rebate</t>
  </si>
  <si>
    <t>Family Energy Rebate</t>
  </si>
  <si>
    <t>OECD electricity subsidies</t>
  </si>
  <si>
    <t>US State Tax, Electricity -Industrial</t>
  </si>
  <si>
    <t>Bunker</t>
  </si>
  <si>
    <t>($/gge)</t>
  </si>
  <si>
    <t>ST</t>
  </si>
  <si>
    <t>(gge)</t>
  </si>
  <si>
    <t>Average for industrial consumption =</t>
  </si>
  <si>
    <t>Adjusted to IEA</t>
  </si>
  <si>
    <t>(¢/kWh)</t>
  </si>
  <si>
    <t>Total over</t>
  </si>
  <si>
    <t>Total under</t>
  </si>
  <si>
    <t>(MWh)</t>
  </si>
  <si>
    <t>IEA</t>
  </si>
  <si>
    <t>(kgal/d)</t>
  </si>
  <si>
    <t>State</t>
  </si>
  <si>
    <t>Ind Demand</t>
  </si>
  <si>
    <t>(TBtu)</t>
  </si>
  <si>
    <t>per kWh</t>
  </si>
  <si>
    <t>Total jet</t>
  </si>
  <si>
    <t>(gallons)</t>
  </si>
  <si>
    <t>US subsidies</t>
  </si>
  <si>
    <t>US tax</t>
  </si>
  <si>
    <t>OIC subsidies</t>
  </si>
  <si>
    <t>Subsidy?</t>
  </si>
  <si>
    <t>OIC tax</t>
  </si>
  <si>
    <t>Excise Tax Suspension for Domestic Aviation Fuel</t>
  </si>
  <si>
    <t>BRIC subsidies</t>
  </si>
  <si>
    <t>BRIC tax issues</t>
  </si>
  <si>
    <t>Grand total</t>
  </si>
  <si>
    <t>Per IEA</t>
  </si>
  <si>
    <t>Per capita</t>
  </si>
  <si>
    <t>PC subsidy</t>
  </si>
  <si>
    <t>Ind</t>
  </si>
  <si>
    <t>2015 Exchange rates</t>
  </si>
  <si>
    <t>As of 7/1/2015</t>
  </si>
  <si>
    <t>Source:  http://www.x-rates.com/historical/?from=USD&amp;amount=1&amp;date=2017-12-27</t>
  </si>
  <si>
    <t>2015 data</t>
  </si>
  <si>
    <t>OECD pre-tax average</t>
  </si>
  <si>
    <t>Unit</t>
  </si>
  <si>
    <t xml:space="preserve">Other industrial countries </t>
  </si>
  <si>
    <t xml:space="preserve">Other countries </t>
  </si>
  <si>
    <t>Fuel Tax Exemption for Boat Fund</t>
  </si>
  <si>
    <t>AK Foreign Fuel Exemption</t>
  </si>
  <si>
    <t>LA Gasoline Tax Refund for farmers, fishermen and aircrafts</t>
  </si>
  <si>
    <t>LA Gasoline &amp; Special Fuels Taxes for Commercial Fisherman</t>
  </si>
  <si>
    <t>AK Government Exemption</t>
  </si>
  <si>
    <t>AK Off-Highway Use Reduced Rate</t>
  </si>
  <si>
    <t>AK Reduced Rate for Marine Fuel</t>
  </si>
  <si>
    <t>LA Credit for Ad Valorem Tax on Offshore Vessels</t>
  </si>
  <si>
    <t>TX Gasoline Tax Exemptions</t>
  </si>
  <si>
    <t>OK Motor Fuel-Tax Exemption on Gasoline, Diesel and Kerosene</t>
  </si>
  <si>
    <t>WY Sales-Tax Exemption for Energy Sold to Government</t>
  </si>
  <si>
    <t>WV Fuel Tax Exemption for Certain Public Administrations</t>
  </si>
  <si>
    <t>PA Fuel Tax Exemption for Political Subdivisions</t>
  </si>
  <si>
    <t>PA Fuel Tax Exemption for Emergency Vehicles</t>
  </si>
  <si>
    <t>PA Fuel Tax Exemption for Agricultural Use</t>
  </si>
  <si>
    <t>PA Franchise Tax Exemption for Political Subdivisions</t>
  </si>
  <si>
    <t>PA Franchise Tax Exemption for Emergency Vehicles</t>
  </si>
  <si>
    <t>CO Sales Tax Exemption for Energy Used in Manufacturing</t>
  </si>
  <si>
    <t>KY Sales Tax Exemption for Gasoline and Special Fuel</t>
  </si>
  <si>
    <t>KY Sales Tax Exemption for Energy and Energy Producing Fuels</t>
  </si>
  <si>
    <t>KY Gasoline Tax Exemptions</t>
  </si>
  <si>
    <t>Energy Duty Exemption for Petrol Used in Agriculture</t>
  </si>
  <si>
    <t>Fuel tax exemptions</t>
  </si>
  <si>
    <t>Fuel tax reductions (farming and mining)</t>
  </si>
  <si>
    <t>Aid to Filling Stations</t>
  </si>
  <si>
    <t>Reduced Rate of Excise Tax for Superfuel with Certain Characteristics</t>
  </si>
  <si>
    <t>Overseas Excise Tax Exemption for Motor Fuels</t>
  </si>
  <si>
    <t>Fuel Excise Repayment for Disabled Drivers and Disabled Passengers Scheme</t>
  </si>
  <si>
    <t>Fuel Grant for Disabled Drivers and Disabled Passengers Scheme</t>
  </si>
  <si>
    <t>Reduction of Taxable Income for Gas Stations</t>
  </si>
  <si>
    <t>VAT Reduction on Oil Products Used in Electricity Production and Some Manufacturing and Agricultural Activities</t>
  </si>
  <si>
    <t>VAT Reduction on Oil Products Used by Agricultural Enterprises and Fishing Enterprises Operating in Internal Waters</t>
  </si>
  <si>
    <t>Excise Tax Reduction on Mineral Oils Used in the Agricultural Sector</t>
  </si>
  <si>
    <t>Energy Tax Relief for Mineral Oil Used in Testing Motors or Motor Vehicles</t>
  </si>
  <si>
    <t>Fuel Tax Exemption for Goods Consumed by International Airports</t>
  </si>
  <si>
    <t>Fuel Tax Exemption for Farming, Heating and Mining</t>
  </si>
  <si>
    <t>HST Rebate for Motor Fuels</t>
  </si>
  <si>
    <t>Sales Tax Exemption for Energy Products</t>
  </si>
  <si>
    <t>Exemption on Basic Tax on Mineral Oil - Shipping</t>
  </si>
  <si>
    <t>Implicit CO2 Tax Differential in Mineral Oil CO2 Tax</t>
  </si>
  <si>
    <t>Excise Tax Refund for Certain Transport Companies</t>
  </si>
  <si>
    <t>Excise Tax Refund for Farming, Forestry, Fishing and Natural Stone Mining</t>
  </si>
  <si>
    <t>Excise Tax Refund for Other Purposes</t>
  </si>
  <si>
    <t>Excise Tax Exemption for the Samnaun Enclave</t>
  </si>
  <si>
    <t>Excise Tax Exemption for Diplomatic Relationships</t>
  </si>
  <si>
    <t>Excise Tax Concession for Certain Uses</t>
  </si>
  <si>
    <t>Deduction of commuting expenses from the federal direct tax</t>
  </si>
  <si>
    <t>Project for Supporting Filling Stations to Take Proper Measures to Protect the Environment</t>
  </si>
  <si>
    <t>Project for Supporting Filling Stations to Maintain them as Regional Energy Supply Bases</t>
  </si>
  <si>
    <t>Project for Supporting Filling Stations to Maintain and Reinforce the Oil Products Distribution Network</t>
  </si>
  <si>
    <t>Support Project for Motor Gasoline Distribution Cost for Remote Islands</t>
  </si>
  <si>
    <t>Support Project for Filling Stations to Help Stabilise their Businesses</t>
  </si>
  <si>
    <t>Emergency Measures to Prevent Oil Spills from Underground Oil Tanks</t>
  </si>
  <si>
    <t>Fuel Sales Grants Scheme</t>
  </si>
  <si>
    <t>Cleaner Fuels Grants Scheme</t>
  </si>
  <si>
    <t>Petroleum Products Freight Subsidy Scheme</t>
  </si>
  <si>
    <t>Queensland Fuel Subsidy Scheme</t>
  </si>
  <si>
    <t>Petroleum Products Subsidy Scheme</t>
  </si>
  <si>
    <t>SA Fuel Subsidy Scheme</t>
  </si>
  <si>
    <t>Victorian Government Fuel Subsidy Scheme</t>
  </si>
  <si>
    <t>NT Fuel Subsidy Scheme</t>
  </si>
  <si>
    <t>Tasmanian Fuel Subsidy Scheme</t>
  </si>
  <si>
    <t>2008-2012 Government Grants to Sinopec and PetroChina</t>
  </si>
  <si>
    <t>2008 Operating Subsidies to Sinopec and PetroChina</t>
  </si>
  <si>
    <t>China (Note:  2014 numbers.  Not yet updated for 2015)</t>
  </si>
  <si>
    <t>India (Note:  2014 numbers.  Not yet updated for 2015)</t>
  </si>
  <si>
    <t>Government Investment into the Nizhekamsk Plants</t>
  </si>
  <si>
    <t>Regulated prices for Coimbustibles and Lubricants Supplied to Agricultural Producers</t>
  </si>
  <si>
    <t>US State Diesel Tax</t>
  </si>
  <si>
    <t>Discrepency between 2015 US total and state totals</t>
  </si>
  <si>
    <t>AK Affordable Heating Program</t>
  </si>
  <si>
    <t>NE Home Heating Oil Reserve</t>
  </si>
  <si>
    <t>Aid to Small Refiners for EPA Capital Costs</t>
  </si>
  <si>
    <t>AK Motor-Fuel Exemption for Power Generators</t>
  </si>
  <si>
    <t>AK Heating Fuel Exemption</t>
  </si>
  <si>
    <t>OK Sales-Tax Exemption for Rail Cars Used for Transporting Coal</t>
  </si>
  <si>
    <t>OK Sales-Tax Exemption for Diesel Fuel Used by Commercial Watercraft</t>
  </si>
  <si>
    <t>PA Sales-Tax Exemption for Commercial Vessels</t>
  </si>
  <si>
    <t>WV Fuel Tax Exemption for Dyed Diesel</t>
  </si>
  <si>
    <t>WV Fuel Tax Exemption for County Boards of Education</t>
  </si>
  <si>
    <t>WV Fuel Tax Exemption for Certain Off-Highway Uses</t>
  </si>
  <si>
    <t>PA Sales Tax Exemption for Residential Utilities</t>
  </si>
  <si>
    <t>PA Franchise Tax Exemption for Agricultural Use</t>
  </si>
  <si>
    <t>PA Franchise Tax Exemption for Truck Refrigeration Units</t>
  </si>
  <si>
    <t>CA Sales Tax Exemption for Diesel Used in Farming</t>
  </si>
  <si>
    <t>CA Sales Tax Exemption for Water Common Carriers</t>
  </si>
  <si>
    <t>CA Fuel Tax Exemption for Schools</t>
  </si>
  <si>
    <t>CO Sales Tax Exemption for Gasoline and Special Fuel</t>
  </si>
  <si>
    <t>CO Sales Tax Exemption for Fuel Used on Farms</t>
  </si>
  <si>
    <t>KY Sales Tax Exemption for Fuel Used in Farming</t>
  </si>
  <si>
    <t>KY Special Fuels Tax Exemption for Agricultural Use</t>
  </si>
  <si>
    <t>KY Special Fuels Tax Exemption for Non Highway Use</t>
  </si>
  <si>
    <t>KY Special Fuels Tax Exemption for Railroad Companies</t>
  </si>
  <si>
    <t>KY Special Fuels Tax Exemption for Residential Heating</t>
  </si>
  <si>
    <t>KY Other Special Fuels Tax Exemptions</t>
  </si>
  <si>
    <t>LA Excess of Percentage over Cost Depletion</t>
  </si>
  <si>
    <t>LA Sales Tax Exemption for Certain Fuels Used for Farm Purposes</t>
  </si>
  <si>
    <t>LA Sales Tax Prohibition for Fuels Subject to the Motor Fuels Tax</t>
  </si>
  <si>
    <t>AK Small Municipality Energy Assistance Program</t>
  </si>
  <si>
    <t>AK Power Cost Equalization</t>
  </si>
  <si>
    <t>Fuel Tax Reductions for Regional Bus Transport</t>
  </si>
  <si>
    <t>Energy Tax Rebate for Fuels Used in Horticultural Work</t>
  </si>
  <si>
    <t>Compensation for Farmers and Fishers for an Increased Excise Duty on Diesel</t>
  </si>
  <si>
    <t>Subsidy for Petroleum-Based Small- and Off-Grid Power Generators on Remote Islands</t>
  </si>
  <si>
    <t>Excise Tax Refund for Diesel Oil</t>
  </si>
  <si>
    <t>Fuel Tax Partial Refund</t>
  </si>
  <si>
    <t>Prime a la Cuve</t>
  </si>
  <si>
    <t>Reduced Rate of Excise Tax for Energy Products for Energy-Intensive Industries Subject to the GHG Emission Allowance Scheme of Dir. 2003/87/EC</t>
  </si>
  <si>
    <t>Reduced Rate of Excise Tax for Energy Products for Energy-Intensive Industries At Risk of Carbon Leakage</t>
  </si>
  <si>
    <t>Reduced Rate of Excise Tax for Taxi Drivers</t>
  </si>
  <si>
    <t>Excise Tax Exemption for Certain Merchants</t>
  </si>
  <si>
    <t>Excise Tax Exemption for the Ministry of Defense</t>
  </si>
  <si>
    <t>Reduced Rate of Excise Tax for Certain Uses of Diesel Fuel</t>
  </si>
  <si>
    <t>Excise Tax Refund for Diesel Used in Road Freight Transport</t>
  </si>
  <si>
    <t>Excise Tax Refund for Diesel Used in Public Transportation</t>
  </si>
  <si>
    <t>Excise Tax Refund for Fuel Used in Agriculture</t>
  </si>
  <si>
    <t>Excise Tax Exemption for Inland Navigation</t>
  </si>
  <si>
    <t>Repayment of VAT on Hydrocarbon Oil used in Sea Fishing Vessels</t>
  </si>
  <si>
    <t>Mineral Oil Tax Repayment for Commercial Sea Navigation</t>
  </si>
  <si>
    <t>Mineral Oil Tax Repayment for Horticulture</t>
  </si>
  <si>
    <t>Diesel Rebate Scheme (DRS)</t>
  </si>
  <si>
    <t>Fuel Allowance to Low-Income Households</t>
  </si>
  <si>
    <t>Tax Relief for Engines' Tests</t>
  </si>
  <si>
    <t>Fuel Tax Exemption for the Production of Magnesium from Sea Water</t>
  </si>
  <si>
    <t>Fuel Tax Exemption fot the Drainage of Flooded Areas</t>
  </si>
  <si>
    <t>Tax Relief for Electricity and Heat Production</t>
  </si>
  <si>
    <t>Differential Excise Tax Treatment for Diesel Fuel</t>
  </si>
  <si>
    <t>Tax Relief on Energy Products Used by Ships Involved in Transhipment Operations</t>
  </si>
  <si>
    <t>ETS Quotes Distributions</t>
  </si>
  <si>
    <t>CIP6</t>
  </si>
  <si>
    <t>Fuel Tax refund for Commercial Use</t>
  </si>
  <si>
    <t>Differentiated Tax Rate on Diesel Fuel</t>
  </si>
  <si>
    <t>Energy Tax Relief for Diesel Used by Trains</t>
  </si>
  <si>
    <t>Energy Tax Relief for Diesel Used in Agriculture</t>
  </si>
  <si>
    <t>Energy Tax Relief for Gasoil Used in Powering CHP Plants</t>
  </si>
  <si>
    <t>Energy Tax Relief for Mineral Oil Used in Certain Agricultural Machinery</t>
  </si>
  <si>
    <t>Rebates on Diesel Fuel Tax Used in Farming</t>
  </si>
  <si>
    <t>Partical Reimbursement of the Excise Tax for Diesel Used in Agricultural Production</t>
  </si>
  <si>
    <t xml:space="preserve">Fuel Tax reduction for Fixed Engines </t>
  </si>
  <si>
    <t>Fuel Tax Reduction for Heating</t>
  </si>
  <si>
    <t>Fuel Tax Exemption for Goods Consumed by International Agents</t>
  </si>
  <si>
    <t>Fuel Tax Reduction on Autonomous Refrigerators</t>
  </si>
  <si>
    <t>Reduced Value Added Tax (VAT) rate for Certain Fuels and Electricity</t>
  </si>
  <si>
    <t>CO2 Tax Reimbursement for Companies Participating in Emission Reductions Programme</t>
  </si>
  <si>
    <t>Reduced Excise Duty on Red Diesel</t>
  </si>
  <si>
    <t>Reduced Energy Tax for Heavy and Light Fuel Oils Used in Greenhouses</t>
  </si>
  <si>
    <t>Reduced Energy Tax Rate for Diesel used in Motor Vehicles</t>
  </si>
  <si>
    <t>Energy-Tax Exemption for fuels used for runway operations</t>
  </si>
  <si>
    <t>CO2-Tax Reduction for heating fuels in Agriculture, Forestry and Aquaculture</t>
  </si>
  <si>
    <t>CO2-Tax Exemption for fuels used for runway operations</t>
  </si>
  <si>
    <t>Temporary Energy Tax Exemption for Diesel Used in Forestry</t>
  </si>
  <si>
    <t>Temporary CO2 Tax Exemption for Diesel Used in Forestry</t>
  </si>
  <si>
    <t>CO2 Tax Exemption for Electricity Production</t>
  </si>
  <si>
    <t>Tied Oils Scheme</t>
  </si>
  <si>
    <t>Excise Duty Repayment for Horticultural Producers</t>
  </si>
  <si>
    <t>Rural Fuel Duty Relief</t>
  </si>
  <si>
    <t>Alberta Farm Fuel Distribution Allowance</t>
  </si>
  <si>
    <t>Home Heating Assistance for Alternative Fuels</t>
  </si>
  <si>
    <t>Fuel Tax Exemption for Farming, Heating, and Primary Sector</t>
  </si>
  <si>
    <t>Residential Energy Credit</t>
  </si>
  <si>
    <t>Gas Tax Exemption for Vessels</t>
  </si>
  <si>
    <t>Diesel Fuel Equivalent Tax Reduction Rebates</t>
  </si>
  <si>
    <t>Yukon Fuel Oil Tax Act Exemption Program</t>
  </si>
  <si>
    <t>Reduced rate for locomotive fuel</t>
  </si>
  <si>
    <t>CO2 Tax Reduction for Fisheries</t>
  </si>
  <si>
    <t>Rebate on Basic Tax on Mineral Oil - Aggregated</t>
  </si>
  <si>
    <t>Lower Tax Rate on Diesel Fuel Compared to Motor Gasoline</t>
  </si>
  <si>
    <t>Exemption on SO2 Tax on Mineral Oil</t>
  </si>
  <si>
    <t>Exemption on Basic Tax on Mineral Oil - Fishing</t>
  </si>
  <si>
    <t>Exemption on Basic Tax on Mineral Oil - Offshore Petroleum Sector</t>
  </si>
  <si>
    <t>Exemption on Basic Tax on Mineral Oil - Rail Transport</t>
  </si>
  <si>
    <t>Rebate on Basic Tax on Mineral Oil - Fishmeal, Herringmeal and Woodwork</t>
  </si>
  <si>
    <t>Implicit CO2-Tax Differential in Mineral Oil CO2 Tax</t>
  </si>
  <si>
    <t>CO2 Tax Exemption for Large Energy Consumers and Non-energy Purposes</t>
  </si>
  <si>
    <t>Fuel Subsidy for Certain Users - Buses</t>
  </si>
  <si>
    <t>Fuel Subsidy for Certain Users - Freight Transport</t>
  </si>
  <si>
    <t>Fuel Subsidy for Certain Users - Passenger Ships</t>
  </si>
  <si>
    <t>Western Australian Diesel Subsidy</t>
  </si>
  <si>
    <t>NT Off Road Diesel Subsidy Scheme</t>
  </si>
  <si>
    <t>Tasmanian Off Road Diesel Fuel Subsidy</t>
  </si>
  <si>
    <t>Diesel Fuel Certificate Scheme</t>
  </si>
  <si>
    <t>Reduced Excise Rate on Heating Oil, Fuel Oil and Kerosene</t>
  </si>
  <si>
    <t>Diesel and Alternative Fuels Grants Scheme</t>
  </si>
  <si>
    <t>Cleaner Cuels Grants Scheme</t>
  </si>
  <si>
    <t>2008-2012 Government Grants to Simopec and PetroChina</t>
  </si>
  <si>
    <t>Tax Reduction for Diesel Used in Fisheries</t>
  </si>
  <si>
    <t>Government Investment into the Nizhnekamsk Plants</t>
  </si>
  <si>
    <t>Regulated prices for Combustibles and Lubricants Supplied to Agriculature Producers</t>
  </si>
  <si>
    <t>Pre-tax price (per gge)</t>
  </si>
  <si>
    <t>Pre-tax value ($billion)</t>
  </si>
  <si>
    <t>Reference tax level ($billion)</t>
  </si>
  <si>
    <t>Gross overtaxation ($billion)</t>
  </si>
  <si>
    <t>Excise tax ($/gge)</t>
  </si>
  <si>
    <t>VAT on excise ($/gge)</t>
  </si>
  <si>
    <t>Reference tax ($billion)</t>
  </si>
  <si>
    <t>Gross overtax ($billion)</t>
  </si>
  <si>
    <t>OECD Subsidy ($billion)</t>
  </si>
  <si>
    <t>Net overtax ($billion)</t>
  </si>
  <si>
    <t>Retail value ($billion)</t>
  </si>
  <si>
    <t>VAT on pre-tax ($gge)</t>
  </si>
  <si>
    <t>US State Residential distillate tax</t>
  </si>
  <si>
    <t>applied?</t>
  </si>
  <si>
    <t>Applied?</t>
  </si>
  <si>
    <t>US State Commercial Distillate Tax</t>
  </si>
  <si>
    <t>Sales of Distillate Fuel by End Use</t>
  </si>
  <si>
    <t>W'sale</t>
  </si>
  <si>
    <t>Margin</t>
  </si>
  <si>
    <t>R'tail</t>
  </si>
  <si>
    <t>Industrial distillate</t>
  </si>
  <si>
    <t>Dist</t>
  </si>
  <si>
    <t>Dist dmd</t>
  </si>
  <si>
    <t>US State Industrial Distillate</t>
  </si>
  <si>
    <t>Distillate Dmd</t>
  </si>
  <si>
    <t>Powergen</t>
  </si>
  <si>
    <t>Adjusted Sales of Distillate Fuel by End Use</t>
  </si>
  <si>
    <t>Implied subsidy</t>
  </si>
  <si>
    <t>US State LPG - Transport</t>
  </si>
  <si>
    <t>kb/year</t>
  </si>
  <si>
    <t>Fuel Tax Reductions for Certain Commercial and Industrial Users</t>
  </si>
  <si>
    <t>CA Sales Tax Exemption for LPG</t>
  </si>
  <si>
    <t>WV Fuel Tax Exemption for Propane</t>
  </si>
  <si>
    <t>CO Sales Tax Exemption for Residential Use of Fuel</t>
  </si>
  <si>
    <t>Reduced Rate of Excise Tax for LPG</t>
  </si>
  <si>
    <t>Excise Tax Refund for LPG or CNG Used in Public Transportation and Garbage Collection</t>
  </si>
  <si>
    <t>Fuel Assistance to Low-Income Households</t>
  </si>
  <si>
    <t>VAT Reduction on Electricity, Natural Gas and LPG used in Some Manufacturing, Agricultural and Extractive Activities</t>
  </si>
  <si>
    <t>VAT Reduction on Natural Gas and LPG Used for for Cooking and Water-Heating Purposes</t>
  </si>
  <si>
    <t>ETS Quotes and Distributions</t>
  </si>
  <si>
    <t>Reduced Rate of VAT for Natural Gas and LPG</t>
  </si>
  <si>
    <t>Energy Tax Exemption for LPG Used in Public Transport</t>
  </si>
  <si>
    <t>Reduced Excise Duty on LPG</t>
  </si>
  <si>
    <t>Reduced Energy Tax Rate for Fossil Fuels Used for Heating</t>
  </si>
  <si>
    <t>Reduced Energy Tax Rate on Heating Fuels for Agriculture, Forestry and Aquaculture</t>
  </si>
  <si>
    <t>Reduced Rate of VAT for Domestic Fuel and Power</t>
  </si>
  <si>
    <t>CO2 Tax Exemption for Large Energy Consumers and Non-Energy Purposes</t>
  </si>
  <si>
    <t>Commission Expenses for the Management of Government Stockpiling Facilities and Stockpiled LPG in Preparation for Emergency Release</t>
  </si>
  <si>
    <t>Project for the Rationalisation of LPG Distribution</t>
  </si>
  <si>
    <t>Stockpiling Project Expenses</t>
  </si>
  <si>
    <t>Project Expenses for Government Stockpiled Oil Reinforcement Measures (for LPG)</t>
  </si>
  <si>
    <t>Commission Expenses to Enhance Safety of LPG Supply Industry</t>
  </si>
  <si>
    <t>Grant for Local Governments that are Hosting Government Oil and LPG Stockpilling Facilities in their Areas</t>
  </si>
  <si>
    <t>Fuel Subsidy for Certain Users - Taxis</t>
  </si>
  <si>
    <t>Fuel Subsidy for Certain Users - Disabled Persons</t>
  </si>
  <si>
    <t>Fuel Subsidy for Certain Users - Meritorious persons</t>
  </si>
  <si>
    <t>Port Bonython Jetty Refurbishment</t>
  </si>
  <si>
    <t>Energy Bill Concessions</t>
  </si>
  <si>
    <t>Utility Relief Grant Scheme - Non-Mains</t>
  </si>
  <si>
    <t>Tax Reduction on the Import and Retail Sale of Naphtha and Other Petroleum Products</t>
  </si>
  <si>
    <t>per tonne</t>
  </si>
  <si>
    <t>US State LPG - Residential</t>
  </si>
  <si>
    <t>Tbtu/yr</t>
  </si>
  <si>
    <t>LPG margin - transport</t>
  </si>
  <si>
    <t>LPG margin - res/comm</t>
  </si>
  <si>
    <t>LPG default price</t>
  </si>
  <si>
    <t>US State LPG - Commercial</t>
  </si>
  <si>
    <t>TBtu/yr</t>
  </si>
  <si>
    <t>LPG dmd</t>
  </si>
  <si>
    <t>US State LPG - Industrial</t>
  </si>
  <si>
    <t>Note:  Texas =</t>
  </si>
  <si>
    <t>of US total.</t>
  </si>
  <si>
    <t>(domestic)</t>
  </si>
  <si>
    <t>(total)</t>
  </si>
  <si>
    <t>US State Jet Kero</t>
  </si>
  <si>
    <t>Assumed</t>
  </si>
  <si>
    <t>Dom Dmd</t>
  </si>
  <si>
    <t>Demand (gal)</t>
  </si>
  <si>
    <t>Intl</t>
  </si>
  <si>
    <t>1 gal jet =</t>
  </si>
  <si>
    <t>1 TBtu of jet =</t>
  </si>
  <si>
    <t>ND Aviation Fuel Tax Exemption</t>
  </si>
  <si>
    <t>WV Fuel Tax Exemption for Aviation</t>
  </si>
  <si>
    <t>CA Fuel Tax Exemption for Aircraft Jet Fuel</t>
  </si>
  <si>
    <t>Kentucky Fuel Tax Exemption for Aircraft Jet Fuel</t>
  </si>
  <si>
    <t>Overseas Excise Tax Exemption foir Motor Fuels</t>
  </si>
  <si>
    <t>Mineral Oil Tax Exemption on Aviation Fuel</t>
  </si>
  <si>
    <t>Fuel Tax Exemptions for Fuels Used by Aviation Companies, Excluding Private Aviation and Aviation Schools</t>
  </si>
  <si>
    <t>CO2 Tax Exemption for Domestic Aviation</t>
  </si>
  <si>
    <t>Rebate of Duty on Aviation Turbine Fuel for Domestic Aviation</t>
  </si>
  <si>
    <t>Differential Rate of CO2 Tax for Domestic Aviation</t>
  </si>
  <si>
    <t>Excise Tax Exemption for Aviation</t>
  </si>
  <si>
    <t>Exemption from the Excise Tax for Aviation Gasoline for Russian Federation Operators of Civil Aviation.</t>
  </si>
  <si>
    <t>Canadian jet fuel calculation</t>
  </si>
  <si>
    <t>Ontario</t>
  </si>
  <si>
    <t>Quebec</t>
  </si>
  <si>
    <t>BC</t>
  </si>
  <si>
    <t>New Brunswick</t>
  </si>
  <si>
    <t>Saskatechewan</t>
  </si>
  <si>
    <t>Nova Scotia</t>
  </si>
  <si>
    <t>Manitoba</t>
  </si>
  <si>
    <t>Tax ($C/l)</t>
  </si>
  <si>
    <t>Federal</t>
  </si>
  <si>
    <t>PEI</t>
  </si>
  <si>
    <t>New &amp; Lab</t>
  </si>
  <si>
    <t>Cons (mil l)</t>
  </si>
  <si>
    <t>Alberta</t>
  </si>
  <si>
    <t>Component</t>
  </si>
  <si>
    <t>Tax ($C)</t>
  </si>
  <si>
    <t>Total revenue</t>
  </si>
  <si>
    <t>Total consum</t>
  </si>
  <si>
    <t>Ave tax</t>
  </si>
  <si>
    <t>per liter</t>
  </si>
  <si>
    <t>Kero</t>
  </si>
  <si>
    <t>Kero margin - res/comm</t>
  </si>
  <si>
    <t>US State Residential Kero Tax</t>
  </si>
  <si>
    <t>1 TBtu of kero =</t>
  </si>
  <si>
    <t>Fuel Allowance for Low-Income Households</t>
  </si>
  <si>
    <t>ETS Quotes Distribution</t>
  </si>
  <si>
    <t>Reduced Rate of Excise for Solid Mineral Fuel and Heating Fuel</t>
  </si>
  <si>
    <t>Exemption on Basic Tax on Mineral Oil Shipping</t>
  </si>
  <si>
    <t>VAT on pre-tax ($/gge)</t>
  </si>
  <si>
    <t>Comm</t>
  </si>
  <si>
    <t>kero (TBtu)</t>
  </si>
  <si>
    <t>= average sales tax</t>
  </si>
  <si>
    <t>Kero dmd</t>
  </si>
  <si>
    <t>Low Sulfur Heavy Fuel Oil</t>
  </si>
  <si>
    <t>Industrial, including bunker</t>
  </si>
  <si>
    <t>(LC/tonne)</t>
  </si>
  <si>
    <t>PA Fuel Tax Exemption for Boat Fund</t>
  </si>
  <si>
    <t>Fuel Tax Exemption for Agriculture</t>
  </si>
  <si>
    <t>Energy Duty Exemption for Petrole Used in Agriculture</t>
  </si>
  <si>
    <t>Subsidy for Petroleum-Based Small and Off-Grid Power Generators on Remote Islands</t>
  </si>
  <si>
    <t>Repayment of VAT on Hydrocarbon Oil Used in Sea Fishing Vessels</t>
  </si>
  <si>
    <t>Tax Relief on Energy Products Used by Ships Involved in Transshipment Operations</t>
  </si>
  <si>
    <t>Household Energy Bill Subsidy</t>
  </si>
  <si>
    <t>Subsidies from Local Governments for District Heating and Household Energy Bill</t>
  </si>
  <si>
    <t>Energy Tax relief for Mineral Oil Used in Certain Agricultural Machinery</t>
  </si>
  <si>
    <t>Fuel Tax Exemption for Electricity and, Electricity and Heating Production</t>
  </si>
  <si>
    <t>Reduced VAT rate for Certain Fuels and Electricity</t>
  </si>
  <si>
    <t>Reduced Energy Tax Rate for Heavy Fuel Oil Used in Heating</t>
  </si>
  <si>
    <t>Reduced CO2 Tax Rate for Fuels Used in CHP Plants</t>
  </si>
  <si>
    <t>Excise Duty Repayment for Horticultural producers</t>
  </si>
  <si>
    <t>NL Energy Rebate</t>
  </si>
  <si>
    <t>Sales Tax Exemptions for Energy Products</t>
  </si>
  <si>
    <t>NOx Tax Exemption for Domestic Shipping</t>
  </si>
  <si>
    <t>NOx Tax Exemption for Fisheries</t>
  </si>
  <si>
    <t>NOx Tax Exemption for Rail Transport</t>
  </si>
  <si>
    <t>Reduced Excise Tax Rate on Heating Oil, Fuel Oil and Kerosene</t>
  </si>
  <si>
    <t>1 mt of naphtha =</t>
  </si>
  <si>
    <t>1 kt of naphtha =</t>
  </si>
  <si>
    <t>Naphtha</t>
  </si>
  <si>
    <t>1 mt of crude oil =</t>
  </si>
  <si>
    <t>1 kt of crude oil =</t>
  </si>
  <si>
    <t>Sales-Tax Exemption for Transporting Drilling Rigs</t>
  </si>
  <si>
    <t>LA Fuel Tax Exemption on Aviation Gasoline</t>
  </si>
  <si>
    <t>Excise Duty Exemption for Fuels Used in Air Navigation</t>
  </si>
  <si>
    <t>Petroleum RD&amp;D Funding</t>
  </si>
  <si>
    <t>Reduced Rate of Excise Tax for Certain Water Emulsions in Diesel Fuel</t>
  </si>
  <si>
    <t>VAT Exemption for Offshore Drilling Equipment</t>
  </si>
  <si>
    <t>Partial Tax Deduction for Exploration Costs</t>
  </si>
  <si>
    <t>Fuel Allowance to Low Income Households</t>
  </si>
  <si>
    <t>ETS quotes distributions</t>
  </si>
  <si>
    <t>Consumption Tax Exemption for Lubricating Oils Used in the Petrochemical Sector</t>
  </si>
  <si>
    <t>Fuel Tax Exemption for Fuels Used by Aviation Companies, Excluding Private Aviation and Aviation Schools</t>
  </si>
  <si>
    <t>Tax Relief for Emulsions Used as Fuels</t>
  </si>
  <si>
    <t>LA Sales-Tax Exemption on Alternative Substances Used as Fuels</t>
  </si>
  <si>
    <t>WY Fuel-Tax Reduction for Aviation Gasoline</t>
  </si>
  <si>
    <t>Syncrude Remission Order</t>
  </si>
  <si>
    <t>Canadian Development Exepnses - Oil Sands Property</t>
  </si>
  <si>
    <t>Energy Industry Drilling Stimulus</t>
  </si>
  <si>
    <t>Alberta Royalty Tax Credit</t>
  </si>
  <si>
    <t>Fuel Tax rebates for Farming, Forestry and Mining</t>
  </si>
  <si>
    <t>Orphan Well Fund</t>
  </si>
  <si>
    <t>Tax reduction on the Import and Retail Sale of Naphtha and Other Petroleum Products</t>
  </si>
  <si>
    <t>Exemption from the Excise Tax for Aviation Gasoline for Russian Federation Operators of Civil Aviation</t>
  </si>
  <si>
    <t>Aviation</t>
  </si>
  <si>
    <t>1 KT diesel =</t>
  </si>
  <si>
    <t>1 mt gasoline =</t>
  </si>
  <si>
    <t>1 kt of gasoline =</t>
  </si>
  <si>
    <t>1 kt =</t>
  </si>
  <si>
    <t>1 t =</t>
  </si>
  <si>
    <t>Production (TBtu)</t>
  </si>
  <si>
    <t>Fossil Fuel</t>
  </si>
  <si>
    <t>Fossil Fuel Share</t>
  </si>
  <si>
    <t>Crude and NGLs</t>
  </si>
  <si>
    <t>Gas Gross Production Tax Exemptions + Oil Extraction Tax Exemptions</t>
  </si>
  <si>
    <t>Severance-Tax Oil and Gas Ad Valorem Credit</t>
  </si>
  <si>
    <t>Cook Inlet Platform Royalty Relief</t>
  </si>
  <si>
    <t>Small Cook Inlet Discoveries Royalty Relief</t>
  </si>
  <si>
    <t>Royalty Modification for Ooguruk Unit</t>
  </si>
  <si>
    <t>Severance Tax Exemptions for Crude Oil and Natural Gas</t>
  </si>
  <si>
    <t>Severance Tax Suspension on Oil from New Discovery Wells</t>
  </si>
  <si>
    <t>Enhanced Oil Recovery Commission</t>
  </si>
  <si>
    <t>Enhanced Oil Recovery Credit</t>
  </si>
  <si>
    <t>Marginal wells credit</t>
  </si>
  <si>
    <t>Marginal Fields and Prospects Initiative</t>
  </si>
  <si>
    <t>PRT Uplift for Certain Capital Expenditures</t>
  </si>
  <si>
    <t>PRT Safeguard</t>
  </si>
  <si>
    <t>Onshore Allowance</t>
  </si>
  <si>
    <t>Brown Field Allowance</t>
  </si>
  <si>
    <t>Investment Allowance</t>
  </si>
  <si>
    <t>Cluster Allowance</t>
  </si>
  <si>
    <t>PRT Unrelieved Field Loss</t>
  </si>
  <si>
    <t>PRT Relief for Exploration and Appraisal Expenditure</t>
  </si>
  <si>
    <t>Seismic Surveys Programme</t>
  </si>
  <si>
    <t>Oil and Gas Export Development Fund</t>
  </si>
  <si>
    <t>Acquisition of Seismic Data</t>
  </si>
  <si>
    <t>Summer Drilling Credit</t>
  </si>
  <si>
    <t>Other Royalty Exemptions and Holidays</t>
  </si>
  <si>
    <t>Resource Allowance and Non-Deductibility of Crown Royalties and Mining Taxes</t>
  </si>
  <si>
    <t>Reclassification of Expenses under Flow-Through Shares</t>
  </si>
  <si>
    <t>Petroleum Technology Research Centre</t>
  </si>
  <si>
    <t>NPD Geological Surveys</t>
  </si>
  <si>
    <t>Subsidy for the Project Expenses Concerning Measures for Oil Producing Countries</t>
  </si>
  <si>
    <t>Projects for Development Support of Oil and Natural Gas Producing Countries</t>
  </si>
  <si>
    <t>Project Expenses for the Measures to Increase Government Stockpiled Oil</t>
  </si>
  <si>
    <t>Research and Development of Technology for Remote Detection of Oil Resources</t>
  </si>
  <si>
    <t>Commission Expenses for the Management of Government Stockpiling Facilities and Stockpiled Oil in Preparation for Emergency Release</t>
  </si>
  <si>
    <t>Subsidy for Project Expenses to Jointly Secure Stable Oil Supply to Japan in Case of Emergency with Oil Producing Countries</t>
  </si>
  <si>
    <t>Project Expenses to Promote Cooperation between Refineries and the Petrochemical Industry to Improve the Competitiveness of Refineres</t>
  </si>
  <si>
    <t>Project Expenses for Promoting Facility Optimisation of Domestic Oil Refineres</t>
  </si>
  <si>
    <t>Interest Subsidy for Oil and LPG Reserves</t>
  </si>
  <si>
    <t>Interest Subsidy for the Domestic Oil and Natural Gas Development Fund</t>
  </si>
  <si>
    <t>Subsidy for Oil Stockpiling Project</t>
  </si>
  <si>
    <t>Project Expenses for Overseas Geological Surveys in Risky Areas</t>
  </si>
  <si>
    <t>Commission Expenses for the Development of Heavy Oil Treatment and Other High-Degree Treatment Technologies</t>
  </si>
  <si>
    <t>Project Expenses for the Development of Heavy Oil Treatment and Other High-Degree Treatment Technologies</t>
  </si>
  <si>
    <t>Project Expenses for Procuring the Next-Generation Oil Refinery Plant</t>
  </si>
  <si>
    <t>Interest Subsidy for Oil Industry’s Overseas Expansion Fund</t>
  </si>
  <si>
    <t>Project for Strengthening Domestic Refineries' Capacity to Deal with Emergencies</t>
  </si>
  <si>
    <t>Programme for Promoting Rationalisation of Kerosene Distribution in Underpopulated Areas and Areas Experiencing Heavy Winter Snowfall</t>
  </si>
  <si>
    <t>Project for Promoting the Use of Oil Products in Case of Emergency at Evacuation Shelters, Hospital, etc.</t>
  </si>
  <si>
    <t>Programme for improving the Competitiveness of Japanese Petrochemical Complexes</t>
  </si>
  <si>
    <t>Subsidy for the Installment and Repair of Facilities for Use in Stocking and Supplying Oil Products</t>
  </si>
  <si>
    <t>Project for Improving the Productivity of Japan's Petrochemical Complexes and their Capacity to Deal with Emergency</t>
  </si>
  <si>
    <t>Special Tax Reduction for Domestic Mining firms that Promote Exploration of Resources</t>
  </si>
  <si>
    <t>Programme to Strengthen Refineries' Capacity to Deal with Emergencies Related to the Projected Tokyo and Nankai Quakes</t>
  </si>
  <si>
    <t>Subsidy for the Project to Promote Restoration and Safety Enhancement of Oil Storage Facilities</t>
  </si>
  <si>
    <t>Commission Expenses to Enhance Satety of Oil Refineries</t>
  </si>
  <si>
    <t>Grant for Projects that Improve Welfare of Residents around Oil Stockpiling Facilities</t>
  </si>
  <si>
    <t>Support project for the rationalization of oil products distribution and stable supply to remote islands</t>
  </si>
  <si>
    <t>Tax reduction for domestic legal entities that reserve certain amount of money for the possible loss from investment in mining projects</t>
  </si>
  <si>
    <t>R&amp;D Funding for Resources technologies</t>
  </si>
  <si>
    <t>Exploration NSW</t>
  </si>
  <si>
    <t>Exploration Incentive Scheme</t>
  </si>
  <si>
    <t>Building the Territory’s Resource Base</t>
  </si>
  <si>
    <t>Bringing Forward Discovery</t>
  </si>
  <si>
    <t>Health support in the mining and petroleum industries</t>
  </si>
  <si>
    <t>Western Tasmanian Geoscience initiative</t>
  </si>
  <si>
    <t>Exemption from Crude Oil Excise for Condensate</t>
  </si>
  <si>
    <t>2011 Retroactive Reduction in Oil-Price Windfall Tax</t>
  </si>
  <si>
    <t>R&amp;D Funding to Specific Projects - OIDB</t>
  </si>
  <si>
    <t>Exemption from the Extraction Tax for Technological Losses Incurred during Extraction</t>
  </si>
  <si>
    <t>Exemption from the Extraction Tax for Fossil Fuels Produced from Mature Fields</t>
  </si>
  <si>
    <t>Exemption from the Extraction Tax for Super-Viscous Oil</t>
  </si>
  <si>
    <t>Reduced Extraction Tax for Oil Produced from New Small Fields</t>
  </si>
  <si>
    <t>Exemption from the Extraction Tax for Fossil Fuels Produced from Stripping Soils</t>
  </si>
  <si>
    <t>Exemption from the Extraction Tax for Fossil Fuels Recovered from Off-Spec Reserves and Slimes</t>
  </si>
  <si>
    <t>Exemption from the Extraction Tax for Oil Produced from Domanic, Bazhenov and other productve deposits</t>
  </si>
  <si>
    <t>Reduced Extraction Tax for Oil Depending on Specific Properties of Subsoil</t>
  </si>
  <si>
    <t>Reduced Extraction Tax for Oil Depending on Complexity of Production and Deposit Properties</t>
  </si>
  <si>
    <t>Shanxi</t>
  </si>
  <si>
    <t>Inner Mongolia</t>
  </si>
  <si>
    <t>Shaanxi</t>
  </si>
  <si>
    <t>Guizhou</t>
  </si>
  <si>
    <t>China coal production in 2015 (mt)</t>
  </si>
  <si>
    <t>Shandong</t>
  </si>
  <si>
    <t>Xinjiang</t>
  </si>
  <si>
    <t>Henan</t>
  </si>
  <si>
    <t>Anhui</t>
  </si>
  <si>
    <t>Ningxia</t>
  </si>
  <si>
    <t>Sichuan</t>
  </si>
  <si>
    <t>Hebei</t>
  </si>
  <si>
    <t>Bohai rim coal price 2015</t>
  </si>
  <si>
    <t>per metric tonne</t>
  </si>
  <si>
    <t>Assumed inland shipping</t>
  </si>
  <si>
    <t>Est price per tonne</t>
  </si>
  <si>
    <t>Rate</t>
  </si>
  <si>
    <t>xrate</t>
  </si>
  <si>
    <t>US$</t>
  </si>
  <si>
    <t>per unit</t>
  </si>
  <si>
    <t xml:space="preserve">  Anthracite</t>
  </si>
  <si>
    <t xml:space="preserve">  Coking coal</t>
  </si>
  <si>
    <t xml:space="preserve">  Other bituminous coal</t>
  </si>
  <si>
    <t xml:space="preserve">  Sub-bituminous coal</t>
  </si>
  <si>
    <t xml:space="preserve">  Lignite</t>
  </si>
  <si>
    <t>Coal Refuse Energy and Reclamatin Tax Credit</t>
  </si>
  <si>
    <t>Sales Tax Exemption for Energy Used in Manufacturing</t>
  </si>
  <si>
    <t>Coal Transportation Expense</t>
  </si>
  <si>
    <t>Partial Expensing for Advanced Mine Safety Equipment</t>
  </si>
  <si>
    <t>Coal RD&amp;D Funding</t>
  </si>
  <si>
    <t>Remediation of Past Environmental Damages</t>
  </si>
  <si>
    <t>Programmes Financing Remediation of Ecological Damage Caused Prior to 1994</t>
  </si>
  <si>
    <t>Reduced Energy Duty for Coal</t>
  </si>
  <si>
    <t>Aid to Saarbergwerke AG</t>
  </si>
  <si>
    <t>Capital Injections into Saarbergwerke AG</t>
  </si>
  <si>
    <t>Miners' Bonus</t>
  </si>
  <si>
    <t>Re-Adaptation Aid Art. 56 ECSC</t>
  </si>
  <si>
    <t>Third Power Generation Act</t>
  </si>
  <si>
    <t>Fifth Power Generation Act</t>
  </si>
  <si>
    <t>Compensation for Mothballing and Closing of Lignite-fired Power Plants</t>
  </si>
  <si>
    <t>Direct Project Grants to Oil-Shale-Based Electricity and Heat Production</t>
  </si>
  <si>
    <t>Excise Duty Exemption for Oil Shale Used in District Heating</t>
  </si>
  <si>
    <t>Exemption from CO2 Pollution Charge for Peat</t>
  </si>
  <si>
    <t>Feed-In Premium for Peat and Retort Gas Used in CHP Plants</t>
  </si>
  <si>
    <t>Excise-Duty Exemption for Fossil Fuels Used for Electricity Production</t>
  </si>
  <si>
    <t>Excise Tax Exemption on the Use of Coal and Coke</t>
  </si>
  <si>
    <t>Capacity Payments</t>
  </si>
  <si>
    <t>Funding for Coal Stockpiles</t>
  </si>
  <si>
    <t>Subsidy for the Interbasin Transport of Coal</t>
  </si>
  <si>
    <t>Aid to Autonomous Communities for the Reactivation of Coal-mining Regions</t>
  </si>
  <si>
    <t>Aid to Local Entities for the Reactivation of Coal-mining Regions</t>
  </si>
  <si>
    <t>Aid to Coal-miners' Families and No-profit Organisations for the Reactivation of Coal-mining Regions</t>
  </si>
  <si>
    <t>Aid to Coal Producers for the Reactivation of Coal-mining Regions</t>
  </si>
  <si>
    <t>Funding of small investment projects for the Reactivation of Coal-mining Regions</t>
  </si>
  <si>
    <t>Adjustment Aid to HUNOSA</t>
  </si>
  <si>
    <t>Coal plants' upgrades subsidy</t>
  </si>
  <si>
    <t>Domestic coal consumption subsidy</t>
  </si>
  <si>
    <t>Benefits to Former Miners of CdF</t>
  </si>
  <si>
    <t>Management of CdF’s Old Mining Sites</t>
  </si>
  <si>
    <t>Residual Financial Charges of CdF</t>
  </si>
  <si>
    <t>General Research &amp; Development Grant CdF</t>
  </si>
  <si>
    <t>Direct State Aid to CdF</t>
  </si>
  <si>
    <t>Interest Payments on Past Debt of CdF</t>
  </si>
  <si>
    <t>Capital Contribution to CdF</t>
  </si>
  <si>
    <t>Tax relief for Electricity and Heat Production</t>
  </si>
  <si>
    <t>Tariff Incentive for Electricity Produced From Gasification</t>
  </si>
  <si>
    <t>Peat products</t>
  </si>
  <si>
    <t>Solid Fuel Carbon Tax (SFCT) Exemption for Certain Uses</t>
  </si>
  <si>
    <t>Solid Fuel Carbon Tax (SFCT) Exemption for Biomass Coal and Peat Products</t>
  </si>
  <si>
    <t>Solid Fuel Carbon Tax (SFCT) Exemption for Inputs to CHP Plants</t>
  </si>
  <si>
    <t>Reduced Rate of VAT for Solid Mineral Fuel and Heating Fuel</t>
  </si>
  <si>
    <t>Excise Tax Exemption for Coal and Natural Gas</t>
  </si>
  <si>
    <t>Support for Mine Decommissioning and Coal Sector Reorganisation</t>
  </si>
  <si>
    <t>Early-Retirement Payments for Coal Miners</t>
  </si>
  <si>
    <t>Stranded Costs Compensations to Volsberg III</t>
  </si>
  <si>
    <t>Aid for Coal Mine Decommissioning</t>
  </si>
  <si>
    <t>Rehabilitation of Regions Damaged by Coal Mining</t>
  </si>
  <si>
    <t>Exemption or Deferral of Social Contributions</t>
  </si>
  <si>
    <t>Exemption or Deferral of Taxes and Fines</t>
  </si>
  <si>
    <t>NFOSiGW Aid for Environmental Protection</t>
  </si>
  <si>
    <t>R&amp;D Funding from the Research Committee</t>
  </si>
  <si>
    <t>Aid for Employment Restructuring</t>
  </si>
  <si>
    <t>Investment Aid from the Ministry of Economy</t>
  </si>
  <si>
    <t>Severance Payments for the Coal Mining Industry</t>
  </si>
  <si>
    <t>Aid for Restructuring of the Coal Mining Sector</t>
  </si>
  <si>
    <t>Early Retirement Benefits for Laid Off Miners</t>
  </si>
  <si>
    <t>Investment Aid for Coal Mining sector 2011-2015</t>
  </si>
  <si>
    <t>Investment Aid for Coal Mining sector 2015-2018</t>
  </si>
  <si>
    <t>Fuel Tax Exemption for Electricity and Electricity and Heating ProductionGenerators</t>
  </si>
  <si>
    <t>Market Price Support for Domestic Coal</t>
  </si>
  <si>
    <t>CO2 Tax Reimbursement for Companies Participating in the Emission Reductions Programme</t>
  </si>
  <si>
    <t>Raising Accessibility of Lignite Reserves in Hornonitranske Bane, Prievidza, a.s.</t>
  </si>
  <si>
    <t>Feed In Tariff for Domestic Lignite</t>
  </si>
  <si>
    <t>Severance Payments for Miners Laid Off by Hornonitranske Bane, Prievidza, a.s.</t>
  </si>
  <si>
    <t>Retirements Benefits for Miners from Hornonitranske Bane, Prievidza, a.s.</t>
  </si>
  <si>
    <t>Coal Allowances for Former Miners and Miners' Widows</t>
  </si>
  <si>
    <t>Reduced Energy Tax Rate for Coal Used in Heating</t>
  </si>
  <si>
    <t>Electricity Production Subsidy for Peat Used in Small CHP Plants</t>
  </si>
  <si>
    <t>Feed in Tariff for Peat Based Condensing Power Production</t>
  </si>
  <si>
    <t>CO2 Tax Exemption for Peat</t>
  </si>
  <si>
    <t>CO2 Tax Deduction for Coal Used in Metallurgical Processes</t>
  </si>
  <si>
    <t>Energy-tax Exemption for Biofuels, Peat Used for Heating</t>
  </si>
  <si>
    <t>Reduction in Climate Change Levy to customers with Climate Change Agreements</t>
  </si>
  <si>
    <t>Exemption from Climate Change Levy for Metallurgical and Mineralogical Processes</t>
  </si>
  <si>
    <t>Exemption from Climate Change Levy for Supplies to CHP stations</t>
  </si>
  <si>
    <t>Exemption from Climate Change Levy for Supplies used in Some Forms of Transport</t>
  </si>
  <si>
    <t>Exemption from Climate Change Levy for energy supplies not used as fuel</t>
  </si>
  <si>
    <t>Exemption from Climate Change Levy for Supplies not for burning or consumption in the UK</t>
  </si>
  <si>
    <t>Reduction in Climate Change Levy for energy supplies used in metal recyling processed</t>
  </si>
  <si>
    <t>Reduction in Rate of Climate Change Levy for Supplies of Natural Gas in Northern Ireland</t>
  </si>
  <si>
    <t>UK Coal Operating Aid Scheme</t>
  </si>
  <si>
    <t>Coal Investment Aid</t>
  </si>
  <si>
    <t>Coking</t>
  </si>
  <si>
    <t>1 mt coking coal =</t>
  </si>
  <si>
    <t>Delivered price ex tax</t>
  </si>
  <si>
    <t>Accelerated Capital Cost Allowance for Mining and Oil Sands Assets</t>
  </si>
  <si>
    <t>Operating Subsidy for Store Norske</t>
  </si>
  <si>
    <t>Cells with ND</t>
  </si>
  <si>
    <t>Blank Cells</t>
  </si>
  <si>
    <t>Summary cells</t>
  </si>
  <si>
    <t>Cells with numbers</t>
  </si>
  <si>
    <t>Values</t>
  </si>
  <si>
    <t>Check</t>
  </si>
  <si>
    <t>Grant for Incorporated Administrative Agencies on Coal Development Projects</t>
  </si>
  <si>
    <t>Overseas Coal Exploration and Development Support Project</t>
  </si>
  <si>
    <t>Subsidy for the Development of Technologies for Low Grade Coal</t>
  </si>
  <si>
    <t>Coal Utilisation Technology Development</t>
  </si>
  <si>
    <t>Subsidy for the International Joint Verification Project of Coal Utilisation</t>
  </si>
  <si>
    <t>Subsidy for the Technological Development Cost of the Element Technology for the Practical Application of Advanced Ultra Super Critical Thermal Power Generation</t>
  </si>
  <si>
    <t>International Cooperation Project that Promotes Spreading Japan's Clean Coal Technology to the World</t>
  </si>
  <si>
    <t>Coal Producing Countries’ Coal Exploration &amp; Safety Technology Advancement Projects</t>
  </si>
  <si>
    <t>Subsidy for Development of Clean Coal Technology</t>
  </si>
  <si>
    <t>Clean coal technology Overseas diffusion deployment business etc.</t>
  </si>
  <si>
    <t>Price Support for Coal Mining</t>
  </si>
  <si>
    <t>Coal Mining Capital and Facilities</t>
  </si>
  <si>
    <t>Coal Mining Government Injection</t>
  </si>
  <si>
    <t>Coal Mining Research Fund</t>
  </si>
  <si>
    <t>Coal Mining Inherited Environmental Liabilities</t>
  </si>
  <si>
    <t>R&amp;D Funding for Renewable Energy</t>
  </si>
  <si>
    <t>Queensland Rail’s Coal and Freight Services</t>
  </si>
  <si>
    <t>Support for Enhancing Railroad Capacity in the Hunter Valley</t>
  </si>
  <si>
    <t>Assistance Package for the Western and Gunnedah Coalfields</t>
  </si>
  <si>
    <t>Coal Sector Jobs Package</t>
  </si>
  <si>
    <t>Coal Mining Abatement Technology Support Package</t>
  </si>
  <si>
    <t>Coal Mine Methane Reduction Program</t>
  </si>
  <si>
    <t>Chongqing 2011-2012 Coal-Purchase Subsidies for Electricity Producers</t>
  </si>
  <si>
    <t>Deductions for Investment in Occupational Safety and Health Protection</t>
  </si>
  <si>
    <t>Swiss CO2 tax</t>
  </si>
  <si>
    <t>coal</t>
  </si>
  <si>
    <t>kg/MBtu</t>
  </si>
  <si>
    <t>Swiss francs per tonne</t>
  </si>
  <si>
    <t>per kg</t>
  </si>
  <si>
    <t>francs per kg</t>
  </si>
  <si>
    <t>francs per MBtu</t>
  </si>
  <si>
    <t>francs per gge</t>
  </si>
  <si>
    <t>Norway Nox tax</t>
  </si>
  <si>
    <t>kg Nox per tonne</t>
  </si>
  <si>
    <t>per tonne of coal</t>
  </si>
  <si>
    <t>Natural Gas</t>
  </si>
  <si>
    <t>kWh/gge</t>
  </si>
  <si>
    <t>Yuan per 1000 m3</t>
  </si>
  <si>
    <t>1 m3 of natural gas =</t>
  </si>
  <si>
    <t>cubic feet</t>
  </si>
  <si>
    <t>ft3 per m3</t>
  </si>
  <si>
    <t>Yuan per cubic foot</t>
  </si>
  <si>
    <t>Yuan per 1000 cubic foot</t>
  </si>
  <si>
    <t>Yuan per Btu</t>
  </si>
  <si>
    <t>Yuan per gge</t>
  </si>
  <si>
    <t>Algasco</t>
  </si>
  <si>
    <t>I ft3 of natural gas (US) =</t>
  </si>
  <si>
    <t>(CF)</t>
  </si>
  <si>
    <t>per MCF</t>
  </si>
  <si>
    <t>Del price</t>
  </si>
  <si>
    <t>Tax (%)</t>
  </si>
  <si>
    <t>Tax ($)</t>
  </si>
  <si>
    <t>Enstar</t>
  </si>
  <si>
    <t>US State Residential natural gas taxes</t>
  </si>
  <si>
    <t>Southern California Gas</t>
  </si>
  <si>
    <t>CenterPoint Energy</t>
  </si>
  <si>
    <t>Xcel Energy - Denver</t>
  </si>
  <si>
    <t>Southern Connecticut Gas</t>
  </si>
  <si>
    <t>Chesapeake</t>
  </si>
  <si>
    <t>Washington Gas</t>
  </si>
  <si>
    <t>Peoples Gas</t>
  </si>
  <si>
    <t>Georgia Natural Gas</t>
  </si>
  <si>
    <t>Hawaii Gas</t>
  </si>
  <si>
    <t>Intermountain Gas</t>
  </si>
  <si>
    <t>Citizens Energy</t>
  </si>
  <si>
    <t>---------------------------------- kt ----------------------------------</t>
  </si>
  <si>
    <t>Iowa Gas</t>
  </si>
  <si>
    <t>Kansas Gas Service</t>
  </si>
  <si>
    <t>Louisville Gas &amp; Electric</t>
  </si>
  <si>
    <t>Entergy</t>
  </si>
  <si>
    <t>Maine Natural Gas</t>
  </si>
  <si>
    <t>Baltimore Gas &amp; Electric</t>
  </si>
  <si>
    <t>Industrial, including coking</t>
  </si>
  <si>
    <t>Powergen and CHP</t>
  </si>
  <si>
    <t>National Grid</t>
  </si>
  <si>
    <t>DTE Energy</t>
  </si>
  <si>
    <t>Atmos Energy</t>
  </si>
  <si>
    <t>Spire</t>
  </si>
  <si>
    <t>Montana-Dakota Utilities</t>
  </si>
  <si>
    <t>Metropolitan Utilities District</t>
  </si>
  <si>
    <t>Southwest Gas</t>
  </si>
  <si>
    <t>Liberty Utilities</t>
  </si>
  <si>
    <t>PSE&amp;G</t>
  </si>
  <si>
    <t>New Mexico Gas Company</t>
  </si>
  <si>
    <t>Piedmont Natural Gas</t>
  </si>
  <si>
    <t>Xcel Energy - Fargo</t>
  </si>
  <si>
    <t>Columbia Gas</t>
  </si>
  <si>
    <t>Sector Demand</t>
  </si>
  <si>
    <t>Oklahoma Natural Gas</t>
  </si>
  <si>
    <t>NW Natural</t>
  </si>
  <si>
    <t>Philadelphia Gas Works</t>
  </si>
  <si>
    <t>South Carolina G&amp;E</t>
  </si>
  <si>
    <t>MidAmerican Energy</t>
  </si>
  <si>
    <t>Piedmont natural Gas</t>
  </si>
  <si>
    <t>CenterPoints Energy</t>
  </si>
  <si>
    <t>Dominion Energy</t>
  </si>
  <si>
    <t>Vermont Natural Gas</t>
  </si>
  <si>
    <t>Virginia Natural Gas (Virginia Beach)</t>
  </si>
  <si>
    <t>Puget Sound Energy</t>
  </si>
  <si>
    <t>Mountaineer Gas Company (Charleston)</t>
  </si>
  <si>
    <t>WE Energies</t>
  </si>
  <si>
    <t>Black Hills Energy</t>
  </si>
  <si>
    <t>Gross-Receipts Tax Exemption for Sales of Natural Gas</t>
  </si>
  <si>
    <t>Natural Gas Severance Tax Suspension for New Discovery Wells</t>
  </si>
  <si>
    <t>Sales Tax Exclusion for Energy Used in Manufacturing</t>
  </si>
  <si>
    <t>Sales Tax Exemption on Natural Gas for Non Residential Use</t>
  </si>
  <si>
    <t>OK Sales Tax Exemption on Gas for Residential Use</t>
  </si>
  <si>
    <t>TX Sales Tax Exemption for Natural Gas and Electricity for Residential Sector</t>
  </si>
  <si>
    <t>Alternative Fuel Production Credit</t>
  </si>
  <si>
    <t>Accelerated Depreciation of Natural Gas Distribution Ippelines</t>
  </si>
  <si>
    <t>Marginal Wells Credit</t>
  </si>
  <si>
    <t>Fuel Tax Exemptions for LPG and Natural Gas Used as Motor Fuels</t>
  </si>
  <si>
    <t>Social Tariffs for Natural Gas and Electricity</t>
  </si>
  <si>
    <t>CPAS Fund for Supporting Access to Energy</t>
  </si>
  <si>
    <t>Flat Rate Reductions for Heating Geenerated by Natural Gas or Electricity</t>
  </si>
  <si>
    <t>Reduced Energy Duty for Natural Gas</t>
  </si>
  <si>
    <t>Variable Cost Recovery Mechanism</t>
  </si>
  <si>
    <t>Excise Tax Exemption for Local Administrations</t>
  </si>
  <si>
    <t>Reduced Rate of Excise Tax for Natural Gas Used as Fuel</t>
  </si>
  <si>
    <t>Natural Gas Carbon Tax (NGCT) Exemption for Natural Gas</t>
  </si>
  <si>
    <t>Smokeless Fuel Allowance Scheme</t>
  </si>
  <si>
    <t>Royalty-Free Threshholds</t>
  </si>
  <si>
    <t>Reduced Rate of VAT for natural Gas and LPG</t>
  </si>
  <si>
    <t>Initial Investment Aid for NATGAS Investments</t>
  </si>
  <si>
    <t>Reduced Value Added Tax (VAT) Rate for Certain Fuels and Electricity</t>
  </si>
  <si>
    <t>CO2 Tax Reimbursement for Companies Participating in the Emissions Reduction Program</t>
  </si>
  <si>
    <t>Energy Tax Exemption for Natural Gas and LPG used as a propellant</t>
  </si>
  <si>
    <t>Reduced CO2 Tax Rate for Natural Gas and LPG Used as a propellant</t>
  </si>
  <si>
    <t>PRT Exemption for Sales to British Gas</t>
  </si>
  <si>
    <t>Accelerated Capital Cost Allowance for Liquefied natural Gas Facilities</t>
  </si>
  <si>
    <t>Provincial Sales Tax Exemption for Natural Gas</t>
  </si>
  <si>
    <t>Marginal and Ultramarginal Credit</t>
  </si>
  <si>
    <t>Support to SaskEnergy for the La Ronge Project</t>
  </si>
  <si>
    <t>CO2 Tax Exemption for Natural Gas and LPG Used in Shipping</t>
  </si>
  <si>
    <t>Accelerated Depreciation for Ships, Rigs, and Other Capital Assets Supporting Petroleum Operations</t>
  </si>
  <si>
    <t>Investment Deductions in Petroleum Resource Tax</t>
  </si>
  <si>
    <t>Accelerated Depreciation in Ordinary Tax</t>
  </si>
  <si>
    <t>Natural Gas Exploration Subsidy</t>
  </si>
  <si>
    <t>Promotion of Natural Gas Use Subsidy</t>
  </si>
  <si>
    <t>Commission Expenses for the Methane Hydrate Development Program</t>
  </si>
  <si>
    <t>Project Expenses for the Promotion of Oil and Natural Gas Development</t>
  </si>
  <si>
    <t>Interest Subsidy for Capital Investment on Facilities Utilised to Procure Natural Gas</t>
  </si>
  <si>
    <t>Subsidy for Intensive Research on the Methane Hydrate Found in the Sea of Japan</t>
  </si>
  <si>
    <t>R&amp;D Funding for Resource technologies</t>
  </si>
  <si>
    <t>North West Shelf Gas Financial Assistance</t>
  </si>
  <si>
    <t>Tasmanian Heating Allowance</t>
  </si>
  <si>
    <t>Middle Arm Industrial Precinct</t>
  </si>
  <si>
    <t>Gas Rebate</t>
  </si>
  <si>
    <t>Energy Bill Concession</t>
  </si>
  <si>
    <t>Cost of Living Concession</t>
  </si>
  <si>
    <t>Excess Gas Concession</t>
  </si>
  <si>
    <t>Utility Relief Grant Scheme  - Gas</t>
  </si>
  <si>
    <t>Hardship Utilities Grants Scheme (Gas)</t>
  </si>
  <si>
    <t>Winter Gas Concession</t>
  </si>
  <si>
    <t>Infrastructure Bonds Scheme - Transport</t>
  </si>
  <si>
    <t>Infrastructure Bonds Scheme - Power Generation</t>
  </si>
  <si>
    <t>Infrastructure Borrowings Tax Offset Scheme - Transport</t>
  </si>
  <si>
    <t>Infrastructure Borrowings Tax Offset Scheme - Power Generation</t>
  </si>
  <si>
    <t>VAT Rebate on Imported LNG 2005-10</t>
  </si>
  <si>
    <t>Income Tax Exemption for the Production of Crude Oil from NELP Blocks</t>
  </si>
  <si>
    <t>Exemption from the Extraction Tax for Associated Gas</t>
  </si>
  <si>
    <t>1 MJ of natural gas =</t>
  </si>
  <si>
    <t>NG Transport</t>
  </si>
  <si>
    <t>gge per GJ</t>
  </si>
  <si>
    <t>US State Commercial natural gas taxes</t>
  </si>
  <si>
    <t>Demand (gge)</t>
  </si>
  <si>
    <t>Gross</t>
  </si>
  <si>
    <t>US price calculation for 2015</t>
  </si>
  <si>
    <t>Industrial price</t>
  </si>
  <si>
    <t>Btu/MCF</t>
  </si>
  <si>
    <t>Btu/CF</t>
  </si>
  <si>
    <t>gge per MCF</t>
  </si>
  <si>
    <t>Industrial total</t>
  </si>
  <si>
    <t>Powergen price</t>
  </si>
  <si>
    <t>Powergen total</t>
  </si>
  <si>
    <t>Norwegian carbon tax</t>
  </si>
  <si>
    <t>krone per cubic meter</t>
  </si>
  <si>
    <t>cubic feet per cubic meter</t>
  </si>
  <si>
    <t>krone per MCF</t>
  </si>
  <si>
    <t>Btu per cubic foot</t>
  </si>
  <si>
    <t>Btu per cubic meter</t>
  </si>
  <si>
    <t>gge per cubic meter</t>
  </si>
  <si>
    <t>krone per gge</t>
  </si>
  <si>
    <t xml:space="preserve"> krone per cubic meter </t>
  </si>
  <si>
    <t xml:space="preserve"> cubic feet per cubic meter </t>
  </si>
  <si>
    <t xml:space="preserve"> krone per MCF </t>
  </si>
  <si>
    <t xml:space="preserve"> Btu per cubic foot </t>
  </si>
  <si>
    <t xml:space="preserve"> Btu per cubic meter </t>
  </si>
  <si>
    <t xml:space="preserve"> gge per cubic meter </t>
  </si>
  <si>
    <t xml:space="preserve"> krone per gge </t>
  </si>
  <si>
    <t>Alabama Power</t>
  </si>
  <si>
    <t>taxes</t>
  </si>
  <si>
    <t>Chugach Electric</t>
  </si>
  <si>
    <t>Arizona Public Service</t>
  </si>
  <si>
    <t>Southern California Edison</t>
  </si>
  <si>
    <t>Xcel</t>
  </si>
  <si>
    <t>United Illuminating</t>
  </si>
  <si>
    <t>Delmarva</t>
  </si>
  <si>
    <t>PEPCO</t>
  </si>
  <si>
    <t>JEA</t>
  </si>
  <si>
    <t>Georgia Power</t>
  </si>
  <si>
    <t>Hawaii Electric</t>
  </si>
  <si>
    <t>Idaho Power</t>
  </si>
  <si>
    <t>Indianapolis Power &amp; Light</t>
  </si>
  <si>
    <t>Commonwealth Edison</t>
  </si>
  <si>
    <t>Westar Energy</t>
  </si>
  <si>
    <t>Central Maine Power</t>
  </si>
  <si>
    <t>Eversource</t>
  </si>
  <si>
    <t>Kansas City Power &amp; Light</t>
  </si>
  <si>
    <t>NorthWestern Energy</t>
  </si>
  <si>
    <t>Omaha Public Power District</t>
  </si>
  <si>
    <t>NV Energy</t>
  </si>
  <si>
    <t>Public Service of New Mexico</t>
  </si>
  <si>
    <t>Con Edison</t>
  </si>
  <si>
    <t>Duke Energy</t>
  </si>
  <si>
    <t>AEP</t>
  </si>
  <si>
    <t>Oklahoma Gas &amp; Electric</t>
  </si>
  <si>
    <t>Portland General Electric</t>
  </si>
  <si>
    <t>PECO</t>
  </si>
  <si>
    <t>South Carolina Electric &amp; Gas</t>
  </si>
  <si>
    <t>Nashville Electric Service</t>
  </si>
  <si>
    <t>Centerpoint Energy</t>
  </si>
  <si>
    <t>Rocky Mountain Power</t>
  </si>
  <si>
    <t>Burlington Electric Department</t>
  </si>
  <si>
    <t>Dominion Energy (Virginia Beach)</t>
  </si>
  <si>
    <t>Seattle City Light</t>
  </si>
  <si>
    <t>Appalachian Power</t>
  </si>
  <si>
    <t>pretax value</t>
  </si>
  <si>
    <t>WV Sales of Electricity</t>
  </si>
  <si>
    <t>NC Sales and Use Tax Exemption for Electricity</t>
  </si>
  <si>
    <t>TX Sales Tax Exemption for Natural Gas and Electricity in the Residential Sector</t>
  </si>
  <si>
    <t>Electricity Used in Oil De-Watering Projects</t>
  </si>
  <si>
    <t>LA Sales Tax Exclusion for Purchase of Electric Power or Energy for Non-Residential Use</t>
  </si>
  <si>
    <t>LA Sales Tax Exemption for Residential Use</t>
  </si>
  <si>
    <t>ND Coal Conversion Tax Exemptions</t>
  </si>
  <si>
    <t>ND Oil and Gas Tax Tribal Agreement Exemptions</t>
  </si>
  <si>
    <t>Flat Rate Reductions for Heating Generated by Natural Gas or Electricity</t>
  </si>
  <si>
    <t>Subsidy for Electricity Consumed by Special Groups)</t>
  </si>
  <si>
    <t>Support for Electricity Capacity</t>
  </si>
  <si>
    <t>DRS</t>
  </si>
  <si>
    <t>Tax Exemption for Electricity Consumed by Some Energy-Intensive Industries</t>
  </si>
  <si>
    <t>Tax Exemption for Electricity Used for the Transport of Passengers and Goods by Rail or Cable</t>
  </si>
  <si>
    <t>Reduced Tax Rate for Electricity Consumed by Electro-Intensive Industries which are Exposed to a Significant Risk of Carbon Leakage</t>
  </si>
  <si>
    <t>Reduced Tax Rate for Electricity Consumed by Hyperelectro-Intensive Industries</t>
  </si>
  <si>
    <t>Reduced Tax Rate for Electricity Consumed by Electro-Intensive Industries</t>
  </si>
  <si>
    <t>Reduced Tax Rate for Electricity Used for the Transport of Passengers and Goods by Rail or Cable</t>
  </si>
  <si>
    <t>Fuel Tax Exemption for the Electricity Used by Railway Companies</t>
  </si>
  <si>
    <t>Fuel Tax Exemption for the Electricity Used by Urban and Sub-urban Transportation Companies</t>
  </si>
  <si>
    <t>Fuel Tax Exemption on the Electricity Used by Households with Installed Capacity up to 3kW and Monthly Consumption up to 150kWh</t>
  </si>
  <si>
    <t>VAT Reduction on Electricity for Domestic Use</t>
  </si>
  <si>
    <t>Excise Tax Exemption on Electricity Produced by Regasification Facilities</t>
  </si>
  <si>
    <t>EU ETS Compensation</t>
  </si>
  <si>
    <t>Energy Tax Refund For Energy Intensive Industries</t>
  </si>
  <si>
    <t>ACT Energy Concession</t>
  </si>
  <si>
    <t>Uniform Tariff Policy - Community Service Obligation Payments</t>
  </si>
  <si>
    <t>Regulated Electricity Tariff</t>
  </si>
  <si>
    <t>Pensioner and Carer Concession Scheme</t>
  </si>
  <si>
    <t>Medical Cooling and Heating Electricity Concession Scheme</t>
  </si>
  <si>
    <t>Medical Heating and Cooling Concession</t>
  </si>
  <si>
    <t>Excess Electricity Concession</t>
  </si>
  <si>
    <t>Utility Relief Grant Scheme - Electricity</t>
  </si>
  <si>
    <t>Tariff Adjustment Payment</t>
  </si>
  <si>
    <t>Energy Assistance Payment</t>
  </si>
  <si>
    <t>Energy Concession Extension Scheme</t>
  </si>
  <si>
    <t>Life Support Equipment Electricity Subsidy Scheme</t>
  </si>
  <si>
    <t>Thermoregulatory Dysfunction Energy Subsidy Scheme</t>
  </si>
  <si>
    <t>Hardship Utilities Grants Scheme (Electricity)</t>
  </si>
  <si>
    <t>Life Support Rebate</t>
  </si>
  <si>
    <t>Medical Energy Rebate</t>
  </si>
  <si>
    <t>Data</t>
  </si>
  <si>
    <t>#OECD</t>
  </si>
  <si>
    <t>Subsidies</t>
  </si>
  <si>
    <t>Distillate</t>
  </si>
  <si>
    <t>Other oil</t>
  </si>
  <si>
    <t>Refund?</t>
  </si>
  <si>
    <t>Exemptions</t>
  </si>
  <si>
    <t>DC</t>
  </si>
  <si>
    <t>2015</t>
  </si>
  <si>
    <t>2018</t>
  </si>
  <si>
    <t>State excise</t>
  </si>
  <si>
    <t>Delta</t>
  </si>
  <si>
    <t>Population, M 2015</t>
  </si>
  <si>
    <t>Other industrial</t>
  </si>
  <si>
    <t>Total hypothetical tax ($billion)</t>
  </si>
  <si>
    <t>Alphabetical</t>
  </si>
  <si>
    <t>VAT Rates</t>
  </si>
  <si>
    <t>Largest</t>
  </si>
  <si>
    <t>Second</t>
  </si>
  <si>
    <t>Third</t>
  </si>
  <si>
    <t>Highest</t>
  </si>
  <si>
    <t>Hypothetical</t>
  </si>
  <si>
    <t xml:space="preserve">Hypothetical </t>
  </si>
  <si>
    <t>Hypothatical</t>
  </si>
  <si>
    <t>Smallest</t>
  </si>
  <si>
    <t>US coal total consumption</t>
  </si>
  <si>
    <t>Global Fuel Subsidies</t>
  </si>
  <si>
    <t>Professor Bruce M. Everett</t>
  </si>
  <si>
    <t>The Fletcher School</t>
  </si>
  <si>
    <t>Tufts University</t>
  </si>
  <si>
    <t>Copyright 2018</t>
  </si>
  <si>
    <t>Note:  OECD pre-tax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</si>
</sst>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8"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* #,##0.000_-;\-* #,##0.000_-;_-* &quot;-&quot;??_-;_-@_-"/>
    <numFmt numFmtId="168" formatCode="_-* #,##0.0000_-;\-* #,##0.0000_-;_-* &quot;-&quot;??_-;_-@_-"/>
    <numFmt numFmtId="169" formatCode="_-* #,##0.00000_-;\-* #,##0.00000_-;_-* &quot;-&quot;??_-;_-@_-"/>
    <numFmt numFmtId="170" formatCode="&quot;$&quot;#,##0.00;[Red]&quot;$&quot;#,##0.00"/>
    <numFmt numFmtId="171" formatCode="[$€-2]\ #,##0.0000"/>
    <numFmt numFmtId="172" formatCode="_-* #,##0.0_-;\-* #,##0.0_-;_-* &quot;-&quot;??_-;_-@_-"/>
    <numFmt numFmtId="173" formatCode="_-* #,##0_-;\-* #,##0_-;_-* &quot;-&quot;??_-;_-@_-"/>
    <numFmt numFmtId="174" formatCode="&quot;$&quot;#,##0;[Red]&quot;$&quot;#,##0"/>
    <numFmt numFmtId="175" formatCode="0.0%"/>
    <numFmt numFmtId="176" formatCode="&quot;$&quot;#,##0.000;[Red]&quot;$&quot;#,##0.000"/>
    <numFmt numFmtId="177" formatCode="&quot;$&quot;#,##0.0000;[Red]&quot;$&quot;#,##0.0000"/>
    <numFmt numFmtId="178" formatCode="#,##0_ ;[Red]\-#,##0\ "/>
    <numFmt numFmtId="179" formatCode="_-* #,##0.00000000_-;\-* #,##0.00000000_-;_-* &quot;-&quot;??_-;_-@_-"/>
    <numFmt numFmtId="180" formatCode="&quot;$&quot;#,##0.00000;[Red]&quot;$&quot;#,##0.00000"/>
    <numFmt numFmtId="181" formatCode="[$€-2]\ #,##0"/>
    <numFmt numFmtId="182" formatCode="#,##0\ [$Kč-405]"/>
    <numFmt numFmtId="183" formatCode="[$kr-406]\ #,##0"/>
    <numFmt numFmtId="184" formatCode="#,##0\ [$kr-41D]"/>
    <numFmt numFmtId="185" formatCode="&quot;$&quot;#,##0"/>
    <numFmt numFmtId="186" formatCode="[$kr-814]\ #,##0"/>
    <numFmt numFmtId="187" formatCode="#,##0\ [$€-407]"/>
    <numFmt numFmtId="188" formatCode="[$R$-416]\ #,##0"/>
    <numFmt numFmtId="189" formatCode="#,##0\ [$Ft-40E]"/>
    <numFmt numFmtId="190" formatCode="[$£-809]#,##0"/>
    <numFmt numFmtId="191" formatCode="[$¥-411]#,##0"/>
    <numFmt numFmtId="192" formatCode="[$¥-804]#,##0"/>
    <numFmt numFmtId="193" formatCode="#,##0[$RUB-485]"/>
    <numFmt numFmtId="194" formatCode="&quot;$&quot;#,##0.0;[Red]&quot;$&quot;#,##0.0"/>
    <numFmt numFmtId="195" formatCode="0.000%"/>
    <numFmt numFmtId="196" formatCode="[$€-2]\ #,##0.00;\-[$€-2]\ #,##0.00"/>
    <numFmt numFmtId="197" formatCode="#,##0.00\ [$Kč-405];\-#,##0.00\ [$Kč-405]"/>
    <numFmt numFmtId="198" formatCode="#,##0.0\ [$Kč-405];\-#,##0.0\ [$Kč-405]"/>
    <numFmt numFmtId="199" formatCode="#,##0\ [$Kč-405];\-#,##0\ [$Kč-405]"/>
    <numFmt numFmtId="200" formatCode="[$€-2]\ #,##0.0;\-[$€-2]\ #,##0.0"/>
    <numFmt numFmtId="201" formatCode="#,##0\ [$zł-415]"/>
    <numFmt numFmtId="202" formatCode="[$kr-406]\ #,##0.00"/>
    <numFmt numFmtId="203" formatCode="#,##0.0\ [$zł-415]"/>
    <numFmt numFmtId="204" formatCode="#,##0.00\ [$zł-415]"/>
    <numFmt numFmtId="205" formatCode="#,##0.0\ [$kr-41D]"/>
    <numFmt numFmtId="206" formatCode="#,##0.00\ [$kr-41D]"/>
    <numFmt numFmtId="207" formatCode="[$£-809]#,##0.0"/>
    <numFmt numFmtId="208" formatCode="[$£-809]#,##0.000"/>
    <numFmt numFmtId="209" formatCode="[$€-2]\ #,##0.000;\-[$€-2]\ #,##0.000"/>
    <numFmt numFmtId="210" formatCode="[$kr-406]\ #,##0.000"/>
    <numFmt numFmtId="211" formatCode="#,##0.000\ [$zł-415]"/>
    <numFmt numFmtId="212" formatCode="#,##0.000\ [$kr-41D]"/>
    <numFmt numFmtId="213" formatCode="[$kr-814]\ #,##0.00"/>
    <numFmt numFmtId="214" formatCode="[$CHF-100C]\ #,##0.000"/>
    <numFmt numFmtId="215" formatCode="[$₩-412]#,##0"/>
    <numFmt numFmtId="216" formatCode="[$£-809]#,##0.0000"/>
    <numFmt numFmtId="217" formatCode="#,##0.0\ [$Ft-40E]"/>
    <numFmt numFmtId="218" formatCode="#,##0.00\ [$Ft-40E]"/>
    <numFmt numFmtId="219" formatCode="[$€-2]\ #,##0.0000;\-[$€-2]\ #,##0.0000"/>
    <numFmt numFmtId="220" formatCode="[$¥-411]#,##0.0"/>
    <numFmt numFmtId="221" formatCode="[$₩-412]#,##0.00"/>
    <numFmt numFmtId="222" formatCode="[$¥-411]#,##0.00"/>
    <numFmt numFmtId="223" formatCode="[$kr-406]\ #,##0.0"/>
    <numFmt numFmtId="224" formatCode="[$CHF-100C]\ #,##0.0"/>
    <numFmt numFmtId="225" formatCode="[$CHF-100C]\ #,##0"/>
    <numFmt numFmtId="226" formatCode="[$¥-804]#,##0.00"/>
    <numFmt numFmtId="227" formatCode="&quot;$&quot;#,##0.00"/>
    <numFmt numFmtId="228" formatCode="[$RUB]\ #,##0"/>
    <numFmt numFmtId="229" formatCode="[$CHF-807]\ #,##0"/>
    <numFmt numFmtId="230" formatCode="#,##0[$₹-4009]"/>
    <numFmt numFmtId="231" formatCode="[$CHF-810]\ #,##0"/>
    <numFmt numFmtId="232" formatCode="#,##0[$RUB-444]"/>
    <numFmt numFmtId="233" formatCode="_-&quot;$&quot;* #,##0.0000_-;\-&quot;$&quot;* #,##0.0000_-;_-&quot;$&quot;* &quot;-&quot;??_-;_-@_-"/>
    <numFmt numFmtId="234" formatCode="_-&quot;$&quot;* #,##0_-;\-&quot;$&quot;* #,##0_-;_-&quot;$&quot;* &quot;-&quot;??_-;_-@_-"/>
    <numFmt numFmtId="235" formatCode="0.000"/>
    <numFmt numFmtId="236" formatCode="&quot;$&quot;#,##0.000000;[Red]&quot;$&quot;#,##0.000000"/>
    <numFmt numFmtId="237" formatCode="[$R$-416]\ #,##0.00"/>
    <numFmt numFmtId="238" formatCode="#,##0.00[$₹-439]"/>
    <numFmt numFmtId="239" formatCode="[$RUB]\ #,##0.00;\-[$RUB]\ #,##0.00"/>
    <numFmt numFmtId="240" formatCode="[$£-809]#,##0.00"/>
    <numFmt numFmtId="241" formatCode="&quot;$&quot;#,##0.0;[Red]\-&quot;$&quot;#,##0.0"/>
    <numFmt numFmtId="242" formatCode="_-* #,##0_-;\-* #,##0_-;_-* &quot;-&quot;?_-;_-@_-"/>
    <numFmt numFmtId="243" formatCode="[$RUB]\ #,##0.00"/>
    <numFmt numFmtId="244" formatCode="#,##0.0[$¥-478]"/>
    <numFmt numFmtId="245" formatCode="[$$-80A]#,##0.0"/>
    <numFmt numFmtId="246" formatCode="[$CHF-100C]\ #,##0.00"/>
    <numFmt numFmtId="247" formatCode="[$R$-416]\ #,##0.000"/>
    <numFmt numFmtId="248" formatCode="[$€-413]\ #,##0.00_-"/>
    <numFmt numFmtId="249" formatCode="[$€-413]\ #,##0.0_-"/>
    <numFmt numFmtId="250" formatCode="&quot;$&quot;#,##0.0000;[Red]\-&quot;$&quot;#,##0.0000"/>
    <numFmt numFmtId="251" formatCode="0.0000%"/>
  </numFmts>
  <fonts count="2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scheme val="minor"/>
    </font>
    <font>
      <b/>
      <sz val="12"/>
      <color rgb="FF3366FF"/>
      <name val="Calibri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12"/>
      <color rgb="FF0000FF"/>
      <name val="Calibri"/>
      <scheme val="minor"/>
    </font>
    <font>
      <b/>
      <u/>
      <sz val="12"/>
      <color theme="1"/>
      <name val="Calibri"/>
      <scheme val="minor"/>
    </font>
    <font>
      <b/>
      <sz val="12"/>
      <color rgb="FF000000"/>
      <name val="Calibri"/>
      <family val="2"/>
      <scheme val="minor"/>
    </font>
    <font>
      <b/>
      <sz val="12"/>
      <color rgb="FFFF6600"/>
      <name val="Calibri"/>
      <scheme val="minor"/>
    </font>
    <font>
      <b/>
      <u/>
      <sz val="12"/>
      <name val="Calibri"/>
      <scheme val="minor"/>
    </font>
    <font>
      <sz val="12"/>
      <name val="Calibri"/>
      <scheme val="minor"/>
    </font>
    <font>
      <sz val="12"/>
      <color rgb="FF0000FF"/>
      <name val="Calibri"/>
      <scheme val="minor"/>
    </font>
    <font>
      <b/>
      <sz val="12"/>
      <color rgb="FF000090"/>
      <name val="Calibri"/>
      <scheme val="minor"/>
    </font>
    <font>
      <b/>
      <i/>
      <sz val="12"/>
      <color theme="0" tint="-0.499984740745262"/>
      <name val="Calibri"/>
      <scheme val="minor"/>
    </font>
    <font>
      <b/>
      <i/>
      <sz val="12"/>
      <name val="Calibri"/>
      <scheme val="minor"/>
    </font>
    <font>
      <b/>
      <i/>
      <sz val="12"/>
      <color rgb="FF3366FF"/>
      <name val="Calibri"/>
      <scheme val="minor"/>
    </font>
    <font>
      <b/>
      <i/>
      <sz val="12"/>
      <color rgb="FFFF0000"/>
      <name val="Calibri"/>
      <scheme val="minor"/>
    </font>
    <font>
      <b/>
      <i/>
      <sz val="12"/>
      <color rgb="FFFF6600"/>
      <name val="Calibri"/>
      <scheme val="minor"/>
    </font>
    <font>
      <b/>
      <i/>
      <sz val="12"/>
      <color theme="3" tint="0.39997558519241921"/>
      <name val="Calibri"/>
      <scheme val="minor"/>
    </font>
    <font>
      <b/>
      <sz val="12"/>
      <color theme="3" tint="0.39997558519241921"/>
      <name val="Calibri"/>
      <scheme val="minor"/>
    </font>
    <font>
      <b/>
      <i/>
      <sz val="12"/>
      <color theme="0" tint="-0.34998626667073579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</borders>
  <cellStyleXfs count="6508">
    <xf numFmtId="0" fontId="0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67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6" fontId="3" fillId="0" borderId="0" xfId="1" applyFont="1"/>
    <xf numFmtId="167" fontId="3" fillId="0" borderId="0" xfId="1" applyNumberFormat="1" applyFont="1"/>
    <xf numFmtId="168" fontId="3" fillId="0" borderId="0" xfId="1" applyNumberFormat="1" applyFont="1"/>
    <xf numFmtId="168" fontId="3" fillId="0" borderId="0" xfId="1" applyNumberFormat="1" applyFont="1" applyAlignment="1">
      <alignment horizontal="center"/>
    </xf>
    <xf numFmtId="169" fontId="3" fillId="0" borderId="0" xfId="1" applyNumberFormat="1" applyFont="1"/>
    <xf numFmtId="169" fontId="3" fillId="0" borderId="0" xfId="1" applyNumberFormat="1" applyFont="1" applyAlignment="1">
      <alignment horizontal="center"/>
    </xf>
    <xf numFmtId="166" fontId="3" fillId="0" borderId="0" xfId="0" applyNumberFormat="1" applyFont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172" fontId="3" fillId="0" borderId="0" xfId="1" applyNumberFormat="1" applyFont="1"/>
    <xf numFmtId="173" fontId="3" fillId="0" borderId="0" xfId="1" applyNumberFormat="1" applyFont="1"/>
    <xf numFmtId="173" fontId="3" fillId="0" borderId="0" xfId="1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174" fontId="3" fillId="0" borderId="0" xfId="0" applyNumberFormat="1" applyFont="1"/>
    <xf numFmtId="174" fontId="3" fillId="0" borderId="0" xfId="0" applyNumberFormat="1" applyFont="1" applyAlignment="1">
      <alignment horizontal="center"/>
    </xf>
    <xf numFmtId="173" fontId="3" fillId="0" borderId="0" xfId="1" quotePrefix="1" applyNumberFormat="1" applyFont="1" applyAlignment="1">
      <alignment horizontal="center"/>
    </xf>
    <xf numFmtId="173" fontId="4" fillId="0" borderId="0" xfId="1" applyNumberFormat="1" applyFont="1"/>
    <xf numFmtId="173" fontId="8" fillId="0" borderId="0" xfId="1" applyNumberFormat="1" applyFont="1"/>
    <xf numFmtId="173" fontId="3" fillId="0" borderId="0" xfId="0" applyNumberFormat="1" applyFont="1"/>
    <xf numFmtId="2" fontId="3" fillId="0" borderId="0" xfId="0" applyNumberFormat="1" applyFont="1"/>
    <xf numFmtId="0" fontId="4" fillId="0" borderId="0" xfId="0" applyFont="1" applyAlignment="1">
      <alignment horizontal="left"/>
    </xf>
    <xf numFmtId="173" fontId="3" fillId="0" borderId="12" xfId="1" applyNumberFormat="1" applyFont="1" applyBorder="1"/>
    <xf numFmtId="173" fontId="3" fillId="0" borderId="7" xfId="1" applyNumberFormat="1" applyFont="1" applyBorder="1"/>
    <xf numFmtId="166" fontId="3" fillId="0" borderId="0" xfId="1" applyNumberFormat="1" applyFont="1"/>
    <xf numFmtId="175" fontId="3" fillId="0" borderId="0" xfId="2" applyNumberFormat="1" applyFont="1"/>
    <xf numFmtId="169" fontId="3" fillId="0" borderId="7" xfId="1" applyNumberFormat="1" applyFont="1" applyBorder="1" applyAlignment="1">
      <alignment horizontal="center"/>
    </xf>
    <xf numFmtId="170" fontId="3" fillId="0" borderId="7" xfId="0" applyNumberFormat="1" applyFont="1" applyBorder="1" applyAlignment="1">
      <alignment horizontal="center"/>
    </xf>
    <xf numFmtId="173" fontId="3" fillId="0" borderId="7" xfId="1" applyNumberFormat="1" applyFont="1" applyBorder="1" applyAlignment="1">
      <alignment horizontal="center"/>
    </xf>
    <xf numFmtId="174" fontId="3" fillId="0" borderId="8" xfId="0" applyNumberFormat="1" applyFont="1" applyBorder="1" applyAlignment="1">
      <alignment horizontal="center"/>
    </xf>
    <xf numFmtId="169" fontId="3" fillId="0" borderId="7" xfId="1" applyNumberFormat="1" applyFont="1" applyBorder="1"/>
    <xf numFmtId="170" fontId="3" fillId="0" borderId="7" xfId="0" applyNumberFormat="1" applyFont="1" applyBorder="1"/>
    <xf numFmtId="174" fontId="3" fillId="0" borderId="8" xfId="0" applyNumberFormat="1" applyFont="1" applyBorder="1"/>
    <xf numFmtId="169" fontId="3" fillId="0" borderId="10" xfId="1" applyNumberFormat="1" applyFont="1" applyBorder="1"/>
    <xf numFmtId="170" fontId="3" fillId="0" borderId="10" xfId="0" applyNumberFormat="1" applyFont="1" applyBorder="1"/>
    <xf numFmtId="173" fontId="3" fillId="0" borderId="10" xfId="1" applyNumberFormat="1" applyFont="1" applyBorder="1"/>
    <xf numFmtId="174" fontId="3" fillId="0" borderId="11" xfId="0" applyNumberFormat="1" applyFont="1" applyBorder="1"/>
    <xf numFmtId="0" fontId="9" fillId="0" borderId="6" xfId="0" applyFont="1" applyBorder="1" applyAlignment="1">
      <alignment horizontal="left"/>
    </xf>
    <xf numFmtId="170" fontId="8" fillId="0" borderId="7" xfId="0" applyNumberFormat="1" applyFont="1" applyBorder="1"/>
    <xf numFmtId="170" fontId="8" fillId="0" borderId="10" xfId="0" applyNumberFormat="1" applyFont="1" applyBorder="1"/>
    <xf numFmtId="173" fontId="4" fillId="0" borderId="7" xfId="1" applyNumberFormat="1" applyFont="1" applyBorder="1"/>
    <xf numFmtId="0" fontId="3" fillId="0" borderId="6" xfId="0" applyFont="1" applyBorder="1"/>
    <xf numFmtId="169" fontId="3" fillId="0" borderId="16" xfId="1" applyNumberFormat="1" applyFont="1" applyBorder="1"/>
    <xf numFmtId="0" fontId="3" fillId="0" borderId="0" xfId="0" applyFont="1" applyBorder="1" applyAlignment="1">
      <alignment horizontal="center"/>
    </xf>
    <xf numFmtId="0" fontId="3" fillId="0" borderId="9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/>
    <xf numFmtId="0" fontId="3" fillId="0" borderId="6" xfId="0" applyFont="1" applyBorder="1" applyAlignment="1">
      <alignment horizontal="left"/>
    </xf>
    <xf numFmtId="0" fontId="3" fillId="0" borderId="18" xfId="0" applyFont="1" applyBorder="1" applyAlignment="1">
      <alignment horizontal="center"/>
    </xf>
    <xf numFmtId="0" fontId="3" fillId="0" borderId="15" xfId="0" applyFont="1" applyBorder="1"/>
    <xf numFmtId="174" fontId="9" fillId="0" borderId="0" xfId="0" applyNumberFormat="1" applyFont="1"/>
    <xf numFmtId="176" fontId="3" fillId="0" borderId="0" xfId="0" applyNumberFormat="1" applyFont="1"/>
    <xf numFmtId="177" fontId="3" fillId="0" borderId="0" xfId="0" applyNumberFormat="1" applyFont="1"/>
    <xf numFmtId="177" fontId="3" fillId="0" borderId="0" xfId="0" applyNumberFormat="1" applyFont="1" applyAlignment="1">
      <alignment horizontal="center"/>
    </xf>
    <xf numFmtId="178" fontId="3" fillId="0" borderId="0" xfId="1" applyNumberFormat="1" applyFont="1"/>
    <xf numFmtId="178" fontId="3" fillId="0" borderId="0" xfId="1" applyNumberFormat="1" applyFont="1" applyAlignment="1">
      <alignment horizontal="center"/>
    </xf>
    <xf numFmtId="173" fontId="4" fillId="0" borderId="10" xfId="1" applyNumberFormat="1" applyFont="1" applyBorder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173" fontId="8" fillId="0" borderId="0" xfId="1" applyNumberFormat="1" applyFont="1" applyAlignment="1">
      <alignment horizontal="center"/>
    </xf>
    <xf numFmtId="173" fontId="8" fillId="0" borderId="7" xfId="1" applyNumberFormat="1" applyFont="1" applyBorder="1" applyAlignment="1">
      <alignment horizontal="center"/>
    </xf>
    <xf numFmtId="173" fontId="8" fillId="0" borderId="7" xfId="1" applyNumberFormat="1" applyFont="1" applyBorder="1"/>
    <xf numFmtId="173" fontId="8" fillId="0" borderId="10" xfId="1" applyNumberFormat="1" applyFont="1" applyBorder="1"/>
    <xf numFmtId="179" fontId="3" fillId="0" borderId="0" xfId="0" applyNumberFormat="1" applyFont="1"/>
    <xf numFmtId="0" fontId="3" fillId="0" borderId="18" xfId="0" applyFont="1" applyBorder="1"/>
    <xf numFmtId="174" fontId="8" fillId="0" borderId="0" xfId="0" applyNumberFormat="1" applyFont="1"/>
    <xf numFmtId="175" fontId="3" fillId="0" borderId="0" xfId="2" applyNumberFormat="1" applyFont="1" applyAlignment="1">
      <alignment horizontal="center"/>
    </xf>
    <xf numFmtId="173" fontId="3" fillId="0" borderId="0" xfId="1" applyNumberFormat="1" applyFont="1" applyBorder="1" applyAlignment="1">
      <alignment horizontal="center"/>
    </xf>
    <xf numFmtId="173" fontId="3" fillId="0" borderId="0" xfId="1" applyNumberFormat="1" applyFont="1" applyBorder="1" applyAlignment="1"/>
    <xf numFmtId="173" fontId="8" fillId="0" borderId="0" xfId="1" quotePrefix="1" applyNumberFormat="1" applyFont="1" applyAlignment="1">
      <alignment horizontal="center"/>
    </xf>
    <xf numFmtId="173" fontId="8" fillId="0" borderId="16" xfId="1" applyNumberFormat="1" applyFont="1" applyBorder="1"/>
    <xf numFmtId="176" fontId="8" fillId="0" borderId="7" xfId="0" applyNumberFormat="1" applyFont="1" applyBorder="1"/>
    <xf numFmtId="173" fontId="4" fillId="0" borderId="16" xfId="1" applyNumberFormat="1" applyFont="1" applyBorder="1"/>
    <xf numFmtId="0" fontId="4" fillId="0" borderId="0" xfId="0" applyFont="1"/>
    <xf numFmtId="175" fontId="3" fillId="0" borderId="8" xfId="2" applyNumberFormat="1" applyFont="1" applyBorder="1"/>
    <xf numFmtId="173" fontId="4" fillId="0" borderId="0" xfId="1" quotePrefix="1" applyNumberFormat="1" applyFont="1" applyAlignment="1">
      <alignment horizontal="center"/>
    </xf>
    <xf numFmtId="173" fontId="4" fillId="0" borderId="0" xfId="1" applyNumberFormat="1" applyFont="1" applyAlignment="1">
      <alignment horizontal="center"/>
    </xf>
    <xf numFmtId="173" fontId="4" fillId="0" borderId="7" xfId="1" applyNumberFormat="1" applyFont="1" applyBorder="1" applyAlignment="1">
      <alignment horizontal="center"/>
    </xf>
    <xf numFmtId="0" fontId="3" fillId="2" borderId="0" xfId="0" applyFont="1" applyFill="1"/>
    <xf numFmtId="0" fontId="3" fillId="2" borderId="6" xfId="0" applyFont="1" applyFill="1" applyBorder="1"/>
    <xf numFmtId="0" fontId="8" fillId="0" borderId="0" xfId="0" applyFont="1"/>
    <xf numFmtId="0" fontId="8" fillId="0" borderId="6" xfId="0" applyFont="1" applyBorder="1"/>
    <xf numFmtId="168" fontId="8" fillId="0" borderId="7" xfId="1" applyNumberFormat="1" applyFont="1" applyBorder="1"/>
    <xf numFmtId="178" fontId="8" fillId="0" borderId="0" xfId="1" applyNumberFormat="1" applyFont="1"/>
    <xf numFmtId="177" fontId="8" fillId="0" borderId="0" xfId="0" applyNumberFormat="1" applyFont="1"/>
    <xf numFmtId="0" fontId="8" fillId="0" borderId="15" xfId="0" applyFont="1" applyBorder="1"/>
    <xf numFmtId="168" fontId="3" fillId="0" borderId="0" xfId="0" applyNumberFormat="1" applyFont="1"/>
    <xf numFmtId="175" fontId="3" fillId="0" borderId="11" xfId="2" applyNumberFormat="1" applyFont="1" applyBorder="1"/>
    <xf numFmtId="175" fontId="3" fillId="0" borderId="3" xfId="2" applyNumberFormat="1" applyFont="1" applyBorder="1"/>
    <xf numFmtId="175" fontId="8" fillId="0" borderId="3" xfId="2" applyNumberFormat="1" applyFont="1" applyBorder="1"/>
    <xf numFmtId="176" fontId="3" fillId="0" borderId="0" xfId="0" applyNumberFormat="1" applyFont="1" applyAlignment="1">
      <alignment horizontal="center"/>
    </xf>
    <xf numFmtId="10" fontId="3" fillId="0" borderId="0" xfId="2" applyNumberFormat="1" applyFont="1"/>
    <xf numFmtId="10" fontId="3" fillId="0" borderId="0" xfId="2" applyNumberFormat="1" applyFont="1" applyAlignment="1">
      <alignment horizontal="center"/>
    </xf>
    <xf numFmtId="174" fontId="4" fillId="0" borderId="0" xfId="0" applyNumberFormat="1" applyFont="1"/>
    <xf numFmtId="0" fontId="8" fillId="0" borderId="1" xfId="0" applyFont="1" applyBorder="1"/>
    <xf numFmtId="176" fontId="3" fillId="0" borderId="1" xfId="0" applyNumberFormat="1" applyFont="1" applyBorder="1"/>
    <xf numFmtId="174" fontId="3" fillId="0" borderId="1" xfId="0" applyNumberFormat="1" applyFont="1" applyBorder="1"/>
    <xf numFmtId="170" fontId="14" fillId="0" borderId="0" xfId="0" applyNumberFormat="1" applyFont="1" applyAlignment="1">
      <alignment horizontal="center"/>
    </xf>
    <xf numFmtId="0" fontId="3" fillId="0" borderId="0" xfId="0" applyFont="1" applyBorder="1"/>
    <xf numFmtId="0" fontId="8" fillId="0" borderId="0" xfId="0" applyFont="1" applyBorder="1"/>
    <xf numFmtId="176" fontId="3" fillId="0" borderId="0" xfId="0" applyNumberFormat="1" applyFont="1" applyBorder="1"/>
    <xf numFmtId="174" fontId="3" fillId="0" borderId="0" xfId="0" applyNumberFormat="1" applyFont="1" applyBorder="1"/>
    <xf numFmtId="177" fontId="4" fillId="0" borderId="0" xfId="0" applyNumberFormat="1" applyFont="1" applyAlignment="1">
      <alignment horizontal="center"/>
    </xf>
    <xf numFmtId="174" fontId="8" fillId="0" borderId="1" xfId="0" applyNumberFormat="1" applyFont="1" applyBorder="1"/>
    <xf numFmtId="174" fontId="3" fillId="0" borderId="0" xfId="0" applyNumberFormat="1" applyFont="1" applyAlignment="1">
      <alignment horizontal="right"/>
    </xf>
    <xf numFmtId="3" fontId="3" fillId="0" borderId="0" xfId="0" applyNumberFormat="1" applyFont="1"/>
    <xf numFmtId="174" fontId="3" fillId="0" borderId="3" xfId="0" applyNumberFormat="1" applyFont="1" applyBorder="1"/>
    <xf numFmtId="0" fontId="13" fillId="0" borderId="0" xfId="0" applyFont="1"/>
    <xf numFmtId="174" fontId="3" fillId="0" borderId="14" xfId="0" applyNumberFormat="1" applyFont="1" applyBorder="1"/>
    <xf numFmtId="174" fontId="8" fillId="0" borderId="0" xfId="0" applyNumberFormat="1" applyFont="1" applyAlignment="1">
      <alignment horizontal="center"/>
    </xf>
    <xf numFmtId="172" fontId="3" fillId="0" borderId="0" xfId="1" applyNumberFormat="1" applyFont="1" applyAlignment="1">
      <alignment horizontal="center"/>
    </xf>
    <xf numFmtId="176" fontId="12" fillId="0" borderId="0" xfId="0" applyNumberFormat="1" applyFont="1"/>
    <xf numFmtId="3" fontId="3" fillId="0" borderId="0" xfId="1" applyNumberFormat="1" applyFont="1"/>
    <xf numFmtId="0" fontId="8" fillId="0" borderId="0" xfId="0" applyFont="1" applyAlignment="1">
      <alignment horizontal="left"/>
    </xf>
    <xf numFmtId="0" fontId="4" fillId="0" borderId="1" xfId="0" applyFont="1" applyBorder="1"/>
    <xf numFmtId="174" fontId="12" fillId="0" borderId="0" xfId="0" applyNumberFormat="1" applyFont="1"/>
    <xf numFmtId="172" fontId="0" fillId="0" borderId="0" xfId="1" applyNumberFormat="1" applyFont="1"/>
    <xf numFmtId="172" fontId="12" fillId="0" borderId="0" xfId="1" applyNumberFormat="1" applyFont="1"/>
    <xf numFmtId="181" fontId="8" fillId="0" borderId="0" xfId="0" applyNumberFormat="1" applyFont="1"/>
    <xf numFmtId="181" fontId="8" fillId="0" borderId="1" xfId="0" applyNumberFormat="1" applyFont="1" applyBorder="1"/>
    <xf numFmtId="182" fontId="8" fillId="0" borderId="0" xfId="0" applyNumberFormat="1" applyFont="1"/>
    <xf numFmtId="182" fontId="8" fillId="0" borderId="1" xfId="0" applyNumberFormat="1" applyFont="1" applyBorder="1"/>
    <xf numFmtId="183" fontId="8" fillId="0" borderId="0" xfId="0" applyNumberFormat="1" applyFont="1"/>
    <xf numFmtId="183" fontId="8" fillId="0" borderId="1" xfId="0" applyNumberFormat="1" applyFont="1" applyBorder="1"/>
    <xf numFmtId="0" fontId="3" fillId="0" borderId="3" xfId="0" applyFont="1" applyBorder="1"/>
    <xf numFmtId="181" fontId="8" fillId="0" borderId="3" xfId="0" applyNumberFormat="1" applyFont="1" applyBorder="1"/>
    <xf numFmtId="181" fontId="8" fillId="0" borderId="2" xfId="0" applyNumberFormat="1" applyFont="1" applyBorder="1"/>
    <xf numFmtId="182" fontId="8" fillId="0" borderId="3" xfId="0" applyNumberFormat="1" applyFont="1" applyBorder="1"/>
    <xf numFmtId="182" fontId="8" fillId="0" borderId="2" xfId="0" applyNumberFormat="1" applyFont="1" applyBorder="1"/>
    <xf numFmtId="183" fontId="8" fillId="0" borderId="3" xfId="0" applyNumberFormat="1" applyFont="1" applyBorder="1"/>
    <xf numFmtId="183" fontId="8" fillId="0" borderId="2" xfId="0" applyNumberFormat="1" applyFont="1" applyBorder="1"/>
    <xf numFmtId="0" fontId="8" fillId="0" borderId="2" xfId="0" applyFont="1" applyBorder="1"/>
    <xf numFmtId="184" fontId="8" fillId="0" borderId="0" xfId="0" applyNumberFormat="1" applyFont="1"/>
    <xf numFmtId="184" fontId="8" fillId="0" borderId="3" xfId="0" applyNumberFormat="1" applyFont="1" applyBorder="1"/>
    <xf numFmtId="184" fontId="8" fillId="0" borderId="0" xfId="0" applyNumberFormat="1" applyFont="1" applyBorder="1"/>
    <xf numFmtId="184" fontId="3" fillId="0" borderId="1" xfId="0" applyNumberFormat="1" applyFont="1" applyBorder="1"/>
    <xf numFmtId="185" fontId="8" fillId="0" borderId="0" xfId="0" applyNumberFormat="1" applyFont="1"/>
    <xf numFmtId="185" fontId="8" fillId="0" borderId="3" xfId="0" applyNumberFormat="1" applyFont="1" applyBorder="1"/>
    <xf numFmtId="185" fontId="8" fillId="0" borderId="1" xfId="0" applyNumberFormat="1" applyFont="1" applyBorder="1"/>
    <xf numFmtId="185" fontId="8" fillId="0" borderId="2" xfId="0" applyNumberFormat="1" applyFont="1" applyBorder="1"/>
    <xf numFmtId="186" fontId="8" fillId="0" borderId="0" xfId="0" applyNumberFormat="1" applyFont="1"/>
    <xf numFmtId="186" fontId="8" fillId="0" borderId="3" xfId="0" applyNumberFormat="1" applyFont="1" applyBorder="1"/>
    <xf numFmtId="186" fontId="8" fillId="0" borderId="1" xfId="0" applyNumberFormat="1" applyFont="1" applyBorder="1"/>
    <xf numFmtId="186" fontId="8" fillId="0" borderId="2" xfId="0" applyNumberFormat="1" applyFont="1" applyBorder="1"/>
    <xf numFmtId="188" fontId="8" fillId="0" borderId="0" xfId="0" applyNumberFormat="1" applyFont="1"/>
    <xf numFmtId="188" fontId="8" fillId="0" borderId="3" xfId="0" applyNumberFormat="1" applyFont="1" applyBorder="1"/>
    <xf numFmtId="188" fontId="8" fillId="0" borderId="1" xfId="0" applyNumberFormat="1" applyFont="1" applyBorder="1"/>
    <xf numFmtId="188" fontId="8" fillId="0" borderId="2" xfId="0" applyNumberFormat="1" applyFont="1" applyBorder="1"/>
    <xf numFmtId="10" fontId="12" fillId="0" borderId="0" xfId="2" applyNumberFormat="1" applyFont="1"/>
    <xf numFmtId="175" fontId="0" fillId="0" borderId="0" xfId="0" applyNumberFormat="1"/>
    <xf numFmtId="10" fontId="12" fillId="0" borderId="0" xfId="2" applyNumberFormat="1" applyFont="1" applyAlignment="1">
      <alignment horizontal="center"/>
    </xf>
    <xf numFmtId="176" fontId="8" fillId="0" borderId="0" xfId="0" applyNumberFormat="1" applyFont="1"/>
    <xf numFmtId="172" fontId="8" fillId="0" borderId="0" xfId="1" applyNumberFormat="1" applyFont="1" applyAlignment="1">
      <alignment horizontal="center"/>
    </xf>
    <xf numFmtId="0" fontId="0" fillId="0" borderId="1" xfId="0" applyBorder="1"/>
    <xf numFmtId="175" fontId="0" fillId="0" borderId="1" xfId="0" applyNumberFormat="1" applyBorder="1"/>
    <xf numFmtId="176" fontId="0" fillId="0" borderId="0" xfId="0" applyNumberFormat="1"/>
    <xf numFmtId="175" fontId="0" fillId="0" borderId="0" xfId="0" applyNumberFormat="1" applyAlignment="1">
      <alignment horizontal="center"/>
    </xf>
    <xf numFmtId="173" fontId="0" fillId="0" borderId="0" xfId="1" applyNumberFormat="1" applyFont="1"/>
    <xf numFmtId="174" fontId="3" fillId="0" borderId="2" xfId="0" applyNumberFormat="1" applyFont="1" applyBorder="1"/>
    <xf numFmtId="174" fontId="3" fillId="0" borderId="3" xfId="1" applyNumberFormat="1" applyFont="1" applyBorder="1"/>
    <xf numFmtId="174" fontId="3" fillId="0" borderId="3" xfId="0" applyNumberFormat="1" applyFont="1" applyBorder="1" applyAlignment="1">
      <alignment horizontal="center"/>
    </xf>
    <xf numFmtId="181" fontId="8" fillId="0" borderId="3" xfId="0" applyNumberFormat="1" applyFont="1" applyBorder="1" applyAlignment="1">
      <alignment horizontal="right"/>
    </xf>
    <xf numFmtId="0" fontId="17" fillId="0" borderId="0" xfId="0" applyFont="1"/>
    <xf numFmtId="192" fontId="3" fillId="0" borderId="3" xfId="0" applyNumberFormat="1" applyFont="1" applyBorder="1"/>
    <xf numFmtId="192" fontId="3" fillId="0" borderId="2" xfId="0" applyNumberFormat="1" applyFont="1" applyBorder="1"/>
    <xf numFmtId="188" fontId="3" fillId="0" borderId="3" xfId="0" applyNumberFormat="1" applyFont="1" applyBorder="1"/>
    <xf numFmtId="188" fontId="3" fillId="0" borderId="2" xfId="0" applyNumberFormat="1" applyFont="1" applyBorder="1"/>
    <xf numFmtId="166" fontId="3" fillId="2" borderId="0" xfId="1" applyNumberFormat="1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10" fontId="8" fillId="0" borderId="0" xfId="2" applyNumberFormat="1" applyFont="1"/>
    <xf numFmtId="10" fontId="18" fillId="0" borderId="0" xfId="2" applyNumberFormat="1" applyFont="1"/>
    <xf numFmtId="10" fontId="18" fillId="0" borderId="1" xfId="2" applyNumberFormat="1" applyFont="1" applyBorder="1"/>
    <xf numFmtId="170" fontId="12" fillId="0" borderId="0" xfId="1" applyNumberFormat="1" applyFont="1"/>
    <xf numFmtId="172" fontId="8" fillId="0" borderId="0" xfId="1" applyNumberFormat="1" applyFont="1"/>
    <xf numFmtId="175" fontId="8" fillId="0" borderId="0" xfId="0" applyNumberFormat="1" applyFont="1"/>
    <xf numFmtId="172" fontId="17" fillId="0" borderId="0" xfId="1" applyNumberFormat="1" applyFont="1"/>
    <xf numFmtId="166" fontId="8" fillId="0" borderId="0" xfId="1" applyFont="1"/>
    <xf numFmtId="10" fontId="12" fillId="4" borderId="21" xfId="2" applyNumberFormat="1" applyFont="1" applyFill="1" applyBorder="1"/>
    <xf numFmtId="10" fontId="12" fillId="4" borderId="22" xfId="2" applyNumberFormat="1" applyFont="1" applyFill="1" applyBorder="1"/>
    <xf numFmtId="10" fontId="12" fillId="4" borderId="23" xfId="2" applyNumberFormat="1" applyFont="1" applyFill="1" applyBorder="1" applyAlignment="1">
      <alignment horizontal="center"/>
    </xf>
    <xf numFmtId="10" fontId="12" fillId="4" borderId="4" xfId="2" applyNumberFormat="1" applyFont="1" applyFill="1" applyBorder="1"/>
    <xf numFmtId="10" fontId="12" fillId="4" borderId="0" xfId="2" applyNumberFormat="1" applyFont="1" applyFill="1" applyBorder="1"/>
    <xf numFmtId="10" fontId="12" fillId="4" borderId="3" xfId="2" applyNumberFormat="1" applyFont="1" applyFill="1" applyBorder="1" applyAlignment="1">
      <alignment horizontal="center"/>
    </xf>
    <xf numFmtId="10" fontId="12" fillId="4" borderId="24" xfId="2" applyNumberFormat="1" applyFont="1" applyFill="1" applyBorder="1"/>
    <xf numFmtId="10" fontId="12" fillId="4" borderId="18" xfId="2" applyNumberFormat="1" applyFont="1" applyFill="1" applyBorder="1"/>
    <xf numFmtId="10" fontId="12" fillId="4" borderId="14" xfId="2" applyNumberFormat="1" applyFont="1" applyFill="1" applyBorder="1" applyAlignment="1">
      <alignment horizontal="center"/>
    </xf>
    <xf numFmtId="177" fontId="12" fillId="0" borderId="0" xfId="2" applyNumberFormat="1" applyFont="1"/>
    <xf numFmtId="0" fontId="12" fillId="0" borderId="0" xfId="0" applyFont="1"/>
    <xf numFmtId="172" fontId="18" fillId="0" borderId="0" xfId="1" applyNumberFormat="1" applyFont="1"/>
    <xf numFmtId="9" fontId="12" fillId="0" borderId="0" xfId="2" applyFont="1"/>
    <xf numFmtId="187" fontId="3" fillId="0" borderId="1" xfId="0" applyNumberFormat="1" applyFont="1" applyBorder="1" applyAlignment="1">
      <alignment horizontal="right"/>
    </xf>
    <xf numFmtId="187" fontId="3" fillId="0" borderId="0" xfId="0" applyNumberFormat="1" applyFont="1"/>
    <xf numFmtId="187" fontId="3" fillId="0" borderId="1" xfId="0" applyNumberFormat="1" applyFont="1" applyBorder="1" applyAlignment="1">
      <alignment horizontal="center"/>
    </xf>
    <xf numFmtId="187" fontId="3" fillId="0" borderId="1" xfId="0" applyNumberFormat="1" applyFont="1" applyBorder="1"/>
    <xf numFmtId="187" fontId="3" fillId="0" borderId="3" xfId="0" applyNumberFormat="1" applyFont="1" applyBorder="1"/>
    <xf numFmtId="187" fontId="3" fillId="0" borderId="2" xfId="0" applyNumberFormat="1" applyFont="1" applyBorder="1"/>
    <xf numFmtId="187" fontId="3" fillId="0" borderId="0" xfId="0" applyNumberFormat="1" applyFont="1" applyAlignment="1">
      <alignment horizontal="center"/>
    </xf>
    <xf numFmtId="187" fontId="8" fillId="0" borderId="0" xfId="0" applyNumberFormat="1" applyFont="1" applyBorder="1" applyAlignment="1">
      <alignment horizontal="right"/>
    </xf>
    <xf numFmtId="187" fontId="8" fillId="0" borderId="3" xfId="0" applyNumberFormat="1" applyFont="1" applyBorder="1" applyAlignment="1">
      <alignment horizontal="right"/>
    </xf>
    <xf numFmtId="184" fontId="3" fillId="0" borderId="0" xfId="0" applyNumberFormat="1" applyFont="1" applyBorder="1" applyAlignment="1">
      <alignment horizontal="right"/>
    </xf>
    <xf numFmtId="184" fontId="3" fillId="0" borderId="0" xfId="0" applyNumberFormat="1" applyFont="1" applyBorder="1"/>
    <xf numFmtId="0" fontId="0" fillId="0" borderId="2" xfId="0" applyBorder="1"/>
    <xf numFmtId="184" fontId="3" fillId="0" borderId="1" xfId="0" applyNumberFormat="1" applyFont="1" applyFill="1" applyBorder="1" applyAlignment="1">
      <alignment horizontal="right"/>
    </xf>
    <xf numFmtId="190" fontId="3" fillId="0" borderId="0" xfId="0" applyNumberFormat="1" applyFont="1" applyBorder="1"/>
    <xf numFmtId="190" fontId="3" fillId="0" borderId="0" xfId="0" applyNumberFormat="1" applyFont="1"/>
    <xf numFmtId="190" fontId="3" fillId="0" borderId="3" xfId="0" applyNumberFormat="1" applyFont="1" applyBorder="1"/>
    <xf numFmtId="190" fontId="0" fillId="0" borderId="2" xfId="0" applyNumberFormat="1" applyBorder="1"/>
    <xf numFmtId="190" fontId="3" fillId="0" borderId="0" xfId="0" applyNumberFormat="1" applyFont="1" applyBorder="1" applyAlignment="1">
      <alignment horizontal="center"/>
    </xf>
    <xf numFmtId="190" fontId="3" fillId="0" borderId="0" xfId="0" applyNumberFormat="1" applyFont="1" applyAlignment="1">
      <alignment horizontal="center"/>
    </xf>
    <xf numFmtId="190" fontId="0" fillId="0" borderId="1" xfId="0" applyNumberFormat="1" applyBorder="1" applyAlignment="1">
      <alignment horizontal="center"/>
    </xf>
    <xf numFmtId="190" fontId="3" fillId="0" borderId="1" xfId="0" applyNumberFormat="1" applyFont="1" applyBorder="1" applyAlignment="1">
      <alignment horizontal="center"/>
    </xf>
    <xf numFmtId="192" fontId="3" fillId="0" borderId="0" xfId="0" applyNumberFormat="1" applyFont="1" applyAlignment="1">
      <alignment horizontal="right"/>
    </xf>
    <xf numFmtId="192" fontId="3" fillId="0" borderId="0" xfId="0" applyNumberFormat="1" applyFont="1"/>
    <xf numFmtId="192" fontId="3" fillId="0" borderId="1" xfId="0" applyNumberFormat="1" applyFont="1" applyBorder="1"/>
    <xf numFmtId="188" fontId="3" fillId="0" borderId="0" xfId="0" applyNumberFormat="1" applyFont="1"/>
    <xf numFmtId="188" fontId="3" fillId="0" borderId="1" xfId="0" applyNumberFormat="1" applyFont="1" applyBorder="1"/>
    <xf numFmtId="193" fontId="3" fillId="0" borderId="1" xfId="0" applyNumberFormat="1" applyFont="1" applyBorder="1" applyAlignment="1">
      <alignment horizontal="right"/>
    </xf>
    <xf numFmtId="193" fontId="3" fillId="0" borderId="0" xfId="0" applyNumberFormat="1" applyFont="1"/>
    <xf numFmtId="193" fontId="3" fillId="0" borderId="3" xfId="0" applyNumberFormat="1" applyFont="1" applyBorder="1"/>
    <xf numFmtId="193" fontId="3" fillId="0" borderId="1" xfId="0" applyNumberFormat="1" applyFont="1" applyBorder="1"/>
    <xf numFmtId="193" fontId="3" fillId="0" borderId="2" xfId="0" applyNumberFormat="1" applyFont="1" applyBorder="1"/>
    <xf numFmtId="170" fontId="3" fillId="0" borderId="0" xfId="1" applyNumberFormat="1" applyFont="1"/>
    <xf numFmtId="194" fontId="3" fillId="0" borderId="0" xfId="0" applyNumberFormat="1" applyFont="1"/>
    <xf numFmtId="175" fontId="8" fillId="0" borderId="14" xfId="2" applyNumberFormat="1" applyFont="1" applyBorder="1"/>
    <xf numFmtId="175" fontId="3" fillId="0" borderId="0" xfId="2" applyNumberFormat="1" applyFont="1" applyBorder="1"/>
    <xf numFmtId="175" fontId="8" fillId="0" borderId="0" xfId="2" applyNumberFormat="1" applyFont="1" applyBorder="1"/>
    <xf numFmtId="10" fontId="17" fillId="0" borderId="0" xfId="2" applyNumberFormat="1" applyFont="1"/>
    <xf numFmtId="10" fontId="12" fillId="0" borderId="18" xfId="2" applyNumberFormat="1" applyFont="1" applyBorder="1"/>
    <xf numFmtId="10" fontId="12" fillId="0" borderId="25" xfId="2" applyNumberFormat="1" applyFont="1" applyBorder="1"/>
    <xf numFmtId="177" fontId="12" fillId="0" borderId="18" xfId="2" applyNumberFormat="1" applyFont="1" applyBorder="1"/>
    <xf numFmtId="170" fontId="12" fillId="0" borderId="0" xfId="2" applyNumberFormat="1" applyFont="1"/>
    <xf numFmtId="0" fontId="12" fillId="0" borderId="0" xfId="0" applyFont="1" applyAlignment="1">
      <alignment horizontal="center"/>
    </xf>
    <xf numFmtId="176" fontId="8" fillId="0" borderId="1" xfId="0" applyNumberFormat="1" applyFont="1" applyBorder="1"/>
    <xf numFmtId="9" fontId="8" fillId="0" borderId="0" xfId="2" applyFont="1"/>
    <xf numFmtId="9" fontId="3" fillId="0" borderId="0" xfId="2" applyFont="1"/>
    <xf numFmtId="0" fontId="16" fillId="0" borderId="0" xfId="0" applyFont="1" applyAlignment="1">
      <alignment horizontal="right"/>
    </xf>
    <xf numFmtId="174" fontId="0" fillId="0" borderId="0" xfId="0" applyNumberFormat="1"/>
    <xf numFmtId="170" fontId="12" fillId="0" borderId="18" xfId="1" applyNumberFormat="1" applyFont="1" applyBorder="1"/>
    <xf numFmtId="0" fontId="17" fillId="0" borderId="1" xfId="0" applyFont="1" applyBorder="1"/>
    <xf numFmtId="174" fontId="8" fillId="0" borderId="0" xfId="0" applyNumberFormat="1" applyFont="1" applyAlignment="1">
      <alignment horizontal="right"/>
    </xf>
    <xf numFmtId="174" fontId="17" fillId="0" borderId="1" xfId="0" applyNumberFormat="1" applyFont="1" applyBorder="1" applyAlignment="1">
      <alignment horizontal="right"/>
    </xf>
    <xf numFmtId="174" fontId="17" fillId="0" borderId="0" xfId="0" applyNumberFormat="1" applyFont="1" applyAlignment="1">
      <alignment horizontal="right"/>
    </xf>
    <xf numFmtId="174" fontId="0" fillId="0" borderId="0" xfId="0" applyNumberFormat="1" applyAlignment="1">
      <alignment horizontal="right"/>
    </xf>
    <xf numFmtId="9" fontId="8" fillId="0" borderId="0" xfId="2" applyFont="1" applyAlignment="1">
      <alignment horizontal="right"/>
    </xf>
    <xf numFmtId="9" fontId="8" fillId="0" borderId="0" xfId="2" applyFont="1" applyAlignment="1">
      <alignment horizontal="center"/>
    </xf>
    <xf numFmtId="174" fontId="8" fillId="0" borderId="3" xfId="0" applyNumberFormat="1" applyFont="1" applyBorder="1" applyAlignment="1">
      <alignment horizontal="right"/>
    </xf>
    <xf numFmtId="174" fontId="8" fillId="0" borderId="3" xfId="0" applyNumberFormat="1" applyFont="1" applyBorder="1" applyAlignment="1">
      <alignment horizontal="center"/>
    </xf>
    <xf numFmtId="174" fontId="17" fillId="0" borderId="2" xfId="0" applyNumberFormat="1" applyFont="1" applyBorder="1" applyAlignment="1">
      <alignment horizontal="right"/>
    </xf>
    <xf numFmtId="195" fontId="12" fillId="0" borderId="0" xfId="2" applyNumberFormat="1" applyFont="1"/>
    <xf numFmtId="170" fontId="0" fillId="0" borderId="0" xfId="0" applyNumberFormat="1"/>
    <xf numFmtId="170" fontId="12" fillId="0" borderId="25" xfId="2" applyNumberFormat="1" applyFont="1" applyBorder="1"/>
    <xf numFmtId="0" fontId="3" fillId="0" borderId="0" xfId="0" applyFont="1" applyAlignment="1">
      <alignment horizontal="left"/>
    </xf>
    <xf numFmtId="0" fontId="19" fillId="0" borderId="18" xfId="0" applyFont="1" applyBorder="1"/>
    <xf numFmtId="0" fontId="19" fillId="0" borderId="0" xfId="0" applyFont="1"/>
    <xf numFmtId="173" fontId="9" fillId="0" borderId="0" xfId="1" applyNumberFormat="1" applyFont="1" applyAlignment="1">
      <alignment horizontal="center"/>
    </xf>
    <xf numFmtId="0" fontId="3" fillId="0" borderId="18" xfId="0" applyFont="1" applyBorder="1" applyAlignment="1">
      <alignment horizontal="left"/>
    </xf>
    <xf numFmtId="0" fontId="3" fillId="0" borderId="14" xfId="0" applyFont="1" applyBorder="1" applyAlignment="1">
      <alignment horizontal="center"/>
    </xf>
    <xf numFmtId="0" fontId="3" fillId="0" borderId="25" xfId="0" applyFont="1" applyBorder="1"/>
    <xf numFmtId="0" fontId="3" fillId="0" borderId="26" xfId="0" applyFont="1" applyBorder="1"/>
    <xf numFmtId="0" fontId="13" fillId="0" borderId="0" xfId="0" applyFont="1" applyAlignment="1">
      <alignment horizontal="center"/>
    </xf>
    <xf numFmtId="172" fontId="3" fillId="0" borderId="0" xfId="1" applyNumberFormat="1" applyFont="1" applyAlignment="1"/>
    <xf numFmtId="172" fontId="3" fillId="0" borderId="25" xfId="1" applyNumberFormat="1" applyFont="1" applyBorder="1" applyAlignment="1"/>
    <xf numFmtId="172" fontId="3" fillId="0" borderId="0" xfId="1" applyNumberFormat="1" applyFont="1" applyBorder="1" applyAlignment="1"/>
    <xf numFmtId="170" fontId="3" fillId="0" borderId="6" xfId="0" applyNumberFormat="1" applyFont="1" applyBorder="1"/>
    <xf numFmtId="170" fontId="3" fillId="0" borderId="9" xfId="0" applyNumberFormat="1" applyFont="1" applyBorder="1"/>
    <xf numFmtId="170" fontId="3" fillId="0" borderId="15" xfId="0" applyNumberFormat="1" applyFont="1" applyBorder="1"/>
    <xf numFmtId="174" fontId="8" fillId="0" borderId="0" xfId="2" applyNumberFormat="1" applyFont="1"/>
    <xf numFmtId="174" fontId="8" fillId="0" borderId="0" xfId="2" applyNumberFormat="1" applyFont="1" applyAlignment="1">
      <alignment horizontal="center"/>
    </xf>
    <xf numFmtId="164" fontId="3" fillId="0" borderId="0" xfId="0" applyNumberFormat="1" applyFont="1"/>
    <xf numFmtId="194" fontId="8" fillId="0" borderId="0" xfId="1" applyNumberFormat="1" applyFont="1" applyAlignment="1">
      <alignment horizontal="center"/>
    </xf>
    <xf numFmtId="194" fontId="3" fillId="2" borderId="15" xfId="0" applyNumberFormat="1" applyFont="1" applyFill="1" applyBorder="1"/>
    <xf numFmtId="174" fontId="3" fillId="2" borderId="0" xfId="0" applyNumberFormat="1" applyFont="1" applyFill="1"/>
    <xf numFmtId="0" fontId="19" fillId="2" borderId="0" xfId="0" applyFont="1" applyFill="1"/>
    <xf numFmtId="170" fontId="3" fillId="2" borderId="0" xfId="0" applyNumberFormat="1" applyFont="1" applyFill="1"/>
    <xf numFmtId="194" fontId="8" fillId="5" borderId="7" xfId="1" applyNumberFormat="1" applyFont="1" applyFill="1" applyBorder="1" applyAlignment="1">
      <alignment horizontal="right"/>
    </xf>
    <xf numFmtId="194" fontId="3" fillId="5" borderId="7" xfId="0" applyNumberFormat="1" applyFont="1" applyFill="1" applyBorder="1"/>
    <xf numFmtId="170" fontId="3" fillId="5" borderId="7" xfId="0" applyNumberFormat="1" applyFont="1" applyFill="1" applyBorder="1"/>
    <xf numFmtId="194" fontId="3" fillId="5" borderId="15" xfId="0" applyNumberFormat="1" applyFont="1" applyFill="1" applyBorder="1"/>
    <xf numFmtId="170" fontId="19" fillId="5" borderId="34" xfId="0" applyNumberFormat="1" applyFont="1" applyFill="1" applyBorder="1"/>
    <xf numFmtId="170" fontId="3" fillId="0" borderId="0" xfId="1594" applyNumberFormat="1" applyFont="1" applyAlignment="1">
      <alignment horizontal="center"/>
    </xf>
    <xf numFmtId="170" fontId="19" fillId="5" borderId="34" xfId="0" applyNumberFormat="1" applyFont="1" applyFill="1" applyBorder="1" applyAlignment="1">
      <alignment horizontal="center"/>
    </xf>
    <xf numFmtId="170" fontId="3" fillId="0" borderId="8" xfId="0" applyNumberFormat="1" applyFont="1" applyBorder="1"/>
    <xf numFmtId="173" fontId="3" fillId="5" borderId="7" xfId="1" applyNumberFormat="1" applyFont="1" applyFill="1" applyBorder="1"/>
    <xf numFmtId="173" fontId="3" fillId="5" borderId="7" xfId="1" applyNumberFormat="1" applyFont="1" applyFill="1" applyBorder="1" applyAlignment="1">
      <alignment horizontal="center"/>
    </xf>
    <xf numFmtId="173" fontId="3" fillId="5" borderId="10" xfId="1" applyNumberFormat="1" applyFont="1" applyFill="1" applyBorder="1"/>
    <xf numFmtId="173" fontId="8" fillId="5" borderId="7" xfId="1" applyNumberFormat="1" applyFont="1" applyFill="1" applyBorder="1"/>
    <xf numFmtId="173" fontId="8" fillId="5" borderId="10" xfId="1" applyNumberFormat="1" applyFont="1" applyFill="1" applyBorder="1"/>
    <xf numFmtId="173" fontId="8" fillId="5" borderId="16" xfId="1" applyNumberFormat="1" applyFont="1" applyFill="1" applyBorder="1"/>
    <xf numFmtId="0" fontId="3" fillId="5" borderId="6" xfId="0" applyFont="1" applyFill="1" applyBorder="1"/>
    <xf numFmtId="170" fontId="3" fillId="5" borderId="6" xfId="0" applyNumberFormat="1" applyFont="1" applyFill="1" applyBorder="1"/>
    <xf numFmtId="0" fontId="3" fillId="5" borderId="6" xfId="0" applyFont="1" applyFill="1" applyBorder="1" applyAlignment="1">
      <alignment horizontal="left"/>
    </xf>
    <xf numFmtId="0" fontId="3" fillId="5" borderId="9" xfId="0" applyFont="1" applyFill="1" applyBorder="1"/>
    <xf numFmtId="169" fontId="3" fillId="0" borderId="8" xfId="1" applyNumberFormat="1" applyFont="1" applyBorder="1"/>
    <xf numFmtId="169" fontId="3" fillId="0" borderId="8" xfId="1" applyNumberFormat="1" applyFont="1" applyBorder="1" applyAlignment="1">
      <alignment horizontal="center"/>
    </xf>
    <xf numFmtId="169" fontId="3" fillId="0" borderId="11" xfId="1" applyNumberFormat="1" applyFont="1" applyBorder="1"/>
    <xf numFmtId="169" fontId="3" fillId="0" borderId="17" xfId="1" applyNumberFormat="1" applyFont="1" applyBorder="1"/>
    <xf numFmtId="170" fontId="3" fillId="5" borderId="8" xfId="0" applyNumberFormat="1" applyFont="1" applyFill="1" applyBorder="1"/>
    <xf numFmtId="170" fontId="9" fillId="5" borderId="8" xfId="0" applyNumberFormat="1" applyFont="1" applyFill="1" applyBorder="1" applyAlignment="1">
      <alignment horizontal="left"/>
    </xf>
    <xf numFmtId="170" fontId="3" fillId="5" borderId="11" xfId="0" applyNumberFormat="1" applyFont="1" applyFill="1" applyBorder="1"/>
    <xf numFmtId="170" fontId="3" fillId="5" borderId="8" xfId="0" applyNumberFormat="1" applyFont="1" applyFill="1" applyBorder="1" applyAlignment="1">
      <alignment horizontal="left"/>
    </xf>
    <xf numFmtId="170" fontId="3" fillId="5" borderId="17" xfId="0" applyNumberFormat="1" applyFont="1" applyFill="1" applyBorder="1"/>
    <xf numFmtId="170" fontId="8" fillId="0" borderId="8" xfId="0" applyNumberFormat="1" applyFont="1" applyBorder="1"/>
    <xf numFmtId="170" fontId="3" fillId="0" borderId="8" xfId="0" applyNumberFormat="1" applyFont="1" applyBorder="1" applyAlignment="1">
      <alignment horizontal="center"/>
    </xf>
    <xf numFmtId="170" fontId="3" fillId="0" borderId="11" xfId="0" applyNumberFormat="1" applyFont="1" applyBorder="1"/>
    <xf numFmtId="170" fontId="8" fillId="0" borderId="11" xfId="0" applyNumberFormat="1" applyFont="1" applyBorder="1"/>
    <xf numFmtId="170" fontId="8" fillId="0" borderId="6" xfId="0" applyNumberFormat="1" applyFont="1" applyBorder="1"/>
    <xf numFmtId="170" fontId="3" fillId="0" borderId="6" xfId="0" applyNumberFormat="1" applyFont="1" applyBorder="1" applyAlignment="1">
      <alignment horizontal="center"/>
    </xf>
    <xf numFmtId="170" fontId="8" fillId="0" borderId="9" xfId="0" applyNumberFormat="1" applyFont="1" applyBorder="1"/>
    <xf numFmtId="170" fontId="12" fillId="5" borderId="7" xfId="0" applyNumberFormat="1" applyFont="1" applyFill="1" applyBorder="1"/>
    <xf numFmtId="174" fontId="8" fillId="5" borderId="8" xfId="2" applyNumberFormat="1" applyFont="1" applyFill="1" applyBorder="1"/>
    <xf numFmtId="175" fontId="3" fillId="5" borderId="6" xfId="2" applyNumberFormat="1" applyFont="1" applyFill="1" applyBorder="1" applyAlignment="1">
      <alignment horizontal="center"/>
    </xf>
    <xf numFmtId="170" fontId="3" fillId="5" borderId="7" xfId="0" applyNumberFormat="1" applyFont="1" applyFill="1" applyBorder="1" applyAlignment="1">
      <alignment horizontal="center"/>
    </xf>
    <xf numFmtId="174" fontId="8" fillId="5" borderId="8" xfId="2" applyNumberFormat="1" applyFont="1" applyFill="1" applyBorder="1" applyAlignment="1">
      <alignment horizontal="center"/>
    </xf>
    <xf numFmtId="170" fontId="3" fillId="5" borderId="10" xfId="0" applyNumberFormat="1" applyFont="1" applyFill="1" applyBorder="1"/>
    <xf numFmtId="174" fontId="8" fillId="5" borderId="11" xfId="2" applyNumberFormat="1" applyFont="1" applyFill="1" applyBorder="1"/>
    <xf numFmtId="170" fontId="8" fillId="5" borderId="7" xfId="0" applyNumberFormat="1" applyFont="1" applyFill="1" applyBorder="1"/>
    <xf numFmtId="170" fontId="8" fillId="5" borderId="10" xfId="0" applyNumberFormat="1" applyFont="1" applyFill="1" applyBorder="1"/>
    <xf numFmtId="175" fontId="8" fillId="5" borderId="6" xfId="2" applyNumberFormat="1" applyFont="1" applyFill="1" applyBorder="1"/>
    <xf numFmtId="175" fontId="4" fillId="5" borderId="6" xfId="2" applyNumberFormat="1" applyFont="1" applyFill="1" applyBorder="1"/>
    <xf numFmtId="170" fontId="4" fillId="5" borderId="7" xfId="0" applyNumberFormat="1" applyFont="1" applyFill="1" applyBorder="1"/>
    <xf numFmtId="175" fontId="3" fillId="5" borderId="6" xfId="2" applyNumberFormat="1" applyFont="1" applyFill="1" applyBorder="1"/>
    <xf numFmtId="175" fontId="3" fillId="5" borderId="15" xfId="2" applyNumberFormat="1" applyFont="1" applyFill="1" applyBorder="1"/>
    <xf numFmtId="170" fontId="3" fillId="5" borderId="16" xfId="0" applyNumberFormat="1" applyFont="1" applyFill="1" applyBorder="1"/>
    <xf numFmtId="174" fontId="8" fillId="5" borderId="17" xfId="2" applyNumberFormat="1" applyFont="1" applyFill="1" applyBorder="1"/>
    <xf numFmtId="170" fontId="8" fillId="5" borderId="6" xfId="2" applyNumberFormat="1" applyFont="1" applyFill="1" applyBorder="1"/>
    <xf numFmtId="170" fontId="3" fillId="0" borderId="0" xfId="2" applyNumberFormat="1" applyFont="1"/>
    <xf numFmtId="170" fontId="8" fillId="0" borderId="0" xfId="2" applyNumberFormat="1" applyFont="1"/>
    <xf numFmtId="170" fontId="8" fillId="0" borderId="0" xfId="2" applyNumberFormat="1" applyFont="1" applyAlignment="1">
      <alignment horizontal="center"/>
    </xf>
    <xf numFmtId="170" fontId="8" fillId="5" borderId="6" xfId="2" applyNumberFormat="1" applyFont="1" applyFill="1" applyBorder="1" applyAlignment="1">
      <alignment horizontal="center"/>
    </xf>
    <xf numFmtId="170" fontId="8" fillId="5" borderId="9" xfId="2" applyNumberFormat="1" applyFont="1" applyFill="1" applyBorder="1"/>
    <xf numFmtId="170" fontId="8" fillId="5" borderId="15" xfId="2" applyNumberFormat="1" applyFont="1" applyFill="1" applyBorder="1"/>
    <xf numFmtId="178" fontId="3" fillId="5" borderId="12" xfId="1" applyNumberFormat="1" applyFont="1" applyFill="1" applyBorder="1"/>
    <xf numFmtId="174" fontId="3" fillId="5" borderId="7" xfId="0" applyNumberFormat="1" applyFont="1" applyFill="1" applyBorder="1"/>
    <xf numFmtId="178" fontId="3" fillId="5" borderId="12" xfId="1" applyNumberFormat="1" applyFont="1" applyFill="1" applyBorder="1" applyAlignment="1">
      <alignment horizontal="center"/>
    </xf>
    <xf numFmtId="174" fontId="3" fillId="5" borderId="7" xfId="0" applyNumberFormat="1" applyFont="1" applyFill="1" applyBorder="1" applyAlignment="1">
      <alignment horizontal="center"/>
    </xf>
    <xf numFmtId="178" fontId="3" fillId="5" borderId="13" xfId="1" applyNumberFormat="1" applyFont="1" applyFill="1" applyBorder="1"/>
    <xf numFmtId="174" fontId="3" fillId="5" borderId="10" xfId="0" applyNumberFormat="1" applyFont="1" applyFill="1" applyBorder="1"/>
    <xf numFmtId="174" fontId="3" fillId="5" borderId="8" xfId="0" applyNumberFormat="1" applyFont="1" applyFill="1" applyBorder="1"/>
    <xf numFmtId="174" fontId="3" fillId="5" borderId="8" xfId="0" applyNumberFormat="1" applyFont="1" applyFill="1" applyBorder="1" applyAlignment="1">
      <alignment horizontal="center"/>
    </xf>
    <xf numFmtId="174" fontId="3" fillId="5" borderId="11" xfId="0" applyNumberFormat="1" applyFont="1" applyFill="1" applyBorder="1"/>
    <xf numFmtId="173" fontId="3" fillId="5" borderId="8" xfId="1" applyNumberFormat="1" applyFont="1" applyFill="1" applyBorder="1"/>
    <xf numFmtId="173" fontId="3" fillId="5" borderId="8" xfId="1" applyNumberFormat="1" applyFont="1" applyFill="1" applyBorder="1" applyAlignment="1">
      <alignment horizontal="center"/>
    </xf>
    <xf numFmtId="173" fontId="3" fillId="5" borderId="11" xfId="1" applyNumberFormat="1" applyFont="1" applyFill="1" applyBorder="1"/>
    <xf numFmtId="173" fontId="8" fillId="5" borderId="8" xfId="1" applyNumberFormat="1" applyFont="1" applyFill="1" applyBorder="1"/>
    <xf numFmtId="173" fontId="8" fillId="5" borderId="11" xfId="1" applyNumberFormat="1" applyFont="1" applyFill="1" applyBorder="1"/>
    <xf numFmtId="173" fontId="8" fillId="5" borderId="17" xfId="1" applyNumberFormat="1" applyFont="1" applyFill="1" applyBorder="1"/>
    <xf numFmtId="170" fontId="3" fillId="5" borderId="8" xfId="0" applyNumberFormat="1" applyFont="1" applyFill="1" applyBorder="1" applyAlignment="1">
      <alignment horizontal="right"/>
    </xf>
    <xf numFmtId="169" fontId="3" fillId="0" borderId="0" xfId="1" applyNumberFormat="1" applyFont="1" applyBorder="1"/>
    <xf numFmtId="194" fontId="8" fillId="5" borderId="6" xfId="1" applyNumberFormat="1" applyFont="1" applyFill="1" applyBorder="1" applyAlignment="1">
      <alignment horizontal="right"/>
    </xf>
    <xf numFmtId="194" fontId="3" fillId="5" borderId="6" xfId="0" applyNumberFormat="1" applyFont="1" applyFill="1" applyBorder="1"/>
    <xf numFmtId="170" fontId="19" fillId="5" borderId="35" xfId="0" applyNumberFormat="1" applyFont="1" applyFill="1" applyBorder="1"/>
    <xf numFmtId="173" fontId="8" fillId="5" borderId="7" xfId="1" applyNumberFormat="1" applyFont="1" applyFill="1" applyBorder="1" applyAlignment="1">
      <alignment horizontal="center"/>
    </xf>
    <xf numFmtId="168" fontId="8" fillId="0" borderId="10" xfId="1" applyNumberFormat="1" applyFont="1" applyBorder="1"/>
    <xf numFmtId="175" fontId="8" fillId="5" borderId="6" xfId="2" applyNumberFormat="1" applyFont="1" applyFill="1" applyBorder="1" applyAlignment="1">
      <alignment horizontal="center"/>
    </xf>
    <xf numFmtId="175" fontId="8" fillId="5" borderId="9" xfId="2" applyNumberFormat="1" applyFont="1" applyFill="1" applyBorder="1"/>
    <xf numFmtId="175" fontId="8" fillId="0" borderId="0" xfId="2" applyNumberFormat="1" applyFont="1"/>
    <xf numFmtId="175" fontId="8" fillId="5" borderId="7" xfId="2" applyNumberFormat="1" applyFont="1" applyFill="1" applyBorder="1"/>
    <xf numFmtId="170" fontId="8" fillId="5" borderId="7" xfId="2" applyNumberFormat="1" applyFont="1" applyFill="1" applyBorder="1"/>
    <xf numFmtId="170" fontId="8" fillId="5" borderId="6" xfId="0" applyNumberFormat="1" applyFont="1" applyFill="1" applyBorder="1"/>
    <xf numFmtId="175" fontId="8" fillId="5" borderId="10" xfId="2" applyNumberFormat="1" applyFont="1" applyFill="1" applyBorder="1"/>
    <xf numFmtId="170" fontId="8" fillId="5" borderId="10" xfId="2" applyNumberFormat="1" applyFont="1" applyFill="1" applyBorder="1"/>
    <xf numFmtId="174" fontId="8" fillId="0" borderId="8" xfId="0" applyNumberFormat="1" applyFont="1" applyBorder="1"/>
    <xf numFmtId="174" fontId="8" fillId="0" borderId="8" xfId="0" applyNumberFormat="1" applyFont="1" applyBorder="1" applyAlignment="1">
      <alignment horizontal="center"/>
    </xf>
    <xf numFmtId="174" fontId="8" fillId="0" borderId="11" xfId="0" applyNumberFormat="1" applyFont="1" applyBorder="1"/>
    <xf numFmtId="174" fontId="8" fillId="0" borderId="17" xfId="0" applyNumberFormat="1" applyFont="1" applyBorder="1"/>
    <xf numFmtId="170" fontId="3" fillId="2" borderId="0" xfId="0" applyNumberFormat="1" applyFont="1" applyFill="1" applyAlignment="1">
      <alignment horizontal="center"/>
    </xf>
    <xf numFmtId="170" fontId="8" fillId="5" borderId="11" xfId="0" applyNumberFormat="1" applyFont="1" applyFill="1" applyBorder="1"/>
    <xf numFmtId="175" fontId="3" fillId="5" borderId="7" xfId="2" applyNumberFormat="1" applyFont="1" applyFill="1" applyBorder="1" applyAlignment="1">
      <alignment horizontal="center"/>
    </xf>
    <xf numFmtId="175" fontId="3" fillId="5" borderId="7" xfId="2" applyNumberFormat="1" applyFont="1" applyFill="1" applyBorder="1"/>
    <xf numFmtId="175" fontId="3" fillId="5" borderId="10" xfId="2" applyNumberFormat="1" applyFont="1" applyFill="1" applyBorder="1"/>
    <xf numFmtId="170" fontId="8" fillId="0" borderId="0" xfId="1" applyNumberFormat="1" applyFont="1" applyAlignment="1">
      <alignment horizontal="center"/>
    </xf>
    <xf numFmtId="175" fontId="3" fillId="5" borderId="9" xfId="2" applyNumberFormat="1" applyFont="1" applyFill="1" applyBorder="1"/>
    <xf numFmtId="194" fontId="3" fillId="3" borderId="5" xfId="0" applyNumberFormat="1" applyFont="1" applyFill="1" applyBorder="1"/>
    <xf numFmtId="194" fontId="8" fillId="3" borderId="5" xfId="1" applyNumberFormat="1" applyFont="1" applyFill="1" applyBorder="1" applyAlignment="1">
      <alignment horizontal="right"/>
    </xf>
    <xf numFmtId="170" fontId="3" fillId="3" borderId="5" xfId="0" applyNumberFormat="1" applyFont="1" applyFill="1" applyBorder="1"/>
    <xf numFmtId="170" fontId="19" fillId="3" borderId="33" xfId="0" applyNumberFormat="1" applyFont="1" applyFill="1" applyBorder="1"/>
    <xf numFmtId="194" fontId="3" fillId="3" borderId="33" xfId="0" applyNumberFormat="1" applyFont="1" applyFill="1" applyBorder="1"/>
    <xf numFmtId="168" fontId="3" fillId="2" borderId="7" xfId="1" applyNumberFormat="1" applyFont="1" applyFill="1" applyBorder="1"/>
    <xf numFmtId="166" fontId="3" fillId="5" borderId="6" xfId="1" applyNumberFormat="1" applyFont="1" applyFill="1" applyBorder="1"/>
    <xf numFmtId="196" fontId="3" fillId="5" borderId="6" xfId="1" applyNumberFormat="1" applyFont="1" applyFill="1" applyBorder="1"/>
    <xf numFmtId="196" fontId="3" fillId="5" borderId="6" xfId="1" applyNumberFormat="1" applyFont="1" applyFill="1" applyBorder="1" applyAlignment="1">
      <alignment horizontal="center"/>
    </xf>
    <xf numFmtId="197" fontId="3" fillId="5" borderId="6" xfId="1" applyNumberFormat="1" applyFont="1" applyFill="1" applyBorder="1"/>
    <xf numFmtId="198" fontId="3" fillId="5" borderId="6" xfId="1" applyNumberFormat="1" applyFont="1" applyFill="1" applyBorder="1"/>
    <xf numFmtId="189" fontId="3" fillId="5" borderId="6" xfId="1" applyNumberFormat="1" applyFont="1" applyFill="1" applyBorder="1"/>
    <xf numFmtId="170" fontId="3" fillId="5" borderId="6" xfId="1" applyNumberFormat="1" applyFont="1" applyFill="1" applyBorder="1"/>
    <xf numFmtId="169" fontId="3" fillId="2" borderId="8" xfId="1" applyNumberFormat="1" applyFont="1" applyFill="1" applyBorder="1"/>
    <xf numFmtId="177" fontId="3" fillId="2" borderId="6" xfId="0" applyNumberFormat="1" applyFont="1" applyFill="1" applyBorder="1"/>
    <xf numFmtId="170" fontId="3" fillId="2" borderId="8" xfId="0" applyNumberFormat="1" applyFont="1" applyFill="1" applyBorder="1"/>
    <xf numFmtId="168" fontId="8" fillId="2" borderId="7" xfId="1" applyNumberFormat="1" applyFont="1" applyFill="1" applyBorder="1"/>
    <xf numFmtId="170" fontId="8" fillId="2" borderId="8" xfId="0" applyNumberFormat="1" applyFont="1" applyFill="1" applyBorder="1"/>
    <xf numFmtId="170" fontId="8" fillId="2" borderId="6" xfId="0" applyNumberFormat="1" applyFont="1" applyFill="1" applyBorder="1"/>
    <xf numFmtId="174" fontId="8" fillId="2" borderId="8" xfId="0" applyNumberFormat="1" applyFont="1" applyFill="1" applyBorder="1"/>
    <xf numFmtId="178" fontId="3" fillId="2" borderId="0" xfId="1" applyNumberFormat="1" applyFont="1" applyFill="1"/>
    <xf numFmtId="177" fontId="3" fillId="2" borderId="0" xfId="0" applyNumberFormat="1" applyFont="1" applyFill="1"/>
    <xf numFmtId="177" fontId="3" fillId="2" borderId="6" xfId="1" applyNumberFormat="1" applyFont="1" applyFill="1" applyBorder="1"/>
    <xf numFmtId="170" fontId="4" fillId="2" borderId="8" xfId="0" applyNumberFormat="1" applyFont="1" applyFill="1" applyBorder="1"/>
    <xf numFmtId="170" fontId="4" fillId="2" borderId="6" xfId="0" applyNumberFormat="1" applyFont="1" applyFill="1" applyBorder="1"/>
    <xf numFmtId="170" fontId="3" fillId="2" borderId="6" xfId="0" applyNumberFormat="1" applyFont="1" applyFill="1" applyBorder="1"/>
    <xf numFmtId="0" fontId="8" fillId="2" borderId="8" xfId="0" applyFont="1" applyFill="1" applyBorder="1"/>
    <xf numFmtId="169" fontId="3" fillId="2" borderId="17" xfId="1" applyNumberFormat="1" applyFont="1" applyFill="1" applyBorder="1"/>
    <xf numFmtId="177" fontId="3" fillId="2" borderId="15" xfId="0" applyNumberFormat="1" applyFont="1" applyFill="1" applyBorder="1"/>
    <xf numFmtId="170" fontId="3" fillId="2" borderId="17" xfId="0" applyNumberFormat="1" applyFont="1" applyFill="1" applyBorder="1"/>
    <xf numFmtId="168" fontId="3" fillId="2" borderId="16" xfId="1" applyNumberFormat="1" applyFont="1" applyFill="1" applyBorder="1"/>
    <xf numFmtId="170" fontId="3" fillId="2" borderId="15" xfId="0" applyNumberFormat="1" applyFont="1" applyFill="1" applyBorder="1"/>
    <xf numFmtId="174" fontId="8" fillId="2" borderId="17" xfId="0" applyNumberFormat="1" applyFont="1" applyFill="1" applyBorder="1"/>
    <xf numFmtId="169" fontId="3" fillId="2" borderId="0" xfId="1" applyNumberFormat="1" applyFont="1" applyFill="1"/>
    <xf numFmtId="168" fontId="3" fillId="2" borderId="0" xfId="1" applyNumberFormat="1" applyFont="1" applyFill="1"/>
    <xf numFmtId="175" fontId="3" fillId="2" borderId="0" xfId="2" applyNumberFormat="1" applyFont="1" applyFill="1"/>
    <xf numFmtId="170" fontId="8" fillId="2" borderId="0" xfId="2" applyNumberFormat="1" applyFont="1" applyFill="1"/>
    <xf numFmtId="174" fontId="8" fillId="2" borderId="0" xfId="2" applyNumberFormat="1" applyFont="1" applyFill="1"/>
    <xf numFmtId="174" fontId="8" fillId="2" borderId="0" xfId="0" applyNumberFormat="1" applyFont="1" applyFill="1"/>
    <xf numFmtId="0" fontId="8" fillId="2" borderId="0" xfId="0" applyFont="1" applyFill="1"/>
    <xf numFmtId="177" fontId="3" fillId="2" borderId="9" xfId="1" applyNumberFormat="1" applyFont="1" applyFill="1" applyBorder="1"/>
    <xf numFmtId="177" fontId="3" fillId="2" borderId="6" xfId="0" applyNumberFormat="1" applyFont="1" applyFill="1" applyBorder="1" applyAlignment="1">
      <alignment horizontal="center"/>
    </xf>
    <xf numFmtId="177" fontId="3" fillId="2" borderId="9" xfId="0" applyNumberFormat="1" applyFont="1" applyFill="1" applyBorder="1"/>
    <xf numFmtId="203" fontId="3" fillId="5" borderId="6" xfId="1" applyNumberFormat="1" applyFont="1" applyFill="1" applyBorder="1"/>
    <xf numFmtId="208" fontId="3" fillId="5" borderId="9" xfId="1" applyNumberFormat="1" applyFont="1" applyFill="1" applyBorder="1"/>
    <xf numFmtId="209" fontId="3" fillId="5" borderId="6" xfId="1" applyNumberFormat="1" applyFont="1" applyFill="1" applyBorder="1"/>
    <xf numFmtId="210" fontId="3" fillId="5" borderId="6" xfId="1" applyNumberFormat="1" applyFont="1" applyFill="1" applyBorder="1"/>
    <xf numFmtId="211" fontId="3" fillId="5" borderId="6" xfId="1" applyNumberFormat="1" applyFont="1" applyFill="1" applyBorder="1"/>
    <xf numFmtId="212" fontId="3" fillId="5" borderId="6" xfId="1" applyNumberFormat="1" applyFont="1" applyFill="1" applyBorder="1"/>
    <xf numFmtId="168" fontId="8" fillId="2" borderId="7" xfId="1" applyNumberFormat="1" applyFont="1" applyFill="1" applyBorder="1" applyAlignment="1">
      <alignment horizontal="center"/>
    </xf>
    <xf numFmtId="209" fontId="3" fillId="2" borderId="6" xfId="1" applyNumberFormat="1" applyFont="1" applyFill="1" applyBorder="1"/>
    <xf numFmtId="197" fontId="3" fillId="2" borderId="6" xfId="1" applyNumberFormat="1" applyFont="1" applyFill="1" applyBorder="1"/>
    <xf numFmtId="210" fontId="3" fillId="2" borderId="6" xfId="1" applyNumberFormat="1" applyFont="1" applyFill="1" applyBorder="1"/>
    <xf numFmtId="189" fontId="3" fillId="2" borderId="6" xfId="1" applyNumberFormat="1" applyFont="1" applyFill="1" applyBorder="1"/>
    <xf numFmtId="211" fontId="3" fillId="2" borderId="6" xfId="1" applyNumberFormat="1" applyFont="1" applyFill="1" applyBorder="1"/>
    <xf numFmtId="212" fontId="3" fillId="2" borderId="6" xfId="1" applyNumberFormat="1" applyFont="1" applyFill="1" applyBorder="1"/>
    <xf numFmtId="208" fontId="3" fillId="2" borderId="9" xfId="1" applyNumberFormat="1" applyFont="1" applyFill="1" applyBorder="1"/>
    <xf numFmtId="196" fontId="3" fillId="2" borderId="6" xfId="1" applyNumberFormat="1" applyFont="1" applyFill="1" applyBorder="1"/>
    <xf numFmtId="198" fontId="3" fillId="2" borderId="6" xfId="1" applyNumberFormat="1" applyFont="1" applyFill="1" applyBorder="1"/>
    <xf numFmtId="199" fontId="3" fillId="2" borderId="6" xfId="1" applyNumberFormat="1" applyFont="1" applyFill="1" applyBorder="1"/>
    <xf numFmtId="183" fontId="3" fillId="2" borderId="6" xfId="1" applyNumberFormat="1" applyFont="1" applyFill="1" applyBorder="1"/>
    <xf numFmtId="204" fontId="3" fillId="2" borderId="6" xfId="1" applyNumberFormat="1" applyFont="1" applyFill="1" applyBorder="1"/>
    <xf numFmtId="184" fontId="3" fillId="2" borderId="6" xfId="1" applyNumberFormat="1" applyFont="1" applyFill="1" applyBorder="1"/>
    <xf numFmtId="207" fontId="3" fillId="2" borderId="9" xfId="1" applyNumberFormat="1" applyFont="1" applyFill="1" applyBorder="1"/>
    <xf numFmtId="176" fontId="3" fillId="5" borderId="6" xfId="1" applyNumberFormat="1" applyFont="1" applyFill="1" applyBorder="1"/>
    <xf numFmtId="213" fontId="3" fillId="5" borderId="6" xfId="1" applyNumberFormat="1" applyFont="1" applyFill="1" applyBorder="1"/>
    <xf numFmtId="214" fontId="3" fillId="5" borderId="6" xfId="1" applyNumberFormat="1" applyFont="1" applyFill="1" applyBorder="1"/>
    <xf numFmtId="191" fontId="3" fillId="5" borderId="6" xfId="1" applyNumberFormat="1" applyFont="1" applyFill="1" applyBorder="1"/>
    <xf numFmtId="170" fontId="3" fillId="5" borderId="9" xfId="1" applyNumberFormat="1" applyFont="1" applyFill="1" applyBorder="1"/>
    <xf numFmtId="215" fontId="3" fillId="5" borderId="6" xfId="1" applyNumberFormat="1" applyFont="1" applyFill="1" applyBorder="1"/>
    <xf numFmtId="176" fontId="3" fillId="2" borderId="6" xfId="1" applyNumberFormat="1" applyFont="1" applyFill="1" applyBorder="1"/>
    <xf numFmtId="213" fontId="3" fillId="2" borderId="6" xfId="1" applyNumberFormat="1" applyFont="1" applyFill="1" applyBorder="1"/>
    <xf numFmtId="214" fontId="3" fillId="2" borderId="6" xfId="1" applyNumberFormat="1" applyFont="1" applyFill="1" applyBorder="1"/>
    <xf numFmtId="191" fontId="3" fillId="2" borderId="6" xfId="1" applyNumberFormat="1" applyFont="1" applyFill="1" applyBorder="1"/>
    <xf numFmtId="215" fontId="3" fillId="2" borderId="6" xfId="1" applyNumberFormat="1" applyFont="1" applyFill="1" applyBorder="1"/>
    <xf numFmtId="170" fontId="3" fillId="2" borderId="6" xfId="1" applyNumberFormat="1" applyFont="1" applyFill="1" applyBorder="1"/>
    <xf numFmtId="170" fontId="3" fillId="2" borderId="9" xfId="1" applyNumberFormat="1" applyFont="1" applyFill="1" applyBorder="1"/>
    <xf numFmtId="216" fontId="3" fillId="5" borderId="9" xfId="1" applyNumberFormat="1" applyFont="1" applyFill="1" applyBorder="1"/>
    <xf numFmtId="168" fontId="3" fillId="2" borderId="0" xfId="1" applyNumberFormat="1" applyFont="1" applyFill="1" applyAlignment="1">
      <alignment horizontal="center"/>
    </xf>
    <xf numFmtId="196" fontId="3" fillId="2" borderId="6" xfId="1" applyNumberFormat="1" applyFont="1" applyFill="1" applyBorder="1" applyAlignment="1">
      <alignment horizontal="center"/>
    </xf>
    <xf numFmtId="166" fontId="3" fillId="2" borderId="6" xfId="1" applyNumberFormat="1" applyFont="1" applyFill="1" applyBorder="1"/>
    <xf numFmtId="170" fontId="8" fillId="5" borderId="8" xfId="0" applyNumberFormat="1" applyFont="1" applyFill="1" applyBorder="1"/>
    <xf numFmtId="218" fontId="3" fillId="5" borderId="6" xfId="1" applyNumberFormat="1" applyFont="1" applyFill="1" applyBorder="1"/>
    <xf numFmtId="166" fontId="3" fillId="0" borderId="0" xfId="1" applyFont="1" applyAlignment="1">
      <alignment horizontal="center"/>
    </xf>
    <xf numFmtId="173" fontId="3" fillId="0" borderId="12" xfId="1" applyNumberFormat="1" applyFont="1" applyBorder="1" applyAlignment="1">
      <alignment horizontal="center"/>
    </xf>
    <xf numFmtId="173" fontId="3" fillId="0" borderId="13" xfId="1" applyNumberFormat="1" applyFont="1" applyBorder="1"/>
    <xf numFmtId="0" fontId="3" fillId="2" borderId="6" xfId="0" applyFont="1" applyFill="1" applyBorder="1" applyAlignment="1">
      <alignment horizontal="left"/>
    </xf>
    <xf numFmtId="0" fontId="3" fillId="2" borderId="9" xfId="0" applyFont="1" applyFill="1" applyBorder="1"/>
    <xf numFmtId="0" fontId="19" fillId="0" borderId="25" xfId="0" applyFont="1" applyBorder="1"/>
    <xf numFmtId="170" fontId="19" fillId="3" borderId="28" xfId="0" applyNumberFormat="1" applyFont="1" applyFill="1" applyBorder="1"/>
    <xf numFmtId="217" fontId="3" fillId="2" borderId="6" xfId="1" applyNumberFormat="1" applyFont="1" applyFill="1" applyBorder="1"/>
    <xf numFmtId="218" fontId="3" fillId="2" borderId="6" xfId="1" applyNumberFormat="1" applyFont="1" applyFill="1" applyBorder="1"/>
    <xf numFmtId="220" fontId="3" fillId="2" borderId="6" xfId="1" applyNumberFormat="1" applyFont="1" applyFill="1" applyBorder="1"/>
    <xf numFmtId="221" fontId="3" fillId="2" borderId="6" xfId="1" applyNumberFormat="1" applyFont="1" applyFill="1" applyBorder="1"/>
    <xf numFmtId="176" fontId="3" fillId="2" borderId="9" xfId="1" applyNumberFormat="1" applyFont="1" applyFill="1" applyBorder="1"/>
    <xf numFmtId="209" fontId="8" fillId="2" borderId="6" xfId="1" applyNumberFormat="1" applyFont="1" applyFill="1" applyBorder="1"/>
    <xf numFmtId="176" fontId="8" fillId="2" borderId="6" xfId="1" applyNumberFormat="1" applyFont="1" applyFill="1" applyBorder="1"/>
    <xf numFmtId="197" fontId="8" fillId="2" borderId="6" xfId="1" applyNumberFormat="1" applyFont="1" applyFill="1" applyBorder="1"/>
    <xf numFmtId="196" fontId="8" fillId="2" borderId="6" xfId="1" applyNumberFormat="1" applyFont="1" applyFill="1" applyBorder="1"/>
    <xf numFmtId="218" fontId="8" fillId="2" borderId="6" xfId="1" applyNumberFormat="1" applyFont="1" applyFill="1" applyBorder="1"/>
    <xf numFmtId="170" fontId="8" fillId="2" borderId="9" xfId="1" applyNumberFormat="1" applyFont="1" applyFill="1" applyBorder="1"/>
    <xf numFmtId="213" fontId="8" fillId="2" borderId="6" xfId="1" applyNumberFormat="1" applyFont="1" applyFill="1" applyBorder="1"/>
    <xf numFmtId="211" fontId="8" fillId="2" borderId="6" xfId="1" applyNumberFormat="1" applyFont="1" applyFill="1" applyBorder="1"/>
    <xf numFmtId="214" fontId="8" fillId="2" borderId="6" xfId="1" applyNumberFormat="1" applyFont="1" applyFill="1" applyBorder="1"/>
    <xf numFmtId="166" fontId="3" fillId="0" borderId="0" xfId="0" applyNumberFormat="1" applyFont="1" applyAlignment="1">
      <alignment horizontal="center"/>
    </xf>
    <xf numFmtId="170" fontId="3" fillId="5" borderId="0" xfId="0" applyNumberFormat="1" applyFont="1" applyFill="1"/>
    <xf numFmtId="209" fontId="15" fillId="5" borderId="6" xfId="1" applyNumberFormat="1" applyFont="1" applyFill="1" applyBorder="1"/>
    <xf numFmtId="220" fontId="3" fillId="5" borderId="6" xfId="1" applyNumberFormat="1" applyFont="1" applyFill="1" applyBorder="1"/>
    <xf numFmtId="221" fontId="3" fillId="5" borderId="6" xfId="1" applyNumberFormat="1" applyFont="1" applyFill="1" applyBorder="1"/>
    <xf numFmtId="166" fontId="3" fillId="0" borderId="0" xfId="1" quotePrefix="1" applyFont="1" applyAlignment="1">
      <alignment horizontal="center"/>
    </xf>
    <xf numFmtId="166" fontId="8" fillId="5" borderId="7" xfId="1" applyFont="1" applyFill="1" applyBorder="1"/>
    <xf numFmtId="166" fontId="8" fillId="5" borderId="7" xfId="1" applyFont="1" applyFill="1" applyBorder="1" applyAlignment="1">
      <alignment horizontal="center"/>
    </xf>
    <xf numFmtId="166" fontId="8" fillId="5" borderId="10" xfId="1" applyFont="1" applyFill="1" applyBorder="1"/>
    <xf numFmtId="166" fontId="8" fillId="5" borderId="16" xfId="1" applyFont="1" applyFill="1" applyBorder="1"/>
    <xf numFmtId="170" fontId="3" fillId="0" borderId="0" xfId="0" applyNumberFormat="1" applyFont="1" applyAlignment="1">
      <alignment horizontal="right"/>
    </xf>
    <xf numFmtId="178" fontId="8" fillId="0" borderId="0" xfId="1" applyNumberFormat="1" applyFont="1" applyAlignment="1">
      <alignment horizontal="center"/>
    </xf>
    <xf numFmtId="178" fontId="8" fillId="0" borderId="12" xfId="1" applyNumberFormat="1" applyFont="1" applyBorder="1" applyAlignment="1">
      <alignment horizontal="center"/>
    </xf>
    <xf numFmtId="178" fontId="8" fillId="0" borderId="12" xfId="1" applyNumberFormat="1" applyFont="1" applyBorder="1"/>
    <xf numFmtId="178" fontId="8" fillId="0" borderId="13" xfId="1" applyNumberFormat="1" applyFont="1" applyBorder="1"/>
    <xf numFmtId="1" fontId="8" fillId="0" borderId="0" xfId="1" applyNumberFormat="1" applyFont="1" applyAlignment="1">
      <alignment horizontal="center"/>
    </xf>
    <xf numFmtId="170" fontId="3" fillId="0" borderId="0" xfId="2" applyNumberFormat="1" applyFont="1" applyAlignment="1">
      <alignment horizontal="center"/>
    </xf>
    <xf numFmtId="170" fontId="3" fillId="5" borderId="7" xfId="2" applyNumberFormat="1" applyFont="1" applyFill="1" applyBorder="1" applyAlignment="1">
      <alignment horizontal="center"/>
    </xf>
    <xf numFmtId="170" fontId="3" fillId="5" borderId="7" xfId="2" applyNumberFormat="1" applyFont="1" applyFill="1" applyBorder="1"/>
    <xf numFmtId="170" fontId="3" fillId="5" borderId="10" xfId="2" applyNumberFormat="1" applyFont="1" applyFill="1" applyBorder="1"/>
    <xf numFmtId="166" fontId="8" fillId="0" borderId="0" xfId="1" applyNumberFormat="1" applyFont="1" applyAlignment="1">
      <alignment horizontal="center"/>
    </xf>
    <xf numFmtId="194" fontId="3" fillId="5" borderId="8" xfId="0" applyNumberFormat="1" applyFont="1" applyFill="1" applyBorder="1"/>
    <xf numFmtId="194" fontId="3" fillId="2" borderId="14" xfId="0" applyNumberFormat="1" applyFont="1" applyFill="1" applyBorder="1"/>
    <xf numFmtId="173" fontId="8" fillId="0" borderId="6" xfId="1" applyNumberFormat="1" applyFont="1" applyBorder="1"/>
    <xf numFmtId="177" fontId="3" fillId="2" borderId="10" xfId="0" applyNumberFormat="1" applyFont="1" applyFill="1" applyBorder="1"/>
    <xf numFmtId="170" fontId="8" fillId="0" borderId="0" xfId="0" applyNumberFormat="1" applyFont="1"/>
    <xf numFmtId="170" fontId="8" fillId="2" borderId="0" xfId="0" applyNumberFormat="1" applyFont="1" applyFill="1" applyAlignment="1">
      <alignment horizontal="center"/>
    </xf>
    <xf numFmtId="170" fontId="8" fillId="0" borderId="0" xfId="0" applyNumberFormat="1" applyFont="1" applyAlignment="1">
      <alignment horizontal="center"/>
    </xf>
    <xf numFmtId="170" fontId="8" fillId="2" borderId="6" xfId="1" applyNumberFormat="1" applyFont="1" applyFill="1" applyBorder="1"/>
    <xf numFmtId="196" fontId="8" fillId="2" borderId="6" xfId="1" applyNumberFormat="1" applyFont="1" applyFill="1" applyBorder="1" applyAlignment="1">
      <alignment horizontal="center"/>
    </xf>
    <xf numFmtId="170" fontId="8" fillId="0" borderId="8" xfId="0" applyNumberFormat="1" applyFont="1" applyBorder="1" applyAlignment="1">
      <alignment horizontal="center"/>
    </xf>
    <xf numFmtId="200" fontId="8" fillId="2" borderId="6" xfId="1" applyNumberFormat="1" applyFont="1" applyFill="1" applyBorder="1"/>
    <xf numFmtId="198" fontId="8" fillId="2" borderId="6" xfId="1" applyNumberFormat="1" applyFont="1" applyFill="1" applyBorder="1"/>
    <xf numFmtId="223" fontId="8" fillId="2" borderId="6" xfId="1" applyNumberFormat="1" applyFont="1" applyFill="1" applyBorder="1"/>
    <xf numFmtId="189" fontId="8" fillId="2" borderId="6" xfId="1" applyNumberFormat="1" applyFont="1" applyFill="1" applyBorder="1"/>
    <xf numFmtId="201" fontId="8" fillId="2" borderId="6" xfId="1" applyNumberFormat="1" applyFont="1" applyFill="1" applyBorder="1"/>
    <xf numFmtId="205" fontId="8" fillId="2" borderId="6" xfId="1" applyNumberFormat="1" applyFont="1" applyFill="1" applyBorder="1"/>
    <xf numFmtId="208" fontId="8" fillId="2" borderId="9" xfId="1" applyNumberFormat="1" applyFont="1" applyFill="1" applyBorder="1"/>
    <xf numFmtId="166" fontId="8" fillId="2" borderId="6" xfId="1" applyNumberFormat="1" applyFont="1" applyFill="1" applyBorder="1"/>
    <xf numFmtId="225" fontId="8" fillId="2" borderId="6" xfId="1" applyNumberFormat="1" applyFont="1" applyFill="1" applyBorder="1"/>
    <xf numFmtId="191" fontId="8" fillId="2" borderId="6" xfId="1" applyNumberFormat="1" applyFont="1" applyFill="1" applyBorder="1"/>
    <xf numFmtId="215" fontId="8" fillId="2" borderId="6" xfId="1" applyNumberFormat="1" applyFont="1" applyFill="1" applyBorder="1"/>
    <xf numFmtId="0" fontId="8" fillId="2" borderId="6" xfId="0" applyFont="1" applyFill="1" applyBorder="1" applyAlignment="1">
      <alignment horizontal="left"/>
    </xf>
    <xf numFmtId="0" fontId="8" fillId="2" borderId="6" xfId="0" applyFont="1" applyFill="1" applyBorder="1"/>
    <xf numFmtId="0" fontId="8" fillId="2" borderId="9" xfId="0" applyFont="1" applyFill="1" applyBorder="1"/>
    <xf numFmtId="170" fontId="8" fillId="2" borderId="0" xfId="0" applyNumberFormat="1" applyFont="1" applyFill="1"/>
    <xf numFmtId="174" fontId="9" fillId="2" borderId="0" xfId="0" applyNumberFormat="1" applyFont="1" applyFill="1"/>
    <xf numFmtId="174" fontId="8" fillId="2" borderId="0" xfId="0" applyNumberFormat="1" applyFont="1" applyFill="1" applyAlignment="1">
      <alignment horizontal="center"/>
    </xf>
    <xf numFmtId="174" fontId="3" fillId="2" borderId="8" xfId="0" applyNumberFormat="1" applyFont="1" applyFill="1" applyBorder="1"/>
    <xf numFmtId="174" fontId="3" fillId="2" borderId="8" xfId="0" applyNumberFormat="1" applyFont="1" applyFill="1" applyBorder="1" applyAlignment="1">
      <alignment horizontal="center"/>
    </xf>
    <xf numFmtId="174" fontId="3" fillId="2" borderId="11" xfId="0" applyNumberFormat="1" applyFont="1" applyFill="1" applyBorder="1"/>
    <xf numFmtId="201" fontId="8" fillId="5" borderId="6" xfId="1" applyNumberFormat="1" applyFont="1" applyFill="1" applyBorder="1"/>
    <xf numFmtId="10" fontId="8" fillId="0" borderId="0" xfId="2" applyNumberFormat="1" applyFont="1" applyAlignment="1">
      <alignment horizontal="center"/>
    </xf>
    <xf numFmtId="175" fontId="17" fillId="0" borderId="0" xfId="0" applyNumberFormat="1" applyFont="1"/>
    <xf numFmtId="170" fontId="3" fillId="0" borderId="0" xfId="0" applyNumberFormat="1" applyFont="1" applyBorder="1"/>
    <xf numFmtId="194" fontId="8" fillId="5" borderId="6" xfId="0" applyNumberFormat="1" applyFont="1" applyFill="1" applyBorder="1"/>
    <xf numFmtId="194" fontId="8" fillId="5" borderId="7" xfId="0" applyNumberFormat="1" applyFont="1" applyFill="1" applyBorder="1"/>
    <xf numFmtId="170" fontId="20" fillId="5" borderId="8" xfId="0" applyNumberFormat="1" applyFont="1" applyFill="1" applyBorder="1" applyAlignment="1">
      <alignment horizontal="right"/>
    </xf>
    <xf numFmtId="194" fontId="3" fillId="2" borderId="7" xfId="0" applyNumberFormat="1" applyFont="1" applyFill="1" applyBorder="1"/>
    <xf numFmtId="227" fontId="3" fillId="5" borderId="6" xfId="0" applyNumberFormat="1" applyFont="1" applyFill="1" applyBorder="1"/>
    <xf numFmtId="227" fontId="3" fillId="5" borderId="15" xfId="0" applyNumberFormat="1" applyFont="1" applyFill="1" applyBorder="1"/>
    <xf numFmtId="178" fontId="3" fillId="5" borderId="37" xfId="1" applyNumberFormat="1" applyFont="1" applyFill="1" applyBorder="1"/>
    <xf numFmtId="177" fontId="3" fillId="5" borderId="38" xfId="0" applyNumberFormat="1" applyFont="1" applyFill="1" applyBorder="1"/>
    <xf numFmtId="0" fontId="3" fillId="5" borderId="8" xfId="0" applyFont="1" applyFill="1" applyBorder="1"/>
    <xf numFmtId="178" fontId="3" fillId="5" borderId="39" xfId="1" applyNumberFormat="1" applyFont="1" applyFill="1" applyBorder="1"/>
    <xf numFmtId="0" fontId="3" fillId="5" borderId="17" xfId="0" applyFont="1" applyFill="1" applyBorder="1"/>
    <xf numFmtId="170" fontId="3" fillId="5" borderId="40" xfId="0" applyNumberFormat="1" applyFont="1" applyFill="1" applyBorder="1"/>
    <xf numFmtId="174" fontId="3" fillId="5" borderId="38" xfId="0" applyNumberFormat="1" applyFont="1" applyFill="1" applyBorder="1"/>
    <xf numFmtId="170" fontId="8" fillId="5" borderId="41" xfId="0" applyNumberFormat="1" applyFont="1" applyFill="1" applyBorder="1"/>
    <xf numFmtId="170" fontId="8" fillId="5" borderId="42" xfId="0" applyNumberFormat="1" applyFont="1" applyFill="1" applyBorder="1"/>
    <xf numFmtId="174" fontId="3" fillId="5" borderId="17" xfId="0" applyNumberFormat="1" applyFont="1" applyFill="1" applyBorder="1"/>
    <xf numFmtId="194" fontId="8" fillId="6" borderId="7" xfId="1" applyNumberFormat="1" applyFont="1" applyFill="1" applyBorder="1" applyAlignment="1">
      <alignment horizontal="right"/>
    </xf>
    <xf numFmtId="194" fontId="3" fillId="6" borderId="7" xfId="0" applyNumberFormat="1" applyFont="1" applyFill="1" applyBorder="1"/>
    <xf numFmtId="170" fontId="19" fillId="6" borderId="34" xfId="0" applyNumberFormat="1" applyFont="1" applyFill="1" applyBorder="1"/>
    <xf numFmtId="170" fontId="3" fillId="6" borderId="7" xfId="0" applyNumberFormat="1" applyFont="1" applyFill="1" applyBorder="1"/>
    <xf numFmtId="194" fontId="3" fillId="6" borderId="15" xfId="0" applyNumberFormat="1" applyFont="1" applyFill="1" applyBorder="1"/>
    <xf numFmtId="194" fontId="8" fillId="6" borderId="8" xfId="1" applyNumberFormat="1" applyFont="1" applyFill="1" applyBorder="1" applyAlignment="1">
      <alignment horizontal="right"/>
    </xf>
    <xf numFmtId="194" fontId="3" fillId="6" borderId="8" xfId="0" applyNumberFormat="1" applyFont="1" applyFill="1" applyBorder="1"/>
    <xf numFmtId="170" fontId="19" fillId="6" borderId="36" xfId="0" applyNumberFormat="1" applyFont="1" applyFill="1" applyBorder="1"/>
    <xf numFmtId="170" fontId="3" fillId="6" borderId="8" xfId="0" applyNumberFormat="1" applyFont="1" applyFill="1" applyBorder="1"/>
    <xf numFmtId="194" fontId="3" fillId="6" borderId="14" xfId="0" applyNumberFormat="1" applyFont="1" applyFill="1" applyBorder="1"/>
    <xf numFmtId="194" fontId="8" fillId="6" borderId="6" xfId="1" applyNumberFormat="1" applyFont="1" applyFill="1" applyBorder="1" applyAlignment="1">
      <alignment horizontal="right"/>
    </xf>
    <xf numFmtId="194" fontId="3" fillId="6" borderId="6" xfId="0" applyNumberFormat="1" applyFont="1" applyFill="1" applyBorder="1"/>
    <xf numFmtId="170" fontId="19" fillId="6" borderId="35" xfId="0" applyNumberFormat="1" applyFont="1" applyFill="1" applyBorder="1"/>
    <xf numFmtId="170" fontId="3" fillId="6" borderId="6" xfId="0" applyNumberFormat="1" applyFont="1" applyFill="1" applyBorder="1"/>
    <xf numFmtId="194" fontId="8" fillId="5" borderId="8" xfId="1" applyNumberFormat="1" applyFont="1" applyFill="1" applyBorder="1" applyAlignment="1">
      <alignment horizontal="right"/>
    </xf>
    <xf numFmtId="194" fontId="3" fillId="5" borderId="14" xfId="0" applyNumberFormat="1" applyFont="1" applyFill="1" applyBorder="1"/>
    <xf numFmtId="170" fontId="19" fillId="5" borderId="36" xfId="0" applyNumberFormat="1" applyFont="1" applyFill="1" applyBorder="1"/>
    <xf numFmtId="194" fontId="3" fillId="2" borderId="8" xfId="0" applyNumberFormat="1" applyFont="1" applyFill="1" applyBorder="1"/>
    <xf numFmtId="194" fontId="8" fillId="6" borderId="44" xfId="1" applyNumberFormat="1" applyFont="1" applyFill="1" applyBorder="1" applyAlignment="1">
      <alignment horizontal="right"/>
    </xf>
    <xf numFmtId="170" fontId="3" fillId="5" borderId="45" xfId="0" applyNumberFormat="1" applyFont="1" applyFill="1" applyBorder="1"/>
    <xf numFmtId="170" fontId="8" fillId="5" borderId="15" xfId="0" applyNumberFormat="1" applyFont="1" applyFill="1" applyBorder="1"/>
    <xf numFmtId="177" fontId="3" fillId="0" borderId="46" xfId="0" applyNumberFormat="1" applyFont="1" applyBorder="1"/>
    <xf numFmtId="174" fontId="3" fillId="0" borderId="5" xfId="0" applyNumberFormat="1" applyFont="1" applyBorder="1"/>
    <xf numFmtId="0" fontId="3" fillId="0" borderId="5" xfId="0" applyFont="1" applyBorder="1"/>
    <xf numFmtId="0" fontId="3" fillId="0" borderId="33" xfId="0" applyFont="1" applyBorder="1"/>
    <xf numFmtId="228" fontId="3" fillId="5" borderId="9" xfId="0" applyNumberFormat="1" applyFont="1" applyFill="1" applyBorder="1"/>
    <xf numFmtId="180" fontId="3" fillId="2" borderId="0" xfId="0" applyNumberFormat="1" applyFont="1" applyFill="1"/>
    <xf numFmtId="180" fontId="3" fillId="2" borderId="6" xfId="0" applyNumberFormat="1" applyFont="1" applyFill="1" applyBorder="1"/>
    <xf numFmtId="170" fontId="8" fillId="5" borderId="39" xfId="0" applyNumberFormat="1" applyFont="1" applyFill="1" applyBorder="1"/>
    <xf numFmtId="174" fontId="3" fillId="2" borderId="0" xfId="0" applyNumberFormat="1" applyFont="1" applyFill="1" applyAlignment="1">
      <alignment horizontal="center"/>
    </xf>
    <xf numFmtId="177" fontId="3" fillId="2" borderId="46" xfId="0" applyNumberFormat="1" applyFont="1" applyFill="1" applyBorder="1"/>
    <xf numFmtId="174" fontId="3" fillId="2" borderId="5" xfId="0" applyNumberFormat="1" applyFont="1" applyFill="1" applyBorder="1"/>
    <xf numFmtId="174" fontId="3" fillId="2" borderId="33" xfId="0" applyNumberFormat="1" applyFont="1" applyFill="1" applyBorder="1"/>
    <xf numFmtId="0" fontId="3" fillId="2" borderId="18" xfId="0" applyFont="1" applyFill="1" applyBorder="1"/>
    <xf numFmtId="174" fontId="3" fillId="2" borderId="0" xfId="0" applyNumberFormat="1" applyFont="1" applyFill="1" applyBorder="1"/>
    <xf numFmtId="173" fontId="3" fillId="0" borderId="37" xfId="1" applyNumberFormat="1" applyFont="1" applyBorder="1"/>
    <xf numFmtId="173" fontId="3" fillId="0" borderId="47" xfId="1" applyNumberFormat="1" applyFont="1" applyBorder="1"/>
    <xf numFmtId="174" fontId="3" fillId="0" borderId="38" xfId="0" applyNumberFormat="1" applyFont="1" applyBorder="1"/>
    <xf numFmtId="173" fontId="3" fillId="0" borderId="39" xfId="1" applyNumberFormat="1" applyFont="1" applyBorder="1"/>
    <xf numFmtId="173" fontId="3" fillId="0" borderId="16" xfId="1" applyNumberFormat="1" applyFont="1" applyBorder="1"/>
    <xf numFmtId="174" fontId="3" fillId="0" borderId="17" xfId="0" applyNumberFormat="1" applyFont="1" applyBorder="1"/>
    <xf numFmtId="174" fontId="8" fillId="0" borderId="0" xfId="0" applyNumberFormat="1" applyFont="1" applyBorder="1"/>
    <xf numFmtId="174" fontId="8" fillId="0" borderId="1" xfId="0" applyNumberFormat="1" applyFont="1" applyBorder="1" applyAlignment="1">
      <alignment horizontal="center"/>
    </xf>
    <xf numFmtId="181" fontId="12" fillId="0" borderId="0" xfId="0" applyNumberFormat="1" applyFont="1" applyBorder="1"/>
    <xf numFmtId="181" fontId="3" fillId="0" borderId="0" xfId="0" applyNumberFormat="1" applyFont="1"/>
    <xf numFmtId="181" fontId="3" fillId="0" borderId="1" xfId="0" applyNumberFormat="1" applyFont="1" applyBorder="1"/>
    <xf numFmtId="181" fontId="8" fillId="0" borderId="1" xfId="0" applyNumberFormat="1" applyFont="1" applyBorder="1" applyAlignment="1">
      <alignment horizontal="center"/>
    </xf>
    <xf numFmtId="181" fontId="8" fillId="0" borderId="0" xfId="0" applyNumberFormat="1" applyFont="1" applyBorder="1"/>
    <xf numFmtId="186" fontId="8" fillId="0" borderId="0" xfId="0" applyNumberFormat="1" applyFont="1" applyBorder="1"/>
    <xf numFmtId="229" fontId="8" fillId="0" borderId="0" xfId="0" applyNumberFormat="1" applyFont="1" applyBorder="1"/>
    <xf numFmtId="229" fontId="8" fillId="0" borderId="3" xfId="0" applyNumberFormat="1" applyFont="1" applyBorder="1"/>
    <xf numFmtId="229" fontId="8" fillId="0" borderId="1" xfId="0" applyNumberFormat="1" applyFont="1" applyBorder="1"/>
    <xf numFmtId="229" fontId="8" fillId="0" borderId="2" xfId="0" applyNumberFormat="1" applyFont="1" applyBorder="1"/>
    <xf numFmtId="215" fontId="8" fillId="0" borderId="0" xfId="0" applyNumberFormat="1" applyFont="1" applyBorder="1"/>
    <xf numFmtId="215" fontId="8" fillId="0" borderId="3" xfId="0" applyNumberFormat="1" applyFont="1" applyBorder="1"/>
    <xf numFmtId="174" fontId="8" fillId="0" borderId="3" xfId="0" applyNumberFormat="1" applyFont="1" applyBorder="1"/>
    <xf numFmtId="192" fontId="8" fillId="0" borderId="0" xfId="0" applyNumberFormat="1" applyFont="1" applyBorder="1"/>
    <xf numFmtId="192" fontId="8" fillId="0" borderId="3" xfId="0" applyNumberFormat="1" applyFont="1" applyBorder="1"/>
    <xf numFmtId="192" fontId="8" fillId="0" borderId="2" xfId="0" applyNumberFormat="1" applyFont="1" applyBorder="1"/>
    <xf numFmtId="230" fontId="8" fillId="0" borderId="0" xfId="0" applyNumberFormat="1" applyFont="1" applyBorder="1"/>
    <xf numFmtId="230" fontId="8" fillId="0" borderId="3" xfId="0" applyNumberFormat="1" applyFont="1" applyBorder="1"/>
    <xf numFmtId="230" fontId="8" fillId="0" borderId="2" xfId="0" applyNumberFormat="1" applyFont="1" applyBorder="1"/>
    <xf numFmtId="230" fontId="8" fillId="0" borderId="0" xfId="0" applyNumberFormat="1" applyFont="1" applyBorder="1" applyAlignment="1">
      <alignment horizontal="center"/>
    </xf>
    <xf numFmtId="188" fontId="8" fillId="0" borderId="0" xfId="0" applyNumberFormat="1" applyFont="1" applyBorder="1"/>
    <xf numFmtId="0" fontId="8" fillId="0" borderId="3" xfId="0" applyFont="1" applyBorder="1"/>
    <xf numFmtId="170" fontId="8" fillId="0" borderId="1" xfId="0" applyNumberFormat="1" applyFont="1" applyBorder="1"/>
    <xf numFmtId="181" fontId="8" fillId="0" borderId="29" xfId="0" applyNumberFormat="1" applyFont="1" applyBorder="1"/>
    <xf numFmtId="182" fontId="8" fillId="0" borderId="29" xfId="0" applyNumberFormat="1" applyFont="1" applyBorder="1"/>
    <xf numFmtId="182" fontId="8" fillId="0" borderId="30" xfId="0" applyNumberFormat="1" applyFont="1" applyBorder="1"/>
    <xf numFmtId="184" fontId="8" fillId="0" borderId="1" xfId="0" applyNumberFormat="1" applyFont="1" applyBorder="1"/>
    <xf numFmtId="1" fontId="8" fillId="0" borderId="0" xfId="1" applyNumberFormat="1" applyFont="1"/>
    <xf numFmtId="174" fontId="8" fillId="0" borderId="1" xfId="0" applyNumberFormat="1" applyFont="1" applyBorder="1" applyAlignment="1">
      <alignment horizontal="right"/>
    </xf>
    <xf numFmtId="174" fontId="8" fillId="0" borderId="2" xfId="0" applyNumberFormat="1" applyFont="1" applyBorder="1"/>
    <xf numFmtId="215" fontId="8" fillId="0" borderId="1" xfId="0" applyNumberFormat="1" applyFont="1" applyBorder="1"/>
    <xf numFmtId="215" fontId="8" fillId="0" borderId="2" xfId="0" applyNumberFormat="1" applyFont="1" applyBorder="1"/>
    <xf numFmtId="192" fontId="8" fillId="0" borderId="1" xfId="0" applyNumberFormat="1" applyFont="1" applyBorder="1"/>
    <xf numFmtId="230" fontId="8" fillId="0" borderId="1" xfId="0" applyNumberFormat="1" applyFont="1" applyBorder="1" applyAlignment="1">
      <alignment horizontal="center"/>
    </xf>
    <xf numFmtId="230" fontId="8" fillId="0" borderId="1" xfId="0" applyNumberFormat="1" applyFont="1" applyBorder="1"/>
    <xf numFmtId="189" fontId="12" fillId="0" borderId="0" xfId="0" applyNumberFormat="1" applyFont="1"/>
    <xf numFmtId="189" fontId="3" fillId="0" borderId="0" xfId="0" applyNumberFormat="1" applyFont="1"/>
    <xf numFmtId="189" fontId="8" fillId="0" borderId="0" xfId="0" applyNumberFormat="1" applyFont="1"/>
    <xf numFmtId="189" fontId="8" fillId="0" borderId="3" xfId="0" applyNumberFormat="1" applyFont="1" applyBorder="1"/>
    <xf numFmtId="189" fontId="8" fillId="0" borderId="1" xfId="0" applyNumberFormat="1" applyFont="1" applyBorder="1"/>
    <xf numFmtId="189" fontId="8" fillId="0" borderId="2" xfId="0" applyNumberFormat="1" applyFont="1" applyBorder="1"/>
    <xf numFmtId="190" fontId="12" fillId="0" borderId="0" xfId="0" applyNumberFormat="1" applyFont="1"/>
    <xf numFmtId="190" fontId="8" fillId="0" borderId="0" xfId="0" applyNumberFormat="1" applyFont="1"/>
    <xf numFmtId="190" fontId="8" fillId="0" borderId="3" xfId="0" applyNumberFormat="1" applyFont="1" applyBorder="1"/>
    <xf numFmtId="190" fontId="8" fillId="0" borderId="1" xfId="0" applyNumberFormat="1" applyFont="1" applyBorder="1"/>
    <xf numFmtId="190" fontId="8" fillId="0" borderId="2" xfId="0" applyNumberFormat="1" applyFont="1" applyBorder="1"/>
    <xf numFmtId="215" fontId="3" fillId="0" borderId="0" xfId="0" applyNumberFormat="1" applyFont="1"/>
    <xf numFmtId="215" fontId="8" fillId="0" borderId="0" xfId="0" applyNumberFormat="1" applyFont="1"/>
    <xf numFmtId="192" fontId="8" fillId="0" borderId="0" xfId="0" applyNumberFormat="1" applyFont="1"/>
    <xf numFmtId="230" fontId="3" fillId="0" borderId="0" xfId="0" applyNumberFormat="1" applyFont="1"/>
    <xf numFmtId="230" fontId="8" fillId="0" borderId="0" xfId="0" applyNumberFormat="1" applyFont="1"/>
    <xf numFmtId="231" fontId="12" fillId="0" borderId="0" xfId="0" applyNumberFormat="1" applyFont="1"/>
    <xf numFmtId="231" fontId="8" fillId="0" borderId="0" xfId="0" applyNumberFormat="1" applyFont="1"/>
    <xf numFmtId="231" fontId="8" fillId="0" borderId="3" xfId="0" applyNumberFormat="1" applyFont="1" applyBorder="1"/>
    <xf numFmtId="231" fontId="8" fillId="0" borderId="1" xfId="0" applyNumberFormat="1" applyFont="1" applyBorder="1"/>
    <xf numFmtId="231" fontId="8" fillId="0" borderId="2" xfId="0" applyNumberFormat="1" applyFont="1" applyBorder="1"/>
    <xf numFmtId="174" fontId="8" fillId="0" borderId="2" xfId="0" applyNumberFormat="1" applyFont="1" applyBorder="1" applyAlignment="1">
      <alignment horizontal="center"/>
    </xf>
    <xf numFmtId="185" fontId="8" fillId="0" borderId="0" xfId="0" applyNumberFormat="1" applyFont="1" applyAlignment="1">
      <alignment horizontal="center"/>
    </xf>
    <xf numFmtId="185" fontId="8" fillId="0" borderId="1" xfId="0" applyNumberFormat="1" applyFont="1" applyBorder="1" applyAlignment="1">
      <alignment horizontal="center"/>
    </xf>
    <xf numFmtId="185" fontId="8" fillId="0" borderId="0" xfId="0" applyNumberFormat="1" applyFont="1" applyAlignment="1"/>
    <xf numFmtId="185" fontId="8" fillId="0" borderId="1" xfId="0" applyNumberFormat="1" applyFont="1" applyBorder="1" applyAlignment="1"/>
    <xf numFmtId="181" fontId="3" fillId="0" borderId="29" xfId="0" applyNumberFormat="1" applyFont="1" applyBorder="1"/>
    <xf numFmtId="181" fontId="3" fillId="0" borderId="2" xfId="0" applyNumberFormat="1" applyFont="1" applyBorder="1"/>
    <xf numFmtId="174" fontId="8" fillId="0" borderId="1" xfId="0" applyNumberFormat="1" applyFont="1" applyBorder="1" applyAlignment="1"/>
    <xf numFmtId="183" fontId="8" fillId="0" borderId="0" xfId="0" applyNumberFormat="1" applyFont="1" applyBorder="1"/>
    <xf numFmtId="181" fontId="8" fillId="0" borderId="0" xfId="0" applyNumberFormat="1" applyFont="1" applyBorder="1" applyAlignment="1">
      <alignment horizontal="right"/>
    </xf>
    <xf numFmtId="189" fontId="8" fillId="0" borderId="0" xfId="0" applyNumberFormat="1" applyFont="1" applyBorder="1"/>
    <xf numFmtId="185" fontId="8" fillId="0" borderId="0" xfId="0" applyNumberFormat="1" applyFont="1" applyBorder="1"/>
    <xf numFmtId="177" fontId="3" fillId="0" borderId="27" xfId="0" applyNumberFormat="1" applyFont="1" applyBorder="1"/>
    <xf numFmtId="168" fontId="8" fillId="2" borderId="6" xfId="1" applyNumberFormat="1" applyFont="1" applyFill="1" applyBorder="1"/>
    <xf numFmtId="168" fontId="3" fillId="2" borderId="6" xfId="1" applyNumberFormat="1" applyFont="1" applyFill="1" applyBorder="1"/>
    <xf numFmtId="170" fontId="8" fillId="5" borderId="8" xfId="0" applyNumberFormat="1" applyFont="1" applyFill="1" applyBorder="1" applyAlignment="1">
      <alignment horizontal="right"/>
    </xf>
    <xf numFmtId="168" fontId="3" fillId="0" borderId="6" xfId="1" applyNumberFormat="1" applyFont="1" applyBorder="1"/>
    <xf numFmtId="168" fontId="3" fillId="0" borderId="6" xfId="1" applyNumberFormat="1" applyFont="1" applyBorder="1" applyAlignment="1">
      <alignment horizontal="center"/>
    </xf>
    <xf numFmtId="171" fontId="3" fillId="0" borderId="6" xfId="1" applyNumberFormat="1" applyFont="1" applyBorder="1"/>
    <xf numFmtId="171" fontId="3" fillId="0" borderId="9" xfId="1" applyNumberFormat="1" applyFont="1" applyBorder="1"/>
    <xf numFmtId="168" fontId="3" fillId="0" borderId="9" xfId="1" applyNumberFormat="1" applyFont="1" applyBorder="1"/>
    <xf numFmtId="168" fontId="3" fillId="0" borderId="15" xfId="1" applyNumberFormat="1" applyFont="1" applyBorder="1"/>
    <xf numFmtId="170" fontId="4" fillId="0" borderId="6" xfId="0" applyNumberFormat="1" applyFont="1" applyBorder="1"/>
    <xf numFmtId="0" fontId="9" fillId="5" borderId="8" xfId="0" applyFont="1" applyFill="1" applyBorder="1" applyAlignment="1">
      <alignment horizontal="left"/>
    </xf>
    <xf numFmtId="0" fontId="3" fillId="5" borderId="11" xfId="0" applyFont="1" applyFill="1" applyBorder="1"/>
    <xf numFmtId="0" fontId="3" fillId="5" borderId="8" xfId="0" applyFont="1" applyFill="1" applyBorder="1" applyAlignment="1">
      <alignment horizontal="left"/>
    </xf>
    <xf numFmtId="0" fontId="3" fillId="5" borderId="15" xfId="0" applyFont="1" applyFill="1" applyBorder="1"/>
    <xf numFmtId="175" fontId="4" fillId="5" borderId="7" xfId="2" applyNumberFormat="1" applyFont="1" applyFill="1" applyBorder="1"/>
    <xf numFmtId="175" fontId="3" fillId="5" borderId="16" xfId="2" applyNumberFormat="1" applyFont="1" applyFill="1" applyBorder="1"/>
    <xf numFmtId="178" fontId="3" fillId="5" borderId="0" xfId="1" applyNumberFormat="1" applyFont="1" applyFill="1"/>
    <xf numFmtId="174" fontId="3" fillId="5" borderId="3" xfId="0" applyNumberFormat="1" applyFont="1" applyFill="1" applyBorder="1"/>
    <xf numFmtId="0" fontId="3" fillId="5" borderId="0" xfId="0" applyFont="1" applyFill="1"/>
    <xf numFmtId="0" fontId="3" fillId="5" borderId="3" xfId="0" applyFont="1" applyFill="1" applyBorder="1"/>
    <xf numFmtId="0" fontId="3" fillId="5" borderId="18" xfId="0" applyFont="1" applyFill="1" applyBorder="1"/>
    <xf numFmtId="0" fontId="3" fillId="5" borderId="14" xfId="0" applyFont="1" applyFill="1" applyBorder="1"/>
    <xf numFmtId="181" fontId="8" fillId="0" borderId="0" xfId="0" applyNumberFormat="1" applyFont="1" applyBorder="1" applyAlignment="1">
      <alignment horizontal="center"/>
    </xf>
    <xf numFmtId="0" fontId="12" fillId="0" borderId="48" xfId="0" applyFont="1" applyBorder="1"/>
    <xf numFmtId="181" fontId="12" fillId="0" borderId="6" xfId="0" applyNumberFormat="1" applyFont="1" applyBorder="1"/>
    <xf numFmtId="181" fontId="8" fillId="0" borderId="6" xfId="0" applyNumberFormat="1" applyFont="1" applyBorder="1"/>
    <xf numFmtId="181" fontId="8" fillId="0" borderId="9" xfId="0" applyNumberFormat="1" applyFont="1" applyBorder="1"/>
    <xf numFmtId="0" fontId="12" fillId="0" borderId="6" xfId="0" applyFont="1" applyBorder="1"/>
    <xf numFmtId="0" fontId="8" fillId="0" borderId="6" xfId="0" applyFont="1" applyBorder="1" applyAlignment="1">
      <alignment horizontal="left"/>
    </xf>
    <xf numFmtId="186" fontId="8" fillId="0" borderId="9" xfId="0" applyNumberFormat="1" applyFont="1" applyBorder="1"/>
    <xf numFmtId="191" fontId="8" fillId="0" borderId="0" xfId="0" applyNumberFormat="1" applyFont="1" applyBorder="1"/>
    <xf numFmtId="191" fontId="8" fillId="0" borderId="6" xfId="0" applyNumberFormat="1" applyFont="1" applyBorder="1"/>
    <xf numFmtId="191" fontId="8" fillId="0" borderId="3" xfId="0" applyNumberFormat="1" applyFont="1" applyBorder="1"/>
    <xf numFmtId="191" fontId="8" fillId="0" borderId="0" xfId="0" applyNumberFormat="1" applyFont="1"/>
    <xf numFmtId="191" fontId="8" fillId="0" borderId="1" xfId="0" applyNumberFormat="1" applyFont="1" applyBorder="1"/>
    <xf numFmtId="191" fontId="8" fillId="0" borderId="9" xfId="0" applyNumberFormat="1" applyFont="1" applyBorder="1"/>
    <xf numFmtId="191" fontId="8" fillId="0" borderId="2" xfId="0" applyNumberFormat="1" applyFont="1" applyBorder="1"/>
    <xf numFmtId="174" fontId="8" fillId="0" borderId="0" xfId="1594" applyNumberFormat="1" applyFont="1" applyBorder="1"/>
    <xf numFmtId="174" fontId="8" fillId="0" borderId="6" xfId="1594" applyNumberFormat="1" applyFont="1" applyBorder="1"/>
    <xf numFmtId="174" fontId="8" fillId="0" borderId="3" xfId="1594" applyNumberFormat="1" applyFont="1" applyBorder="1"/>
    <xf numFmtId="174" fontId="8" fillId="0" borderId="0" xfId="1594" applyNumberFormat="1" applyFont="1"/>
    <xf numFmtId="174" fontId="8" fillId="0" borderId="1" xfId="1594" applyNumberFormat="1" applyFont="1" applyBorder="1"/>
    <xf numFmtId="174" fontId="8" fillId="0" borderId="9" xfId="1594" applyNumberFormat="1" applyFont="1" applyBorder="1"/>
    <xf numFmtId="174" fontId="8" fillId="0" borderId="2" xfId="1594" applyNumberFormat="1" applyFont="1" applyBorder="1"/>
    <xf numFmtId="174" fontId="12" fillId="0" borderId="6" xfId="0" applyNumberFormat="1" applyFont="1" applyBorder="1"/>
    <xf numFmtId="232" fontId="12" fillId="0" borderId="6" xfId="0" applyNumberFormat="1" applyFont="1" applyBorder="1"/>
    <xf numFmtId="232" fontId="8" fillId="0" borderId="0" xfId="0" applyNumberFormat="1" applyFont="1"/>
    <xf numFmtId="232" fontId="8" fillId="0" borderId="0" xfId="0" applyNumberFormat="1" applyFont="1" applyBorder="1"/>
    <xf numFmtId="232" fontId="8" fillId="0" borderId="6" xfId="0" applyNumberFormat="1" applyFont="1" applyBorder="1"/>
    <xf numFmtId="232" fontId="8" fillId="0" borderId="3" xfId="0" applyNumberFormat="1" applyFont="1" applyBorder="1"/>
    <xf numFmtId="232" fontId="3" fillId="0" borderId="0" xfId="0" applyNumberFormat="1" applyFont="1"/>
    <xf numFmtId="232" fontId="8" fillId="0" borderId="9" xfId="0" applyNumberFormat="1" applyFont="1" applyBorder="1"/>
    <xf numFmtId="232" fontId="8" fillId="0" borderId="19" xfId="0" applyNumberFormat="1" applyFont="1" applyBorder="1" applyAlignment="1">
      <alignment horizontal="center"/>
    </xf>
    <xf numFmtId="232" fontId="8" fillId="0" borderId="20" xfId="0" applyNumberFormat="1" applyFont="1" applyBorder="1"/>
    <xf numFmtId="232" fontId="8" fillId="0" borderId="2" xfId="0" applyNumberFormat="1" applyFont="1" applyBorder="1"/>
    <xf numFmtId="232" fontId="8" fillId="0" borderId="1" xfId="0" applyNumberFormat="1" applyFont="1" applyBorder="1"/>
    <xf numFmtId="173" fontId="8" fillId="0" borderId="0" xfId="1" applyNumberFormat="1" applyFont="1" applyBorder="1" applyAlignment="1">
      <alignment horizontal="center"/>
    </xf>
    <xf numFmtId="174" fontId="12" fillId="0" borderId="29" xfId="0" applyNumberFormat="1" applyFont="1" applyBorder="1" applyAlignment="1">
      <alignment horizontal="right"/>
    </xf>
    <xf numFmtId="174" fontId="12" fillId="0" borderId="30" xfId="0" applyNumberFormat="1" applyFont="1" applyBorder="1" applyAlignment="1">
      <alignment horizontal="right"/>
    </xf>
    <xf numFmtId="181" fontId="12" fillId="0" borderId="29" xfId="0" applyNumberFormat="1" applyFont="1" applyBorder="1"/>
    <xf numFmtId="181" fontId="12" fillId="0" borderId="30" xfId="0" applyNumberFormat="1" applyFont="1" applyBorder="1"/>
    <xf numFmtId="181" fontId="12" fillId="0" borderId="27" xfId="0" applyNumberFormat="1" applyFont="1" applyBorder="1"/>
    <xf numFmtId="181" fontId="12" fillId="0" borderId="3" xfId="0" applyNumberFormat="1" applyFont="1" applyBorder="1"/>
    <xf numFmtId="174" fontId="12" fillId="0" borderId="29" xfId="0" applyNumberFormat="1" applyFont="1" applyBorder="1"/>
    <xf numFmtId="174" fontId="12" fillId="0" borderId="30" xfId="0" applyNumberFormat="1" applyFont="1" applyBorder="1"/>
    <xf numFmtId="186" fontId="12" fillId="0" borderId="29" xfId="0" applyNumberFormat="1" applyFont="1" applyBorder="1"/>
    <xf numFmtId="229" fontId="12" fillId="0" borderId="29" xfId="0" applyNumberFormat="1" applyFont="1" applyBorder="1"/>
    <xf numFmtId="229" fontId="12" fillId="0" borderId="30" xfId="0" applyNumberFormat="1" applyFont="1" applyBorder="1"/>
    <xf numFmtId="215" fontId="12" fillId="0" borderId="29" xfId="0" applyNumberFormat="1" applyFont="1" applyBorder="1"/>
    <xf numFmtId="215" fontId="12" fillId="0" borderId="30" xfId="0" applyNumberFormat="1" applyFont="1" applyBorder="1"/>
    <xf numFmtId="192" fontId="12" fillId="0" borderId="29" xfId="0" applyNumberFormat="1" applyFont="1" applyBorder="1"/>
    <xf numFmtId="192" fontId="12" fillId="0" borderId="30" xfId="0" applyNumberFormat="1" applyFont="1" applyBorder="1"/>
    <xf numFmtId="230" fontId="12" fillId="0" borderId="29" xfId="0" applyNumberFormat="1" applyFont="1" applyBorder="1" applyAlignment="1">
      <alignment horizontal="center"/>
    </xf>
    <xf numFmtId="230" fontId="12" fillId="0" borderId="29" xfId="0" applyNumberFormat="1" applyFont="1" applyBorder="1"/>
    <xf numFmtId="230" fontId="12" fillId="0" borderId="30" xfId="0" applyNumberFormat="1" applyFont="1" applyBorder="1"/>
    <xf numFmtId="188" fontId="12" fillId="0" borderId="29" xfId="0" applyNumberFormat="1" applyFont="1" applyBorder="1"/>
    <xf numFmtId="188" fontId="12" fillId="0" borderId="30" xfId="0" applyNumberFormat="1" applyFont="1" applyBorder="1"/>
    <xf numFmtId="181" fontId="8" fillId="0" borderId="3" xfId="0" applyNumberFormat="1" applyFont="1" applyBorder="1" applyAlignment="1">
      <alignment horizontal="center"/>
    </xf>
    <xf numFmtId="174" fontId="12" fillId="0" borderId="18" xfId="0" applyNumberFormat="1" applyFont="1" applyBorder="1" applyAlignment="1">
      <alignment horizontal="right"/>
    </xf>
    <xf numFmtId="174" fontId="12" fillId="0" borderId="14" xfId="0" applyNumberFormat="1" applyFont="1" applyBorder="1" applyAlignment="1">
      <alignment horizontal="right"/>
    </xf>
    <xf numFmtId="182" fontId="12" fillId="0" borderId="29" xfId="0" applyNumberFormat="1" applyFont="1" applyBorder="1"/>
    <xf numFmtId="182" fontId="12" fillId="0" borderId="30" xfId="0" applyNumberFormat="1" applyFont="1" applyBorder="1"/>
    <xf numFmtId="183" fontId="12" fillId="0" borderId="29" xfId="0" applyNumberFormat="1" applyFont="1" applyBorder="1"/>
    <xf numFmtId="183" fontId="12" fillId="0" borderId="30" xfId="0" applyNumberFormat="1" applyFont="1" applyBorder="1"/>
    <xf numFmtId="181" fontId="12" fillId="0" borderId="0" xfId="0" applyNumberFormat="1" applyFont="1"/>
    <xf numFmtId="189" fontId="12" fillId="0" borderId="29" xfId="0" applyNumberFormat="1" applyFont="1" applyBorder="1"/>
    <xf numFmtId="189" fontId="12" fillId="0" borderId="30" xfId="0" applyNumberFormat="1" applyFont="1" applyBorder="1"/>
    <xf numFmtId="184" fontId="12" fillId="0" borderId="29" xfId="0" applyNumberFormat="1" applyFont="1" applyBorder="1"/>
    <xf numFmtId="184" fontId="12" fillId="0" borderId="30" xfId="0" applyNumberFormat="1" applyFont="1" applyBorder="1"/>
    <xf numFmtId="190" fontId="12" fillId="0" borderId="29" xfId="0" applyNumberFormat="1" applyFont="1" applyBorder="1"/>
    <xf numFmtId="190" fontId="12" fillId="0" borderId="30" xfId="0" applyNumberFormat="1" applyFont="1" applyBorder="1"/>
    <xf numFmtId="185" fontId="12" fillId="0" borderId="29" xfId="0" applyNumberFormat="1" applyFont="1" applyBorder="1"/>
    <xf numFmtId="185" fontId="12" fillId="0" borderId="30" xfId="0" applyNumberFormat="1" applyFont="1" applyBorder="1"/>
    <xf numFmtId="186" fontId="12" fillId="0" borderId="30" xfId="0" applyNumberFormat="1" applyFont="1" applyBorder="1"/>
    <xf numFmtId="231" fontId="12" fillId="0" borderId="29" xfId="0" applyNumberFormat="1" applyFont="1" applyBorder="1"/>
    <xf numFmtId="231" fontId="12" fillId="0" borderId="30" xfId="0" applyNumberFormat="1" applyFont="1" applyBorder="1"/>
    <xf numFmtId="230" fontId="12" fillId="0" borderId="0" xfId="0" applyNumberFormat="1" applyFont="1"/>
    <xf numFmtId="181" fontId="12" fillId="0" borderId="18" xfId="0" applyNumberFormat="1" applyFont="1" applyBorder="1" applyAlignment="1">
      <alignment horizontal="right"/>
    </xf>
    <xf numFmtId="181" fontId="12" fillId="0" borderId="14" xfId="0" applyNumberFormat="1" applyFont="1" applyBorder="1" applyAlignment="1">
      <alignment horizontal="right"/>
    </xf>
    <xf numFmtId="0" fontId="18" fillId="0" borderId="0" xfId="0" applyFont="1"/>
    <xf numFmtId="215" fontId="12" fillId="0" borderId="0" xfId="0" applyNumberFormat="1" applyFont="1"/>
    <xf numFmtId="192" fontId="12" fillId="0" borderId="0" xfId="0" applyNumberFormat="1" applyFont="1"/>
    <xf numFmtId="173" fontId="4" fillId="0" borderId="5" xfId="1" applyNumberFormat="1" applyFont="1" applyBorder="1" applyAlignment="1">
      <alignment horizontal="center"/>
    </xf>
    <xf numFmtId="173" fontId="4" fillId="0" borderId="50" xfId="1" applyNumberFormat="1" applyFont="1" applyBorder="1" applyAlignment="1">
      <alignment horizontal="center"/>
    </xf>
    <xf numFmtId="173" fontId="4" fillId="0" borderId="51" xfId="1" applyNumberFormat="1" applyFont="1" applyBorder="1" applyAlignment="1">
      <alignment horizontal="center"/>
    </xf>
    <xf numFmtId="181" fontId="12" fillId="0" borderId="29" xfId="0" applyNumberFormat="1" applyFont="1" applyBorder="1" applyAlignment="1">
      <alignment horizontal="center"/>
    </xf>
    <xf numFmtId="183" fontId="8" fillId="0" borderId="0" xfId="0" applyNumberFormat="1" applyFont="1" applyBorder="1" applyAlignment="1">
      <alignment horizontal="center"/>
    </xf>
    <xf numFmtId="183" fontId="8" fillId="0" borderId="1" xfId="0" applyNumberFormat="1" applyFont="1" applyBorder="1" applyAlignment="1">
      <alignment horizontal="center"/>
    </xf>
    <xf numFmtId="181" fontId="8" fillId="0" borderId="0" xfId="0" applyNumberFormat="1" applyFont="1" applyAlignment="1">
      <alignment horizontal="center"/>
    </xf>
    <xf numFmtId="192" fontId="8" fillId="0" borderId="1" xfId="0" applyNumberFormat="1" applyFont="1" applyBorder="1" applyAlignment="1">
      <alignment horizontal="center"/>
    </xf>
    <xf numFmtId="192" fontId="8" fillId="0" borderId="0" xfId="0" applyNumberFormat="1" applyFont="1" applyBorder="1" applyAlignment="1">
      <alignment horizontal="center"/>
    </xf>
    <xf numFmtId="187" fontId="12" fillId="0" borderId="1" xfId="0" applyNumberFormat="1" applyFont="1" applyBorder="1" applyAlignment="1">
      <alignment horizontal="right"/>
    </xf>
    <xf numFmtId="187" fontId="3" fillId="0" borderId="1" xfId="0" applyNumberFormat="1" applyFont="1" applyBorder="1" applyAlignment="1"/>
    <xf numFmtId="201" fontId="12" fillId="0" borderId="29" xfId="0" applyNumberFormat="1" applyFont="1" applyBorder="1"/>
    <xf numFmtId="201" fontId="12" fillId="0" borderId="30" xfId="0" applyNumberFormat="1" applyFont="1" applyBorder="1"/>
    <xf numFmtId="201" fontId="8" fillId="0" borderId="0" xfId="0" applyNumberFormat="1" applyFont="1" applyBorder="1"/>
    <xf numFmtId="201" fontId="8" fillId="0" borderId="3" xfId="0" applyNumberFormat="1" applyFont="1" applyBorder="1"/>
    <xf numFmtId="201" fontId="8" fillId="0" borderId="1" xfId="0" applyNumberFormat="1" applyFont="1" applyBorder="1"/>
    <xf numFmtId="201" fontId="8" fillId="0" borderId="2" xfId="0" applyNumberFormat="1" applyFont="1" applyBorder="1"/>
    <xf numFmtId="190" fontId="12" fillId="2" borderId="32" xfId="0" applyNumberFormat="1" applyFont="1" applyFill="1" applyBorder="1" applyAlignment="1">
      <alignment horizontal="right"/>
    </xf>
    <xf numFmtId="0" fontId="18" fillId="2" borderId="0" xfId="0" applyFont="1" applyFill="1"/>
    <xf numFmtId="184" fontId="8" fillId="0" borderId="0" xfId="0" applyNumberFormat="1" applyFont="1" applyBorder="1" applyAlignment="1">
      <alignment horizontal="right"/>
    </xf>
    <xf numFmtId="230" fontId="12" fillId="0" borderId="49" xfId="0" applyNumberFormat="1" applyFont="1" applyBorder="1" applyAlignment="1">
      <alignment horizontal="center"/>
    </xf>
    <xf numFmtId="188" fontId="3" fillId="0" borderId="0" xfId="0" applyNumberFormat="1" applyFont="1" applyAlignment="1"/>
    <xf numFmtId="188" fontId="3" fillId="0" borderId="1" xfId="0" applyNumberFormat="1" applyFont="1" applyBorder="1" applyAlignment="1"/>
    <xf numFmtId="181" fontId="12" fillId="0" borderId="49" xfId="0" applyNumberFormat="1" applyFont="1" applyBorder="1"/>
    <xf numFmtId="174" fontId="12" fillId="0" borderId="49" xfId="0" applyNumberFormat="1" applyFont="1" applyBorder="1"/>
    <xf numFmtId="186" fontId="12" fillId="0" borderId="49" xfId="0" applyNumberFormat="1" applyFont="1" applyBorder="1"/>
    <xf numFmtId="229" fontId="12" fillId="0" borderId="49" xfId="0" applyNumberFormat="1" applyFont="1" applyBorder="1"/>
    <xf numFmtId="215" fontId="12" fillId="0" borderId="49" xfId="0" applyNumberFormat="1" applyFont="1" applyBorder="1"/>
    <xf numFmtId="192" fontId="12" fillId="0" borderId="49" xfId="0" applyNumberFormat="1" applyFont="1" applyBorder="1"/>
    <xf numFmtId="188" fontId="12" fillId="0" borderId="49" xfId="0" applyNumberFormat="1" applyFont="1" applyBorder="1"/>
    <xf numFmtId="232" fontId="12" fillId="0" borderId="49" xfId="0" applyNumberFormat="1" applyFont="1" applyBorder="1"/>
    <xf numFmtId="232" fontId="12" fillId="0" borderId="30" xfId="0" applyNumberFormat="1" applyFont="1" applyBorder="1"/>
    <xf numFmtId="232" fontId="12" fillId="0" borderId="0" xfId="0" applyNumberFormat="1" applyFont="1"/>
    <xf numFmtId="187" fontId="12" fillId="0" borderId="29" xfId="0" applyNumberFormat="1" applyFont="1" applyBorder="1" applyAlignment="1">
      <alignment horizontal="right"/>
    </xf>
    <xf numFmtId="187" fontId="12" fillId="0" borderId="30" xfId="0" applyNumberFormat="1" applyFont="1" applyBorder="1" applyAlignment="1">
      <alignment horizontal="right"/>
    </xf>
    <xf numFmtId="184" fontId="12" fillId="0" borderId="29" xfId="0" applyNumberFormat="1" applyFont="1" applyBorder="1" applyAlignment="1">
      <alignment horizontal="right"/>
    </xf>
    <xf numFmtId="192" fontId="12" fillId="0" borderId="29" xfId="0" applyNumberFormat="1" applyFont="1" applyBorder="1" applyAlignment="1">
      <alignment horizontal="right"/>
    </xf>
    <xf numFmtId="192" fontId="12" fillId="0" borderId="30" xfId="0" applyNumberFormat="1" applyFont="1" applyBorder="1" applyAlignment="1">
      <alignment horizontal="right"/>
    </xf>
    <xf numFmtId="188" fontId="12" fillId="0" borderId="29" xfId="0" applyNumberFormat="1" applyFont="1" applyBorder="1" applyAlignment="1">
      <alignment horizontal="right"/>
    </xf>
    <xf numFmtId="188" fontId="12" fillId="0" borderId="30" xfId="0" applyNumberFormat="1" applyFont="1" applyBorder="1" applyAlignment="1">
      <alignment horizontal="right"/>
    </xf>
    <xf numFmtId="193" fontId="12" fillId="0" borderId="29" xfId="0" applyNumberFormat="1" applyFont="1" applyBorder="1" applyAlignment="1">
      <alignment horizontal="right"/>
    </xf>
    <xf numFmtId="193" fontId="12" fillId="0" borderId="30" xfId="0" applyNumberFormat="1" applyFont="1" applyBorder="1" applyAlignment="1">
      <alignment horizontal="right"/>
    </xf>
    <xf numFmtId="183" fontId="8" fillId="0" borderId="0" xfId="0" applyNumberFormat="1" applyFont="1" applyAlignment="1">
      <alignment horizontal="center"/>
    </xf>
    <xf numFmtId="174" fontId="8" fillId="0" borderId="52" xfId="0" applyNumberFormat="1" applyFont="1" applyBorder="1"/>
    <xf numFmtId="174" fontId="8" fillId="0" borderId="19" xfId="0" applyNumberFormat="1" applyFont="1" applyBorder="1"/>
    <xf numFmtId="174" fontId="8" fillId="0" borderId="19" xfId="0" applyNumberFormat="1" applyFont="1" applyBorder="1" applyAlignment="1">
      <alignment horizontal="center"/>
    </xf>
    <xf numFmtId="168" fontId="8" fillId="0" borderId="0" xfId="1" applyNumberFormat="1" applyFont="1"/>
    <xf numFmtId="168" fontId="8" fillId="0" borderId="0" xfId="1" applyNumberFormat="1" applyFont="1" applyAlignment="1">
      <alignment horizontal="center"/>
    </xf>
    <xf numFmtId="202" fontId="8" fillId="2" borderId="6" xfId="1" applyNumberFormat="1" applyFont="1" applyFill="1" applyBorder="1"/>
    <xf numFmtId="219" fontId="8" fillId="2" borderId="6" xfId="1" applyNumberFormat="1" applyFont="1" applyFill="1" applyBorder="1"/>
    <xf numFmtId="204" fontId="8" fillId="2" borderId="6" xfId="1" applyNumberFormat="1" applyFont="1" applyFill="1" applyBorder="1"/>
    <xf numFmtId="206" fontId="8" fillId="2" borderId="6" xfId="1" applyNumberFormat="1" applyFont="1" applyFill="1" applyBorder="1"/>
    <xf numFmtId="226" fontId="8" fillId="2" borderId="6" xfId="0" applyNumberFormat="1" applyFont="1" applyFill="1" applyBorder="1" applyAlignment="1">
      <alignment horizontal="right"/>
    </xf>
    <xf numFmtId="168" fontId="8" fillId="2" borderId="16" xfId="1" applyNumberFormat="1" applyFont="1" applyFill="1" applyBorder="1"/>
    <xf numFmtId="168" fontId="8" fillId="2" borderId="0" xfId="1" applyNumberFormat="1" applyFont="1" applyFill="1"/>
    <xf numFmtId="170" fontId="8" fillId="0" borderId="0" xfId="1" applyNumberFormat="1" applyFont="1"/>
    <xf numFmtId="181" fontId="12" fillId="0" borderId="48" xfId="0" applyNumberFormat="1" applyFont="1" applyBorder="1"/>
    <xf numFmtId="201" fontId="8" fillId="0" borderId="0" xfId="0" applyNumberFormat="1" applyFont="1" applyBorder="1" applyAlignment="1">
      <alignment horizontal="center"/>
    </xf>
    <xf numFmtId="201" fontId="8" fillId="0" borderId="1" xfId="0" applyNumberFormat="1" applyFont="1" applyBorder="1" applyAlignment="1">
      <alignment horizontal="center"/>
    </xf>
    <xf numFmtId="174" fontId="14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181" fontId="12" fillId="0" borderId="49" xfId="0" applyNumberFormat="1" applyFont="1" applyBorder="1" applyAlignment="1">
      <alignment horizontal="right"/>
    </xf>
    <xf numFmtId="173" fontId="8" fillId="0" borderId="0" xfId="0" applyNumberFormat="1" applyFont="1"/>
    <xf numFmtId="189" fontId="8" fillId="0" borderId="19" xfId="0" applyNumberFormat="1" applyFont="1" applyBorder="1"/>
    <xf numFmtId="189" fontId="8" fillId="0" borderId="52" xfId="0" applyNumberFormat="1" applyFont="1" applyBorder="1"/>
    <xf numFmtId="189" fontId="8" fillId="0" borderId="20" xfId="0" applyNumberFormat="1" applyFont="1" applyBorder="1"/>
    <xf numFmtId="189" fontId="8" fillId="0" borderId="23" xfId="0" applyNumberFormat="1" applyFont="1" applyBorder="1"/>
    <xf numFmtId="190" fontId="12" fillId="0" borderId="6" xfId="0" applyNumberFormat="1" applyFont="1" applyBorder="1"/>
    <xf numFmtId="190" fontId="12" fillId="0" borderId="49" xfId="0" applyNumberFormat="1" applyFont="1" applyBorder="1"/>
    <xf numFmtId="190" fontId="8" fillId="0" borderId="0" xfId="0" applyNumberFormat="1" applyFont="1" applyBorder="1"/>
    <xf numFmtId="190" fontId="8" fillId="0" borderId="6" xfId="0" applyNumberFormat="1" applyFont="1" applyBorder="1"/>
    <xf numFmtId="190" fontId="8" fillId="0" borderId="9" xfId="0" applyNumberFormat="1" applyFont="1" applyBorder="1"/>
    <xf numFmtId="174" fontId="8" fillId="0" borderId="0" xfId="0" applyNumberFormat="1" applyFont="1" applyBorder="1" applyAlignment="1">
      <alignment horizontal="center"/>
    </xf>
    <xf numFmtId="232" fontId="12" fillId="0" borderId="29" xfId="0" applyNumberFormat="1" applyFont="1" applyBorder="1"/>
    <xf numFmtId="169" fontId="8" fillId="0" borderId="8" xfId="1" applyNumberFormat="1" applyFont="1" applyBorder="1"/>
    <xf numFmtId="169" fontId="8" fillId="0" borderId="17" xfId="1" applyNumberFormat="1" applyFont="1" applyBorder="1"/>
    <xf numFmtId="176" fontId="8" fillId="0" borderId="8" xfId="0" applyNumberFormat="1" applyFont="1" applyBorder="1"/>
    <xf numFmtId="170" fontId="8" fillId="0" borderId="17" xfId="0" applyNumberFormat="1" applyFont="1" applyBorder="1"/>
    <xf numFmtId="170" fontId="8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170" fontId="3" fillId="0" borderId="1" xfId="0" applyNumberFormat="1" applyFont="1" applyBorder="1"/>
    <xf numFmtId="174" fontId="8" fillId="5" borderId="8" xfId="0" applyNumberFormat="1" applyFont="1" applyFill="1" applyBorder="1"/>
    <xf numFmtId="174" fontId="8" fillId="5" borderId="11" xfId="0" applyNumberFormat="1" applyFont="1" applyFill="1" applyBorder="1"/>
    <xf numFmtId="174" fontId="3" fillId="2" borderId="3" xfId="0" applyNumberFormat="1" applyFont="1" applyFill="1" applyBorder="1"/>
    <xf numFmtId="174" fontId="3" fillId="2" borderId="3" xfId="0" applyNumberFormat="1" applyFont="1" applyFill="1" applyBorder="1" applyAlignment="1">
      <alignment horizontal="center"/>
    </xf>
    <xf numFmtId="174" fontId="3" fillId="2" borderId="2" xfId="0" applyNumberFormat="1" applyFont="1" applyFill="1" applyBorder="1"/>
    <xf numFmtId="168" fontId="3" fillId="0" borderId="8" xfId="1" applyNumberFormat="1" applyFont="1" applyBorder="1"/>
    <xf numFmtId="168" fontId="3" fillId="0" borderId="8" xfId="1" applyNumberFormat="1" applyFont="1" applyBorder="1" applyAlignment="1">
      <alignment horizontal="center"/>
    </xf>
    <xf numFmtId="168" fontId="3" fillId="0" borderId="11" xfId="1" applyNumberFormat="1" applyFont="1" applyBorder="1"/>
    <xf numFmtId="168" fontId="8" fillId="0" borderId="8" xfId="1" applyNumberFormat="1" applyFont="1" applyBorder="1"/>
    <xf numFmtId="168" fontId="8" fillId="0" borderId="17" xfId="1" applyNumberFormat="1" applyFont="1" applyBorder="1"/>
    <xf numFmtId="183" fontId="8" fillId="2" borderId="6" xfId="1" applyNumberFormat="1" applyFont="1" applyFill="1" applyBorder="1"/>
    <xf numFmtId="170" fontId="8" fillId="2" borderId="17" xfId="0" applyNumberFormat="1" applyFont="1" applyFill="1" applyBorder="1"/>
    <xf numFmtId="199" fontId="8" fillId="2" borderId="6" xfId="1" applyNumberFormat="1" applyFont="1" applyFill="1" applyBorder="1"/>
    <xf numFmtId="212" fontId="8" fillId="2" borderId="6" xfId="1" applyNumberFormat="1" applyFont="1" applyFill="1" applyBorder="1"/>
    <xf numFmtId="170" fontId="8" fillId="5" borderId="6" xfId="1" applyNumberFormat="1" applyFont="1" applyFill="1" applyBorder="1"/>
    <xf numFmtId="196" fontId="8" fillId="5" borderId="6" xfId="1" applyNumberFormat="1" applyFont="1" applyFill="1" applyBorder="1" applyAlignment="1">
      <alignment horizontal="center"/>
    </xf>
    <xf numFmtId="170" fontId="8" fillId="5" borderId="8" xfId="0" applyNumberFormat="1" applyFont="1" applyFill="1" applyBorder="1" applyAlignment="1">
      <alignment horizontal="left"/>
    </xf>
    <xf numFmtId="199" fontId="8" fillId="5" borderId="6" xfId="1" applyNumberFormat="1" applyFont="1" applyFill="1" applyBorder="1"/>
    <xf numFmtId="183" fontId="8" fillId="5" borderId="6" xfId="1" applyNumberFormat="1" applyFont="1" applyFill="1" applyBorder="1"/>
    <xf numFmtId="189" fontId="8" fillId="5" borderId="6" xfId="1" applyNumberFormat="1" applyFont="1" applyFill="1" applyBorder="1"/>
    <xf numFmtId="166" fontId="8" fillId="5" borderId="6" xfId="1" applyNumberFormat="1" applyFont="1" applyFill="1" applyBorder="1"/>
    <xf numFmtId="213" fontId="8" fillId="5" borderId="6" xfId="1" applyNumberFormat="1" applyFont="1" applyFill="1" applyBorder="1"/>
    <xf numFmtId="224" fontId="8" fillId="5" borderId="6" xfId="1" applyNumberFormat="1" applyFont="1" applyFill="1" applyBorder="1"/>
    <xf numFmtId="191" fontId="8" fillId="5" borderId="6" xfId="1" applyNumberFormat="1" applyFont="1" applyFill="1" applyBorder="1"/>
    <xf numFmtId="215" fontId="8" fillId="5" borderId="6" xfId="1" applyNumberFormat="1" applyFont="1" applyFill="1" applyBorder="1"/>
    <xf numFmtId="170" fontId="8" fillId="5" borderId="9" xfId="1" applyNumberFormat="1" applyFont="1" applyFill="1" applyBorder="1"/>
    <xf numFmtId="0" fontId="8" fillId="5" borderId="6" xfId="0" applyFont="1" applyFill="1" applyBorder="1" applyAlignment="1">
      <alignment horizontal="left"/>
    </xf>
    <xf numFmtId="226" fontId="8" fillId="5" borderId="6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9" xfId="0" applyFont="1" applyFill="1" applyBorder="1"/>
    <xf numFmtId="227" fontId="8" fillId="5" borderId="6" xfId="0" applyNumberFormat="1" applyFont="1" applyFill="1" applyBorder="1"/>
    <xf numFmtId="227" fontId="8" fillId="5" borderId="15" xfId="0" applyNumberFormat="1" applyFont="1" applyFill="1" applyBorder="1"/>
    <xf numFmtId="233" fontId="3" fillId="0" borderId="0" xfId="1594" applyNumberFormat="1" applyFont="1"/>
    <xf numFmtId="234" fontId="3" fillId="0" borderId="0" xfId="1594" applyNumberFormat="1" applyFont="1"/>
    <xf numFmtId="176" fontId="8" fillId="0" borderId="0" xfId="0" applyNumberFormat="1" applyFont="1" applyBorder="1"/>
    <xf numFmtId="172" fontId="9" fillId="0" borderId="16" xfId="1" applyNumberFormat="1" applyFont="1" applyBorder="1" applyAlignment="1">
      <alignment horizontal="center"/>
    </xf>
    <xf numFmtId="194" fontId="8" fillId="5" borderId="3" xfId="1" applyNumberFormat="1" applyFont="1" applyFill="1" applyBorder="1" applyAlignment="1">
      <alignment horizontal="right"/>
    </xf>
    <xf numFmtId="194" fontId="8" fillId="5" borderId="3" xfId="0" applyNumberFormat="1" applyFont="1" applyFill="1" applyBorder="1"/>
    <xf numFmtId="194" fontId="3" fillId="5" borderId="3" xfId="0" applyNumberFormat="1" applyFont="1" applyFill="1" applyBorder="1"/>
    <xf numFmtId="170" fontId="19" fillId="5" borderId="26" xfId="0" applyNumberFormat="1" applyFont="1" applyFill="1" applyBorder="1"/>
    <xf numFmtId="173" fontId="8" fillId="0" borderId="0" xfId="0" applyNumberFormat="1" applyFont="1" applyAlignment="1">
      <alignment horizontal="center"/>
    </xf>
    <xf numFmtId="173" fontId="17" fillId="0" borderId="0" xfId="1" applyNumberFormat="1" applyFont="1"/>
    <xf numFmtId="173" fontId="0" fillId="0" borderId="0" xfId="0" applyNumberFormat="1"/>
    <xf numFmtId="173" fontId="17" fillId="0" borderId="0" xfId="0" applyNumberFormat="1" applyFont="1"/>
    <xf numFmtId="174" fontId="8" fillId="0" borderId="0" xfId="1" applyNumberFormat="1" applyFont="1"/>
    <xf numFmtId="172" fontId="8" fillId="7" borderId="0" xfId="1" applyNumberFormat="1" applyFont="1" applyFill="1"/>
    <xf numFmtId="172" fontId="8" fillId="7" borderId="3" xfId="1" applyNumberFormat="1" applyFont="1" applyFill="1" applyBorder="1"/>
    <xf numFmtId="173" fontId="12" fillId="7" borderId="0" xfId="1" applyNumberFormat="1" applyFont="1" applyFill="1"/>
    <xf numFmtId="173" fontId="12" fillId="7" borderId="3" xfId="1" applyNumberFormat="1" applyFont="1" applyFill="1" applyBorder="1"/>
    <xf numFmtId="173" fontId="8" fillId="7" borderId="0" xfId="1" applyNumberFormat="1" applyFont="1" applyFill="1"/>
    <xf numFmtId="173" fontId="8" fillId="7" borderId="3" xfId="1" applyNumberFormat="1" applyFont="1" applyFill="1" applyBorder="1"/>
    <xf numFmtId="173" fontId="3" fillId="7" borderId="0" xfId="1" applyNumberFormat="1" applyFont="1" applyFill="1"/>
    <xf numFmtId="175" fontId="8" fillId="7" borderId="1" xfId="2" applyNumberFormat="1" applyFont="1" applyFill="1" applyBorder="1"/>
    <xf numFmtId="175" fontId="8" fillId="7" borderId="2" xfId="2" applyNumberFormat="1" applyFont="1" applyFill="1" applyBorder="1"/>
    <xf numFmtId="176" fontId="3" fillId="0" borderId="3" xfId="0" applyNumberFormat="1" applyFont="1" applyBorder="1"/>
    <xf numFmtId="176" fontId="12" fillId="0" borderId="3" xfId="0" applyNumberFormat="1" applyFont="1" applyBorder="1"/>
    <xf numFmtId="176" fontId="3" fillId="0" borderId="2" xfId="0" applyNumberFormat="1" applyFont="1" applyBorder="1"/>
    <xf numFmtId="170" fontId="3" fillId="7" borderId="0" xfId="0" applyNumberFormat="1" applyFont="1" applyFill="1"/>
    <xf numFmtId="176" fontId="3" fillId="7" borderId="1" xfId="0" applyNumberFormat="1" applyFont="1" applyFill="1" applyBorder="1"/>
    <xf numFmtId="170" fontId="12" fillId="7" borderId="0" xfId="0" applyNumberFormat="1" applyFont="1" applyFill="1"/>
    <xf numFmtId="170" fontId="3" fillId="7" borderId="3" xfId="0" applyNumberFormat="1" applyFont="1" applyFill="1" applyBorder="1"/>
    <xf numFmtId="170" fontId="12" fillId="7" borderId="3" xfId="0" applyNumberFormat="1" applyFont="1" applyFill="1" applyBorder="1"/>
    <xf numFmtId="174" fontId="8" fillId="7" borderId="0" xfId="0" applyNumberFormat="1" applyFont="1" applyFill="1" applyBorder="1"/>
    <xf numFmtId="174" fontId="3" fillId="7" borderId="0" xfId="0" applyNumberFormat="1" applyFont="1" applyFill="1" applyBorder="1"/>
    <xf numFmtId="174" fontId="8" fillId="7" borderId="3" xfId="0" applyNumberFormat="1" applyFont="1" applyFill="1" applyBorder="1"/>
    <xf numFmtId="174" fontId="12" fillId="7" borderId="0" xfId="0" applyNumberFormat="1" applyFont="1" applyFill="1" applyBorder="1"/>
    <xf numFmtId="0" fontId="8" fillId="7" borderId="3" xfId="0" applyFont="1" applyFill="1" applyBorder="1"/>
    <xf numFmtId="176" fontId="8" fillId="7" borderId="2" xfId="0" applyNumberFormat="1" applyFont="1" applyFill="1" applyBorder="1"/>
    <xf numFmtId="166" fontId="8" fillId="2" borderId="0" xfId="1" applyFont="1" applyFill="1" applyAlignment="1">
      <alignment horizontal="center"/>
    </xf>
    <xf numFmtId="166" fontId="8" fillId="2" borderId="0" xfId="1" applyFont="1" applyFill="1" applyBorder="1"/>
    <xf numFmtId="166" fontId="12" fillId="2" borderId="0" xfId="1" applyFont="1" applyFill="1" applyBorder="1"/>
    <xf numFmtId="166" fontId="8" fillId="2" borderId="1" xfId="1" applyFont="1" applyFill="1" applyBorder="1"/>
    <xf numFmtId="166" fontId="17" fillId="2" borderId="0" xfId="1" applyFont="1" applyFill="1"/>
    <xf numFmtId="166" fontId="8" fillId="2" borderId="0" xfId="1" applyFont="1" applyFill="1"/>
    <xf numFmtId="166" fontId="3" fillId="2" borderId="0" xfId="1" applyFont="1" applyFill="1"/>
    <xf numFmtId="176" fontId="12" fillId="2" borderId="0" xfId="0" applyNumberFormat="1" applyFont="1" applyFill="1"/>
    <xf numFmtId="10" fontId="12" fillId="0" borderId="3" xfId="2" applyNumberFormat="1" applyFont="1" applyBorder="1" applyAlignment="1">
      <alignment horizontal="center"/>
    </xf>
    <xf numFmtId="10" fontId="12" fillId="0" borderId="14" xfId="2" applyNumberFormat="1" applyFont="1" applyBorder="1" applyAlignment="1">
      <alignment horizontal="center"/>
    </xf>
    <xf numFmtId="10" fontId="12" fillId="0" borderId="26" xfId="2" applyNumberFormat="1" applyFont="1" applyBorder="1" applyAlignment="1">
      <alignment horizontal="center"/>
    </xf>
    <xf numFmtId="175" fontId="3" fillId="0" borderId="3" xfId="2" applyNumberFormat="1" applyFont="1" applyBorder="1" applyAlignment="1">
      <alignment horizontal="center"/>
    </xf>
    <xf numFmtId="175" fontId="0" fillId="0" borderId="3" xfId="0" applyNumberFormat="1" applyBorder="1" applyAlignment="1">
      <alignment horizontal="center"/>
    </xf>
    <xf numFmtId="175" fontId="0" fillId="0" borderId="2" xfId="0" applyNumberFormat="1" applyBorder="1" applyAlignment="1">
      <alignment horizontal="center"/>
    </xf>
    <xf numFmtId="173" fontId="3" fillId="0" borderId="0" xfId="1" applyNumberFormat="1" applyFont="1" applyAlignment="1">
      <alignment horizontal="left"/>
    </xf>
    <xf numFmtId="176" fontId="8" fillId="0" borderId="3" xfId="0" applyNumberFormat="1" applyFont="1" applyBorder="1"/>
    <xf numFmtId="170" fontId="8" fillId="7" borderId="0" xfId="0" applyNumberFormat="1" applyFont="1" applyFill="1"/>
    <xf numFmtId="170" fontId="8" fillId="7" borderId="3" xfId="0" applyNumberFormat="1" applyFont="1" applyFill="1" applyBorder="1"/>
    <xf numFmtId="170" fontId="8" fillId="7" borderId="1" xfId="0" applyNumberFormat="1" applyFont="1" applyFill="1" applyBorder="1"/>
    <xf numFmtId="170" fontId="8" fillId="7" borderId="2" xfId="0" applyNumberFormat="1" applyFont="1" applyFill="1" applyBorder="1"/>
    <xf numFmtId="10" fontId="8" fillId="4" borderId="4" xfId="2" applyNumberFormat="1" applyFont="1" applyFill="1" applyBorder="1"/>
    <xf numFmtId="10" fontId="8" fillId="4" borderId="0" xfId="2" applyNumberFormat="1" applyFont="1" applyFill="1" applyBorder="1"/>
    <xf numFmtId="10" fontId="8" fillId="4" borderId="3" xfId="2" applyNumberFormat="1" applyFont="1" applyFill="1" applyBorder="1" applyAlignment="1">
      <alignment horizontal="center"/>
    </xf>
    <xf numFmtId="176" fontId="8" fillId="2" borderId="0" xfId="0" applyNumberFormat="1" applyFont="1" applyFill="1" applyAlignment="1">
      <alignment horizontal="center"/>
    </xf>
    <xf numFmtId="176" fontId="12" fillId="2" borderId="5" xfId="0" applyNumberFormat="1" applyFont="1" applyFill="1" applyBorder="1"/>
    <xf numFmtId="176" fontId="8" fillId="2" borderId="5" xfId="0" applyNumberFormat="1" applyFont="1" applyFill="1" applyBorder="1"/>
    <xf numFmtId="176" fontId="8" fillId="2" borderId="50" xfId="0" applyNumberFormat="1" applyFont="1" applyFill="1" applyBorder="1"/>
    <xf numFmtId="177" fontId="8" fillId="0" borderId="0" xfId="0" applyNumberFormat="1" applyFont="1" applyBorder="1"/>
    <xf numFmtId="10" fontId="8" fillId="0" borderId="0" xfId="2" applyNumberFormat="1" applyFont="1" applyBorder="1"/>
    <xf numFmtId="177" fontId="8" fillId="0" borderId="1" xfId="0" applyNumberFormat="1" applyFont="1" applyBorder="1"/>
    <xf numFmtId="10" fontId="8" fillId="0" borderId="1" xfId="2" applyNumberFormat="1" applyFont="1" applyBorder="1"/>
    <xf numFmtId="235" fontId="8" fillId="0" borderId="0" xfId="0" applyNumberFormat="1" applyFont="1"/>
    <xf numFmtId="173" fontId="8" fillId="7" borderId="0" xfId="0" applyNumberFormat="1" applyFont="1" applyFill="1" applyBorder="1"/>
    <xf numFmtId="172" fontId="8" fillId="7" borderId="4" xfId="1" applyNumberFormat="1" applyFont="1" applyFill="1" applyBorder="1"/>
    <xf numFmtId="173" fontId="8" fillId="7" borderId="0" xfId="1" applyNumberFormat="1" applyFont="1" applyFill="1" applyBorder="1"/>
    <xf numFmtId="173" fontId="8" fillId="7" borderId="4" xfId="0" applyNumberFormat="1" applyFont="1" applyFill="1" applyBorder="1"/>
    <xf numFmtId="173" fontId="8" fillId="7" borderId="3" xfId="0" applyNumberFormat="1" applyFont="1" applyFill="1" applyBorder="1"/>
    <xf numFmtId="176" fontId="8" fillId="7" borderId="5" xfId="0" applyNumberFormat="1" applyFont="1" applyFill="1" applyBorder="1"/>
    <xf numFmtId="172" fontId="8" fillId="7" borderId="53" xfId="1" applyNumberFormat="1" applyFont="1" applyFill="1" applyBorder="1"/>
    <xf numFmtId="173" fontId="8" fillId="7" borderId="2" xfId="0" applyNumberFormat="1" applyFont="1" applyFill="1" applyBorder="1"/>
    <xf numFmtId="176" fontId="8" fillId="7" borderId="50" xfId="0" applyNumberFormat="1" applyFont="1" applyFill="1" applyBorder="1"/>
    <xf numFmtId="173" fontId="8" fillId="7" borderId="4" xfId="1" applyNumberFormat="1" applyFont="1" applyFill="1" applyBorder="1"/>
    <xf numFmtId="173" fontId="8" fillId="2" borderId="0" xfId="1" applyNumberFormat="1" applyFont="1" applyFill="1" applyBorder="1"/>
    <xf numFmtId="177" fontId="8" fillId="0" borderId="0" xfId="0" applyNumberFormat="1" applyFont="1" applyAlignment="1">
      <alignment horizontal="center"/>
    </xf>
    <xf numFmtId="10" fontId="8" fillId="0" borderId="3" xfId="2" applyNumberFormat="1" applyFont="1" applyBorder="1"/>
    <xf numFmtId="10" fontId="8" fillId="0" borderId="2" xfId="2" applyNumberFormat="1" applyFont="1" applyBorder="1"/>
    <xf numFmtId="173" fontId="8" fillId="5" borderId="19" xfId="1" applyNumberFormat="1" applyFont="1" applyFill="1" applyBorder="1"/>
    <xf numFmtId="173" fontId="8" fillId="5" borderId="20" xfId="1" applyNumberFormat="1" applyFont="1" applyFill="1" applyBorder="1"/>
    <xf numFmtId="173" fontId="8" fillId="5" borderId="54" xfId="1" applyNumberFormat="1" applyFont="1" applyFill="1" applyBorder="1"/>
    <xf numFmtId="172" fontId="8" fillId="7" borderId="0" xfId="1" applyNumberFormat="1" applyFont="1" applyFill="1" applyBorder="1"/>
    <xf numFmtId="172" fontId="8" fillId="7" borderId="2" xfId="1" applyNumberFormat="1" applyFont="1" applyFill="1" applyBorder="1"/>
    <xf numFmtId="172" fontId="3" fillId="2" borderId="0" xfId="1" applyNumberFormat="1" applyFont="1" applyFill="1" applyBorder="1" applyAlignment="1">
      <alignment horizontal="center"/>
    </xf>
    <xf numFmtId="175" fontId="8" fillId="5" borderId="15" xfId="2" applyNumberFormat="1" applyFont="1" applyFill="1" applyBorder="1"/>
    <xf numFmtId="176" fontId="8" fillId="0" borderId="6" xfId="0" applyNumberFormat="1" applyFont="1" applyBorder="1"/>
    <xf numFmtId="168" fontId="8" fillId="0" borderId="6" xfId="1" applyNumberFormat="1" applyFont="1" applyBorder="1"/>
    <xf numFmtId="168" fontId="8" fillId="2" borderId="6" xfId="1" applyNumberFormat="1" applyFont="1" applyFill="1" applyBorder="1" applyAlignment="1">
      <alignment horizontal="center"/>
    </xf>
    <xf numFmtId="170" fontId="21" fillId="5" borderId="8" xfId="0" applyNumberFormat="1" applyFont="1" applyFill="1" applyBorder="1"/>
    <xf numFmtId="166" fontId="3" fillId="5" borderId="15" xfId="1" applyNumberFormat="1" applyFont="1" applyFill="1" applyBorder="1"/>
    <xf numFmtId="170" fontId="3" fillId="5" borderId="8" xfId="1" applyNumberFormat="1" applyFont="1" applyFill="1" applyBorder="1"/>
    <xf numFmtId="170" fontId="3" fillId="5" borderId="8" xfId="1" applyNumberFormat="1" applyFont="1" applyFill="1" applyBorder="1" applyAlignment="1">
      <alignment horizontal="center"/>
    </xf>
    <xf numFmtId="170" fontId="20" fillId="5" borderId="8" xfId="1" applyNumberFormat="1" applyFont="1" applyFill="1" applyBorder="1"/>
    <xf numFmtId="170" fontId="3" fillId="5" borderId="11" xfId="1" applyNumberFormat="1" applyFont="1" applyFill="1" applyBorder="1"/>
    <xf numFmtId="177" fontId="3" fillId="0" borderId="8" xfId="0" applyNumberFormat="1" applyFont="1" applyBorder="1" applyAlignment="1">
      <alignment horizontal="center"/>
    </xf>
    <xf numFmtId="177" fontId="8" fillId="0" borderId="8" xfId="0" applyNumberFormat="1" applyFont="1" applyBorder="1"/>
    <xf numFmtId="177" fontId="4" fillId="0" borderId="8" xfId="0" applyNumberFormat="1" applyFont="1" applyBorder="1"/>
    <xf numFmtId="177" fontId="3" fillId="0" borderId="8" xfId="0" applyNumberFormat="1" applyFont="1" applyBorder="1"/>
    <xf numFmtId="177" fontId="3" fillId="0" borderId="17" xfId="0" applyNumberFormat="1" applyFont="1" applyBorder="1"/>
    <xf numFmtId="168" fontId="3" fillId="2" borderId="15" xfId="1" applyNumberFormat="1" applyFont="1" applyFill="1" applyBorder="1"/>
    <xf numFmtId="170" fontId="8" fillId="5" borderId="8" xfId="1" applyNumberFormat="1" applyFont="1" applyFill="1" applyBorder="1"/>
    <xf numFmtId="170" fontId="8" fillId="5" borderId="11" xfId="1" applyNumberFormat="1" applyFont="1" applyFill="1" applyBorder="1"/>
    <xf numFmtId="173" fontId="8" fillId="5" borderId="38" xfId="1" applyNumberFormat="1" applyFont="1" applyFill="1" applyBorder="1"/>
    <xf numFmtId="0" fontId="8" fillId="8" borderId="21" xfId="0" applyFont="1" applyFill="1" applyBorder="1"/>
    <xf numFmtId="173" fontId="8" fillId="8" borderId="23" xfId="1" applyNumberFormat="1" applyFont="1" applyFill="1" applyBorder="1" applyAlignment="1">
      <alignment horizontal="right"/>
    </xf>
    <xf numFmtId="0" fontId="8" fillId="8" borderId="4" xfId="0" applyFont="1" applyFill="1" applyBorder="1"/>
    <xf numFmtId="173" fontId="8" fillId="8" borderId="3" xfId="1" applyNumberFormat="1" applyFont="1" applyFill="1" applyBorder="1" applyAlignment="1">
      <alignment horizontal="right"/>
    </xf>
    <xf numFmtId="9" fontId="8" fillId="8" borderId="3" xfId="2" applyFont="1" applyFill="1" applyBorder="1"/>
    <xf numFmtId="0" fontId="8" fillId="8" borderId="3" xfId="0" applyFont="1" applyFill="1" applyBorder="1"/>
    <xf numFmtId="0" fontId="8" fillId="8" borderId="24" xfId="0" applyFont="1" applyFill="1" applyBorder="1"/>
    <xf numFmtId="173" fontId="8" fillId="8" borderId="14" xfId="0" applyNumberFormat="1" applyFont="1" applyFill="1" applyBorder="1"/>
    <xf numFmtId="173" fontId="8" fillId="8" borderId="3" xfId="0" applyNumberFormat="1" applyFont="1" applyFill="1" applyBorder="1"/>
    <xf numFmtId="173" fontId="12" fillId="0" borderId="33" xfId="1" applyNumberFormat="1" applyFont="1" applyBorder="1" applyAlignment="1">
      <alignment horizontal="center"/>
    </xf>
    <xf numFmtId="173" fontId="4" fillId="0" borderId="28" xfId="1" applyNumberFormat="1" applyFont="1" applyBorder="1" applyAlignment="1">
      <alignment horizontal="center"/>
    </xf>
    <xf numFmtId="170" fontId="3" fillId="0" borderId="31" xfId="0" applyNumberFormat="1" applyFont="1" applyBorder="1"/>
    <xf numFmtId="174" fontId="3" fillId="0" borderId="18" xfId="0" applyNumberFormat="1" applyFont="1" applyBorder="1"/>
    <xf numFmtId="194" fontId="3" fillId="0" borderId="25" xfId="0" applyNumberFormat="1" applyFont="1" applyBorder="1"/>
    <xf numFmtId="0" fontId="8" fillId="0" borderId="14" xfId="0" applyFont="1" applyBorder="1"/>
    <xf numFmtId="178" fontId="8" fillId="0" borderId="37" xfId="1" applyNumberFormat="1" applyFont="1" applyBorder="1"/>
    <xf numFmtId="173" fontId="8" fillId="0" borderId="47" xfId="1" applyNumberFormat="1" applyFont="1" applyBorder="1"/>
    <xf numFmtId="173" fontId="8" fillId="0" borderId="12" xfId="1" applyNumberFormat="1" applyFont="1" applyBorder="1"/>
    <xf numFmtId="173" fontId="8" fillId="0" borderId="39" xfId="1" applyNumberFormat="1" applyFont="1" applyBorder="1"/>
    <xf numFmtId="177" fontId="8" fillId="2" borderId="6" xfId="0" applyNumberFormat="1" applyFont="1" applyFill="1" applyBorder="1"/>
    <xf numFmtId="169" fontId="8" fillId="2" borderId="8" xfId="1" applyNumberFormat="1" applyFont="1" applyFill="1" applyBorder="1"/>
    <xf numFmtId="178" fontId="8" fillId="5" borderId="12" xfId="1" applyNumberFormat="1" applyFont="1" applyFill="1" applyBorder="1"/>
    <xf numFmtId="174" fontId="8" fillId="0" borderId="5" xfId="0" applyNumberFormat="1" applyFont="1" applyBorder="1"/>
    <xf numFmtId="177" fontId="8" fillId="2" borderId="0" xfId="0" applyNumberFormat="1" applyFont="1" applyFill="1"/>
    <xf numFmtId="0" fontId="8" fillId="5" borderId="8" xfId="0" applyFont="1" applyFill="1" applyBorder="1"/>
    <xf numFmtId="0" fontId="8" fillId="0" borderId="5" xfId="0" applyFont="1" applyBorder="1"/>
    <xf numFmtId="177" fontId="8" fillId="2" borderId="15" xfId="0" applyNumberFormat="1" applyFont="1" applyFill="1" applyBorder="1"/>
    <xf numFmtId="169" fontId="8" fillId="2" borderId="17" xfId="1" applyNumberFormat="1" applyFont="1" applyFill="1" applyBorder="1"/>
    <xf numFmtId="170" fontId="8" fillId="5" borderId="16" xfId="0" applyNumberFormat="1" applyFont="1" applyFill="1" applyBorder="1"/>
    <xf numFmtId="170" fontId="8" fillId="2" borderId="15" xfId="0" applyNumberFormat="1" applyFont="1" applyFill="1" applyBorder="1"/>
    <xf numFmtId="178" fontId="8" fillId="5" borderId="39" xfId="1" applyNumberFormat="1" applyFont="1" applyFill="1" applyBorder="1"/>
    <xf numFmtId="0" fontId="8" fillId="5" borderId="17" xfId="0" applyFont="1" applyFill="1" applyBorder="1"/>
    <xf numFmtId="0" fontId="8" fillId="0" borderId="33" xfId="0" applyFont="1" applyBorder="1"/>
    <xf numFmtId="174" fontId="8" fillId="5" borderId="17" xfId="0" applyNumberFormat="1" applyFont="1" applyFill="1" applyBorder="1"/>
    <xf numFmtId="177" fontId="8" fillId="2" borderId="6" xfId="1" applyNumberFormat="1" applyFont="1" applyFill="1" applyBorder="1"/>
    <xf numFmtId="170" fontId="20" fillId="5" borderId="17" xfId="0" applyNumberFormat="1" applyFont="1" applyFill="1" applyBorder="1" applyAlignment="1">
      <alignment horizontal="right"/>
    </xf>
    <xf numFmtId="175" fontId="8" fillId="5" borderId="39" xfId="2" applyNumberFormat="1" applyFont="1" applyFill="1" applyBorder="1"/>
    <xf numFmtId="168" fontId="8" fillId="2" borderId="15" xfId="1" applyNumberFormat="1" applyFont="1" applyFill="1" applyBorder="1"/>
    <xf numFmtId="170" fontId="20" fillId="5" borderId="17" xfId="1" applyNumberFormat="1" applyFont="1" applyFill="1" applyBorder="1"/>
    <xf numFmtId="180" fontId="8" fillId="2" borderId="6" xfId="0" applyNumberFormat="1" applyFont="1" applyFill="1" applyBorder="1"/>
    <xf numFmtId="180" fontId="8" fillId="2" borderId="0" xfId="0" applyNumberFormat="1" applyFont="1" applyFill="1"/>
    <xf numFmtId="174" fontId="3" fillId="0" borderId="0" xfId="1594" applyNumberFormat="1" applyFont="1"/>
    <xf numFmtId="174" fontId="3" fillId="0" borderId="25" xfId="1594" applyNumberFormat="1" applyFont="1" applyBorder="1"/>
    <xf numFmtId="174" fontId="3" fillId="0" borderId="0" xfId="1594" applyNumberFormat="1" applyFont="1" applyBorder="1"/>
    <xf numFmtId="0" fontId="13" fillId="0" borderId="0" xfId="0" applyFont="1" applyAlignment="1">
      <alignment horizontal="right"/>
    </xf>
    <xf numFmtId="174" fontId="3" fillId="0" borderId="25" xfId="0" applyNumberFormat="1" applyFont="1" applyBorder="1"/>
    <xf numFmtId="170" fontId="3" fillId="0" borderId="25" xfId="0" applyNumberFormat="1" applyFont="1" applyBorder="1"/>
    <xf numFmtId="175" fontId="3" fillId="0" borderId="25" xfId="2" applyNumberFormat="1" applyFont="1" applyBorder="1"/>
    <xf numFmtId="174" fontId="8" fillId="0" borderId="25" xfId="1594" applyNumberFormat="1" applyFont="1" applyBorder="1"/>
    <xf numFmtId="172" fontId="3" fillId="0" borderId="18" xfId="1" applyNumberFormat="1" applyFont="1" applyBorder="1" applyAlignment="1"/>
    <xf numFmtId="174" fontId="3" fillId="0" borderId="18" xfId="1594" applyNumberFormat="1" applyFont="1" applyBorder="1"/>
    <xf numFmtId="170" fontId="3" fillId="0" borderId="18" xfId="0" applyNumberFormat="1" applyFont="1" applyBorder="1"/>
    <xf numFmtId="175" fontId="3" fillId="0" borderId="18" xfId="2" applyNumberFormat="1" applyFont="1" applyBorder="1"/>
    <xf numFmtId="194" fontId="3" fillId="0" borderId="0" xfId="2" applyNumberFormat="1" applyFont="1"/>
    <xf numFmtId="186" fontId="8" fillId="0" borderId="0" xfId="0" applyNumberFormat="1" applyFont="1" applyAlignment="1">
      <alignment horizontal="center"/>
    </xf>
    <xf numFmtId="170" fontId="9" fillId="5" borderId="6" xfId="0" applyNumberFormat="1" applyFont="1" applyFill="1" applyBorder="1"/>
    <xf numFmtId="170" fontId="22" fillId="5" borderId="6" xfId="0" applyNumberFormat="1" applyFont="1" applyFill="1" applyBorder="1"/>
    <xf numFmtId="170" fontId="23" fillId="5" borderId="6" xfId="0" applyNumberFormat="1" applyFont="1" applyFill="1" applyBorder="1"/>
    <xf numFmtId="237" fontId="8" fillId="0" borderId="7" xfId="1" applyNumberFormat="1" applyFont="1" applyBorder="1"/>
    <xf numFmtId="237" fontId="8" fillId="5" borderId="7" xfId="1" applyNumberFormat="1" applyFont="1" applyFill="1" applyBorder="1"/>
    <xf numFmtId="174" fontId="8" fillId="9" borderId="12" xfId="2" applyNumberFormat="1" applyFont="1" applyFill="1" applyBorder="1"/>
    <xf numFmtId="174" fontId="8" fillId="9" borderId="8" xfId="2" applyNumberFormat="1" applyFont="1" applyFill="1" applyBorder="1"/>
    <xf numFmtId="174" fontId="8" fillId="9" borderId="11" xfId="2" applyNumberFormat="1" applyFont="1" applyFill="1" applyBorder="1"/>
    <xf numFmtId="174" fontId="8" fillId="9" borderId="39" xfId="2" applyNumberFormat="1" applyFont="1" applyFill="1" applyBorder="1"/>
    <xf numFmtId="174" fontId="8" fillId="9" borderId="17" xfId="2" applyNumberFormat="1" applyFont="1" applyFill="1" applyBorder="1"/>
    <xf numFmtId="174" fontId="8" fillId="9" borderId="12" xfId="2" applyNumberFormat="1" applyFont="1" applyFill="1" applyBorder="1" applyAlignment="1">
      <alignment horizontal="center"/>
    </xf>
    <xf numFmtId="174" fontId="8" fillId="9" borderId="8" xfId="2" applyNumberFormat="1" applyFont="1" applyFill="1" applyBorder="1" applyAlignment="1">
      <alignment horizontal="center"/>
    </xf>
    <xf numFmtId="170" fontId="8" fillId="9" borderId="12" xfId="2" applyNumberFormat="1" applyFont="1" applyFill="1" applyBorder="1"/>
    <xf numFmtId="170" fontId="8" fillId="9" borderId="13" xfId="2" applyNumberFormat="1" applyFont="1" applyFill="1" applyBorder="1"/>
    <xf numFmtId="170" fontId="23" fillId="5" borderId="11" xfId="0" applyNumberFormat="1" applyFont="1" applyFill="1" applyBorder="1"/>
    <xf numFmtId="238" fontId="8" fillId="0" borderId="7" xfId="1" applyNumberFormat="1" applyFont="1" applyBorder="1"/>
    <xf numFmtId="238" fontId="8" fillId="5" borderId="7" xfId="1" applyNumberFormat="1" applyFont="1" applyFill="1" applyBorder="1"/>
    <xf numFmtId="226" fontId="8" fillId="0" borderId="7" xfId="1" applyNumberFormat="1" applyFont="1" applyBorder="1"/>
    <xf numFmtId="181" fontId="4" fillId="0" borderId="1" xfId="0" applyNumberFormat="1" applyFont="1" applyBorder="1"/>
    <xf numFmtId="181" fontId="4" fillId="0" borderId="0" xfId="0" applyNumberFormat="1" applyFont="1" applyBorder="1"/>
    <xf numFmtId="181" fontId="9" fillId="0" borderId="29" xfId="0" applyNumberFormat="1" applyFont="1" applyBorder="1"/>
    <xf numFmtId="186" fontId="12" fillId="0" borderId="0" xfId="0" applyNumberFormat="1" applyFont="1" applyBorder="1"/>
    <xf numFmtId="186" fontId="8" fillId="0" borderId="0" xfId="0" applyNumberFormat="1" applyFont="1" applyBorder="1" applyAlignment="1">
      <alignment horizontal="center"/>
    </xf>
    <xf numFmtId="222" fontId="12" fillId="0" borderId="29" xfId="0" applyNumberFormat="1" applyFont="1" applyBorder="1"/>
    <xf numFmtId="191" fontId="8" fillId="0" borderId="0" xfId="0" applyNumberFormat="1" applyFont="1" applyBorder="1" applyAlignment="1">
      <alignment horizontal="center"/>
    </xf>
    <xf numFmtId="191" fontId="8" fillId="0" borderId="1" xfId="0" applyNumberFormat="1" applyFont="1" applyBorder="1" applyAlignment="1">
      <alignment horizontal="center"/>
    </xf>
    <xf numFmtId="236" fontId="8" fillId="0" borderId="0" xfId="0" applyNumberFormat="1" applyFont="1"/>
    <xf numFmtId="0" fontId="16" fillId="0" borderId="0" xfId="0" applyFont="1"/>
    <xf numFmtId="236" fontId="16" fillId="0" borderId="0" xfId="0" applyNumberFormat="1" applyFont="1"/>
    <xf numFmtId="0" fontId="8" fillId="0" borderId="0" xfId="0" applyFont="1" applyBorder="1" applyAlignment="1">
      <alignment horizontal="left"/>
    </xf>
    <xf numFmtId="1" fontId="8" fillId="0" borderId="0" xfId="0" applyNumberFormat="1" applyFont="1"/>
    <xf numFmtId="10" fontId="8" fillId="5" borderId="6" xfId="2" applyNumberFormat="1" applyFont="1" applyFill="1" applyBorder="1"/>
    <xf numFmtId="238" fontId="3" fillId="5" borderId="6" xfId="0" applyNumberFormat="1" applyFont="1" applyFill="1" applyBorder="1" applyAlignment="1">
      <alignment horizontal="right"/>
    </xf>
    <xf numFmtId="238" fontId="3" fillId="2" borderId="6" xfId="0" applyNumberFormat="1" applyFont="1" applyFill="1" applyBorder="1" applyAlignment="1">
      <alignment horizontal="right"/>
    </xf>
    <xf numFmtId="170" fontId="3" fillId="0" borderId="0" xfId="1594" applyNumberFormat="1" applyFont="1"/>
    <xf numFmtId="239" fontId="8" fillId="0" borderId="10" xfId="1" applyNumberFormat="1" applyFont="1" applyBorder="1"/>
    <xf numFmtId="170" fontId="23" fillId="5" borderId="8" xfId="0" applyNumberFormat="1" applyFont="1" applyFill="1" applyBorder="1"/>
    <xf numFmtId="181" fontId="8" fillId="0" borderId="22" xfId="0" applyNumberFormat="1" applyFont="1" applyBorder="1"/>
    <xf numFmtId="181" fontId="8" fillId="0" borderId="1" xfId="0" applyNumberFormat="1" applyFont="1" applyBorder="1" applyAlignment="1">
      <alignment horizontal="right"/>
    </xf>
    <xf numFmtId="189" fontId="4" fillId="0" borderId="0" xfId="0" applyNumberFormat="1" applyFont="1"/>
    <xf numFmtId="184" fontId="8" fillId="0" borderId="0" xfId="0" applyNumberFormat="1" applyFont="1" applyAlignment="1">
      <alignment horizontal="center"/>
    </xf>
    <xf numFmtId="190" fontId="8" fillId="0" borderId="1" xfId="0" applyNumberFormat="1" applyFont="1" applyBorder="1" applyAlignment="1">
      <alignment horizontal="center"/>
    </xf>
    <xf numFmtId="190" fontId="8" fillId="0" borderId="0" xfId="0" applyNumberFormat="1" applyFont="1" applyAlignment="1">
      <alignment horizontal="center"/>
    </xf>
    <xf numFmtId="190" fontId="4" fillId="0" borderId="0" xfId="0" applyNumberFormat="1" applyFont="1"/>
    <xf numFmtId="185" fontId="8" fillId="0" borderId="0" xfId="0" applyNumberFormat="1" applyFont="1" applyAlignment="1">
      <alignment horizontal="right"/>
    </xf>
    <xf numFmtId="185" fontId="8" fillId="0" borderId="1" xfId="0" applyNumberFormat="1" applyFont="1" applyBorder="1" applyAlignment="1">
      <alignment horizontal="right"/>
    </xf>
    <xf numFmtId="231" fontId="8" fillId="0" borderId="1" xfId="0" applyNumberFormat="1" applyFont="1" applyBorder="1" applyAlignment="1">
      <alignment horizontal="right"/>
    </xf>
    <xf numFmtId="231" fontId="4" fillId="0" borderId="0" xfId="0" applyNumberFormat="1" applyFont="1"/>
    <xf numFmtId="191" fontId="12" fillId="0" borderId="29" xfId="0" applyNumberFormat="1" applyFont="1" applyBorder="1"/>
    <xf numFmtId="215" fontId="8" fillId="0" borderId="0" xfId="0" applyNumberFormat="1" applyFont="1" applyBorder="1" applyAlignment="1">
      <alignment horizontal="center"/>
    </xf>
    <xf numFmtId="215" fontId="4" fillId="0" borderId="0" xfId="0" applyNumberFormat="1" applyFont="1" applyBorder="1"/>
    <xf numFmtId="174" fontId="4" fillId="0" borderId="0" xfId="0" applyNumberFormat="1" applyFont="1" applyBorder="1"/>
    <xf numFmtId="192" fontId="4" fillId="0" borderId="0" xfId="0" applyNumberFormat="1" applyFont="1" applyBorder="1"/>
    <xf numFmtId="230" fontId="4" fillId="0" borderId="0" xfId="0" applyNumberFormat="1" applyFont="1" applyBorder="1"/>
    <xf numFmtId="170" fontId="8" fillId="0" borderId="0" xfId="1" applyNumberFormat="1" applyFont="1" applyAlignment="1"/>
    <xf numFmtId="170" fontId="8" fillId="3" borderId="5" xfId="1" applyNumberFormat="1" applyFont="1" applyFill="1" applyBorder="1" applyAlignment="1">
      <alignment horizontal="right"/>
    </xf>
    <xf numFmtId="170" fontId="8" fillId="5" borderId="6" xfId="1" applyNumberFormat="1" applyFont="1" applyFill="1" applyBorder="1" applyAlignment="1">
      <alignment horizontal="right"/>
    </xf>
    <xf numFmtId="194" fontId="8" fillId="9" borderId="6" xfId="1" applyNumberFormat="1" applyFont="1" applyFill="1" applyBorder="1" applyAlignment="1">
      <alignment horizontal="right"/>
    </xf>
    <xf numFmtId="194" fontId="8" fillId="9" borderId="7" xfId="1" applyNumberFormat="1" applyFont="1" applyFill="1" applyBorder="1" applyAlignment="1">
      <alignment horizontal="right"/>
    </xf>
    <xf numFmtId="194" fontId="8" fillId="9" borderId="8" xfId="1" applyNumberFormat="1" applyFont="1" applyFill="1" applyBorder="1" applyAlignment="1">
      <alignment horizontal="right"/>
    </xf>
    <xf numFmtId="194" fontId="8" fillId="9" borderId="6" xfId="0" applyNumberFormat="1" applyFont="1" applyFill="1" applyBorder="1"/>
    <xf numFmtId="194" fontId="8" fillId="9" borderId="7" xfId="0" applyNumberFormat="1" applyFont="1" applyFill="1" applyBorder="1"/>
    <xf numFmtId="194" fontId="8" fillId="9" borderId="8" xfId="0" applyNumberFormat="1" applyFont="1" applyFill="1" applyBorder="1"/>
    <xf numFmtId="194" fontId="3" fillId="9" borderId="6" xfId="0" applyNumberFormat="1" applyFont="1" applyFill="1" applyBorder="1"/>
    <xf numFmtId="194" fontId="3" fillId="9" borderId="7" xfId="0" applyNumberFormat="1" applyFont="1" applyFill="1" applyBorder="1"/>
    <xf numFmtId="194" fontId="3" fillId="9" borderId="8" xfId="0" applyNumberFormat="1" applyFont="1" applyFill="1" applyBorder="1"/>
    <xf numFmtId="170" fontId="19" fillId="9" borderId="35" xfId="0" applyNumberFormat="1" applyFont="1" applyFill="1" applyBorder="1"/>
    <xf numFmtId="170" fontId="19" fillId="9" borderId="34" xfId="0" applyNumberFormat="1" applyFont="1" applyFill="1" applyBorder="1"/>
    <xf numFmtId="170" fontId="19" fillId="9" borderId="36" xfId="0" applyNumberFormat="1" applyFont="1" applyFill="1" applyBorder="1"/>
    <xf numFmtId="176" fontId="8" fillId="5" borderId="6" xfId="1" applyNumberFormat="1" applyFont="1" applyFill="1" applyBorder="1" applyAlignment="1">
      <alignment horizontal="right"/>
    </xf>
    <xf numFmtId="170" fontId="8" fillId="5" borderId="7" xfId="1" applyNumberFormat="1" applyFont="1" applyFill="1" applyBorder="1" applyAlignment="1">
      <alignment horizontal="right"/>
    </xf>
    <xf numFmtId="176" fontId="8" fillId="5" borderId="7" xfId="1" applyNumberFormat="1" applyFont="1" applyFill="1" applyBorder="1" applyAlignment="1">
      <alignment horizontal="right"/>
    </xf>
    <xf numFmtId="172" fontId="9" fillId="0" borderId="0" xfId="1" applyNumberFormat="1" applyFont="1" applyAlignment="1">
      <alignment horizontal="left"/>
    </xf>
    <xf numFmtId="172" fontId="9" fillId="3" borderId="28" xfId="1" applyNumberFormat="1" applyFont="1" applyFill="1" applyBorder="1" applyAlignment="1">
      <alignment horizontal="right"/>
    </xf>
    <xf numFmtId="172" fontId="9" fillId="0" borderId="15" xfId="1" applyNumberFormat="1" applyFont="1" applyBorder="1" applyAlignment="1">
      <alignment horizontal="right"/>
    </xf>
    <xf numFmtId="172" fontId="9" fillId="0" borderId="17" xfId="1" applyNumberFormat="1" applyFont="1" applyBorder="1" applyAlignment="1">
      <alignment horizontal="center"/>
    </xf>
    <xf numFmtId="172" fontId="9" fillId="0" borderId="15" xfId="1" applyNumberFormat="1" applyFont="1" applyBorder="1" applyAlignment="1">
      <alignment horizontal="center"/>
    </xf>
    <xf numFmtId="172" fontId="9" fillId="0" borderId="36" xfId="1" applyNumberFormat="1" applyFont="1" applyBorder="1" applyAlignment="1">
      <alignment horizontal="center"/>
    </xf>
    <xf numFmtId="172" fontId="9" fillId="0" borderId="0" xfId="1" applyNumberFormat="1" applyFont="1" applyAlignment="1">
      <alignment horizontal="center"/>
    </xf>
    <xf numFmtId="172" fontId="9" fillId="0" borderId="16" xfId="1" applyNumberFormat="1" applyFont="1" applyBorder="1" applyAlignment="1">
      <alignment horizontal="right"/>
    </xf>
    <xf numFmtId="172" fontId="9" fillId="0" borderId="17" xfId="1" applyNumberFormat="1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/>
    </xf>
    <xf numFmtId="170" fontId="8" fillId="5" borderId="6" xfId="2" applyNumberFormat="1" applyFont="1" applyFill="1" applyBorder="1" applyAlignment="1">
      <alignment horizontal="right"/>
    </xf>
    <xf numFmtId="176" fontId="3" fillId="3" borderId="5" xfId="2" applyNumberFormat="1" applyFont="1" applyFill="1" applyBorder="1"/>
    <xf numFmtId="176" fontId="8" fillId="5" borderId="6" xfId="2" applyNumberFormat="1" applyFont="1" applyFill="1" applyBorder="1" applyAlignment="1">
      <alignment horizontal="right"/>
    </xf>
    <xf numFmtId="176" fontId="8" fillId="0" borderId="0" xfId="2" applyNumberFormat="1" applyFont="1" applyAlignment="1">
      <alignment horizontal="center"/>
    </xf>
    <xf numFmtId="227" fontId="24" fillId="5" borderId="6" xfId="0" applyNumberFormat="1" applyFont="1" applyFill="1" applyBorder="1"/>
    <xf numFmtId="227" fontId="24" fillId="5" borderId="39" xfId="0" applyNumberFormat="1" applyFont="1" applyFill="1" applyBorder="1"/>
    <xf numFmtId="170" fontId="19" fillId="8" borderId="33" xfId="0" applyNumberFormat="1" applyFont="1" applyFill="1" applyBorder="1"/>
    <xf numFmtId="227" fontId="24" fillId="5" borderId="15" xfId="0" applyNumberFormat="1" applyFont="1" applyFill="1" applyBorder="1"/>
    <xf numFmtId="170" fontId="24" fillId="5" borderId="8" xfId="0" applyNumberFormat="1" applyFont="1" applyFill="1" applyBorder="1"/>
    <xf numFmtId="170" fontId="24" fillId="5" borderId="11" xfId="0" applyNumberFormat="1" applyFont="1" applyFill="1" applyBorder="1"/>
    <xf numFmtId="173" fontId="25" fillId="7" borderId="3" xfId="1" applyNumberFormat="1" applyFont="1" applyFill="1" applyBorder="1"/>
    <xf numFmtId="0" fontId="25" fillId="0" borderId="0" xfId="0" applyFont="1" applyAlignment="1">
      <alignment horizontal="center"/>
    </xf>
    <xf numFmtId="0" fontId="25" fillId="0" borderId="0" xfId="0" applyFont="1"/>
    <xf numFmtId="177" fontId="25" fillId="0" borderId="0" xfId="0" applyNumberFormat="1" applyFont="1"/>
    <xf numFmtId="10" fontId="25" fillId="0" borderId="0" xfId="2" applyNumberFormat="1" applyFont="1"/>
    <xf numFmtId="10" fontId="25" fillId="0" borderId="3" xfId="2" applyNumberFormat="1" applyFont="1" applyBorder="1" applyAlignment="1">
      <alignment horizontal="center"/>
    </xf>
    <xf numFmtId="10" fontId="8" fillId="0" borderId="3" xfId="2" applyNumberFormat="1" applyFont="1" applyBorder="1" applyAlignment="1">
      <alignment horizontal="center"/>
    </xf>
    <xf numFmtId="10" fontId="8" fillId="0" borderId="2" xfId="2" applyNumberFormat="1" applyFont="1" applyBorder="1" applyAlignment="1">
      <alignment horizontal="center"/>
    </xf>
    <xf numFmtId="166" fontId="26" fillId="2" borderId="6" xfId="1" applyNumberFormat="1" applyFont="1" applyFill="1" applyBorder="1"/>
    <xf numFmtId="176" fontId="26" fillId="2" borderId="6" xfId="1" applyNumberFormat="1" applyFont="1" applyFill="1" applyBorder="1"/>
    <xf numFmtId="220" fontId="26" fillId="2" borderId="6" xfId="1" applyNumberFormat="1" applyFont="1" applyFill="1" applyBorder="1"/>
    <xf numFmtId="221" fontId="26" fillId="2" borderId="6" xfId="1" applyNumberFormat="1" applyFont="1" applyFill="1" applyBorder="1"/>
    <xf numFmtId="176" fontId="26" fillId="2" borderId="9" xfId="1" applyNumberFormat="1" applyFont="1" applyFill="1" applyBorder="1"/>
    <xf numFmtId="210" fontId="8" fillId="2" borderId="6" xfId="1" applyNumberFormat="1" applyFont="1" applyFill="1" applyBorder="1"/>
    <xf numFmtId="240" fontId="8" fillId="2" borderId="9" xfId="1" applyNumberFormat="1" applyFont="1" applyFill="1" applyBorder="1"/>
    <xf numFmtId="170" fontId="3" fillId="5" borderId="38" xfId="0" applyNumberFormat="1" applyFont="1" applyFill="1" applyBorder="1"/>
    <xf numFmtId="227" fontId="24" fillId="5" borderId="8" xfId="0" applyNumberFormat="1" applyFont="1" applyFill="1" applyBorder="1"/>
    <xf numFmtId="227" fontId="24" fillId="5" borderId="17" xfId="0" applyNumberFormat="1" applyFont="1" applyFill="1" applyBorder="1"/>
    <xf numFmtId="176" fontId="23" fillId="0" borderId="0" xfId="0" applyNumberFormat="1" applyFont="1"/>
    <xf numFmtId="173" fontId="8" fillId="5" borderId="19" xfId="1" applyNumberFormat="1" applyFont="1" applyFill="1" applyBorder="1" applyAlignment="1">
      <alignment horizontal="center"/>
    </xf>
    <xf numFmtId="173" fontId="20" fillId="0" borderId="0" xfId="1" quotePrefix="1" applyNumberFormat="1" applyFont="1" applyAlignment="1">
      <alignment horizontal="center"/>
    </xf>
    <xf numFmtId="173" fontId="20" fillId="0" borderId="0" xfId="1" applyNumberFormat="1" applyFont="1" applyAlignment="1">
      <alignment horizontal="center"/>
    </xf>
    <xf numFmtId="173" fontId="20" fillId="5" borderId="7" xfId="1" applyNumberFormat="1" applyFont="1" applyFill="1" applyBorder="1"/>
    <xf numFmtId="173" fontId="20" fillId="5" borderId="7" xfId="1" applyNumberFormat="1" applyFont="1" applyFill="1" applyBorder="1" applyAlignment="1">
      <alignment horizontal="center"/>
    </xf>
    <xf numFmtId="173" fontId="20" fillId="5" borderId="10" xfId="1" applyNumberFormat="1" applyFont="1" applyFill="1" applyBorder="1"/>
    <xf numFmtId="173" fontId="20" fillId="5" borderId="16" xfId="1" applyNumberFormat="1" applyFont="1" applyFill="1" applyBorder="1"/>
    <xf numFmtId="173" fontId="20" fillId="0" borderId="0" xfId="1" applyNumberFormat="1" applyFont="1"/>
    <xf numFmtId="175" fontId="20" fillId="0" borderId="0" xfId="2" applyNumberFormat="1" applyFont="1"/>
    <xf numFmtId="176" fontId="8" fillId="0" borderId="53" xfId="0" applyNumberFormat="1" applyFont="1" applyBorder="1"/>
    <xf numFmtId="170" fontId="23" fillId="5" borderId="8" xfId="0" applyNumberFormat="1" applyFont="1" applyFill="1" applyBorder="1" applyAlignment="1">
      <alignment horizontal="right"/>
    </xf>
    <xf numFmtId="170" fontId="23" fillId="5" borderId="17" xfId="0" applyNumberFormat="1" applyFont="1" applyFill="1" applyBorder="1" applyAlignment="1">
      <alignment horizontal="right"/>
    </xf>
    <xf numFmtId="241" fontId="8" fillId="2" borderId="18" xfId="0" applyNumberFormat="1" applyFont="1" applyFill="1" applyBorder="1"/>
    <xf numFmtId="241" fontId="8" fillId="2" borderId="34" xfId="0" applyNumberFormat="1" applyFont="1" applyFill="1" applyBorder="1"/>
    <xf numFmtId="241" fontId="8" fillId="2" borderId="36" xfId="0" applyNumberFormat="1" applyFont="1" applyFill="1" applyBorder="1"/>
    <xf numFmtId="241" fontId="8" fillId="2" borderId="25" xfId="0" applyNumberFormat="1" applyFont="1" applyFill="1" applyBorder="1"/>
    <xf numFmtId="241" fontId="8" fillId="2" borderId="0" xfId="0" applyNumberFormat="1" applyFont="1" applyFill="1"/>
    <xf numFmtId="173" fontId="12" fillId="0" borderId="0" xfId="1" applyNumberFormat="1" applyFont="1"/>
    <xf numFmtId="173" fontId="8" fillId="7" borderId="53" xfId="1" applyNumberFormat="1" applyFont="1" applyFill="1" applyBorder="1"/>
    <xf numFmtId="170" fontId="23" fillId="5" borderId="15" xfId="0" applyNumberFormat="1" applyFont="1" applyFill="1" applyBorder="1"/>
    <xf numFmtId="173" fontId="8" fillId="0" borderId="5" xfId="1" applyNumberFormat="1" applyFont="1" applyBorder="1" applyAlignment="1">
      <alignment horizontal="center"/>
    </xf>
    <xf numFmtId="173" fontId="8" fillId="0" borderId="50" xfId="1" applyNumberFormat="1" applyFont="1" applyBorder="1" applyAlignment="1">
      <alignment horizontal="center"/>
    </xf>
    <xf numFmtId="191" fontId="9" fillId="0" borderId="29" xfId="0" applyNumberFormat="1" applyFont="1" applyBorder="1"/>
    <xf numFmtId="227" fontId="8" fillId="0" borderId="0" xfId="0" applyNumberFormat="1" applyFont="1"/>
    <xf numFmtId="172" fontId="4" fillId="0" borderId="0" xfId="1" applyNumberFormat="1" applyFont="1" applyAlignment="1">
      <alignment horizontal="center"/>
    </xf>
    <xf numFmtId="172" fontId="3" fillId="2" borderId="0" xfId="1" applyNumberFormat="1" applyFont="1" applyFill="1" applyBorder="1"/>
    <xf numFmtId="172" fontId="3" fillId="2" borderId="1" xfId="1" applyNumberFormat="1" applyFont="1" applyFill="1" applyBorder="1"/>
    <xf numFmtId="172" fontId="8" fillId="2" borderId="0" xfId="1" applyNumberFormat="1" applyFont="1" applyFill="1" applyBorder="1"/>
    <xf numFmtId="172" fontId="8" fillId="2" borderId="0" xfId="1" applyNumberFormat="1" applyFont="1" applyFill="1"/>
    <xf numFmtId="172" fontId="8" fillId="2" borderId="18" xfId="1" applyNumberFormat="1" applyFont="1" applyFill="1" applyBorder="1"/>
    <xf numFmtId="172" fontId="3" fillId="2" borderId="0" xfId="1" applyNumberFormat="1" applyFont="1" applyFill="1"/>
    <xf numFmtId="206" fontId="3" fillId="2" borderId="6" xfId="1" applyNumberFormat="1" applyFont="1" applyFill="1" applyBorder="1"/>
    <xf numFmtId="172" fontId="8" fillId="0" borderId="0" xfId="0" applyNumberFormat="1" applyFont="1" applyAlignment="1">
      <alignment horizontal="center"/>
    </xf>
    <xf numFmtId="172" fontId="8" fillId="7" borderId="4" xfId="0" applyNumberFormat="1" applyFont="1" applyFill="1" applyBorder="1"/>
    <xf numFmtId="172" fontId="8" fillId="0" borderId="0" xfId="2" applyNumberFormat="1" applyFont="1"/>
    <xf numFmtId="172" fontId="9" fillId="3" borderId="33" xfId="1" applyNumberFormat="1" applyFont="1" applyFill="1" applyBorder="1" applyAlignment="1">
      <alignment horizontal="right"/>
    </xf>
    <xf numFmtId="170" fontId="23" fillId="5" borderId="11" xfId="0" applyNumberFormat="1" applyFont="1" applyFill="1" applyBorder="1" applyAlignment="1">
      <alignment horizontal="right"/>
    </xf>
    <xf numFmtId="170" fontId="4" fillId="5" borderId="8" xfId="0" applyNumberFormat="1" applyFont="1" applyFill="1" applyBorder="1" applyAlignment="1">
      <alignment horizontal="left"/>
    </xf>
    <xf numFmtId="170" fontId="4" fillId="5" borderId="8" xfId="0" applyNumberFormat="1" applyFont="1" applyFill="1" applyBorder="1"/>
    <xf numFmtId="174" fontId="3" fillId="10" borderId="8" xfId="0" applyNumberFormat="1" applyFont="1" applyFill="1" applyBorder="1"/>
    <xf numFmtId="174" fontId="3" fillId="10" borderId="8" xfId="0" applyNumberFormat="1" applyFont="1" applyFill="1" applyBorder="1" applyAlignment="1">
      <alignment horizontal="center"/>
    </xf>
    <xf numFmtId="174" fontId="3" fillId="10" borderId="11" xfId="0" applyNumberFormat="1" applyFont="1" applyFill="1" applyBorder="1"/>
    <xf numFmtId="174" fontId="3" fillId="10" borderId="38" xfId="0" applyNumberFormat="1" applyFont="1" applyFill="1" applyBorder="1"/>
    <xf numFmtId="174" fontId="3" fillId="10" borderId="17" xfId="0" applyNumberFormat="1" applyFont="1" applyFill="1" applyBorder="1"/>
    <xf numFmtId="9" fontId="8" fillId="7" borderId="0" xfId="2" applyFont="1" applyFill="1" applyBorder="1"/>
    <xf numFmtId="9" fontId="8" fillId="7" borderId="1" xfId="2" applyFont="1" applyFill="1" applyBorder="1"/>
    <xf numFmtId="0" fontId="8" fillId="8" borderId="0" xfId="0" applyFont="1" applyFill="1" applyBorder="1"/>
    <xf numFmtId="173" fontId="8" fillId="8" borderId="0" xfId="0" applyNumberFormat="1" applyFont="1" applyFill="1" applyBorder="1"/>
    <xf numFmtId="184" fontId="8" fillId="0" borderId="0" xfId="0" applyNumberFormat="1" applyFont="1" applyBorder="1" applyAlignment="1">
      <alignment horizontal="center"/>
    </xf>
    <xf numFmtId="185" fontId="8" fillId="0" borderId="0" xfId="0" applyNumberFormat="1" applyFont="1" applyBorder="1" applyAlignment="1">
      <alignment horizontal="center"/>
    </xf>
    <xf numFmtId="231" fontId="8" fillId="0" borderId="0" xfId="0" applyNumberFormat="1" applyFont="1" applyBorder="1"/>
    <xf numFmtId="228" fontId="8" fillId="0" borderId="0" xfId="0" applyNumberFormat="1" applyFont="1" applyBorder="1"/>
    <xf numFmtId="228" fontId="8" fillId="0" borderId="3" xfId="0" applyNumberFormat="1" applyFont="1" applyBorder="1"/>
    <xf numFmtId="228" fontId="8" fillId="0" borderId="1" xfId="0" applyNumberFormat="1" applyFont="1" applyBorder="1"/>
    <xf numFmtId="228" fontId="8" fillId="0" borderId="2" xfId="0" applyNumberFormat="1" applyFont="1" applyBorder="1"/>
    <xf numFmtId="228" fontId="12" fillId="0" borderId="29" xfId="0" applyNumberFormat="1" applyFont="1" applyBorder="1"/>
    <xf numFmtId="228" fontId="12" fillId="0" borderId="30" xfId="0" applyNumberFormat="1" applyFont="1" applyBorder="1"/>
    <xf numFmtId="228" fontId="8" fillId="0" borderId="1" xfId="0" applyNumberFormat="1" applyFont="1" applyBorder="1" applyAlignment="1">
      <alignment horizontal="center"/>
    </xf>
    <xf numFmtId="174" fontId="8" fillId="5" borderId="8" xfId="1" applyNumberFormat="1" applyFont="1" applyFill="1" applyBorder="1"/>
    <xf numFmtId="174" fontId="8" fillId="5" borderId="11" xfId="1" applyNumberFormat="1" applyFont="1" applyFill="1" applyBorder="1"/>
    <xf numFmtId="174" fontId="8" fillId="5" borderId="17" xfId="1" applyNumberFormat="1" applyFont="1" applyFill="1" applyBorder="1"/>
    <xf numFmtId="174" fontId="8" fillId="2" borderId="0" xfId="2" applyNumberFormat="1" applyFont="1" applyFill="1" applyAlignment="1">
      <alignment horizontal="center"/>
    </xf>
    <xf numFmtId="170" fontId="8" fillId="2" borderId="0" xfId="2" applyNumberFormat="1" applyFont="1" applyFill="1" applyAlignment="1">
      <alignment horizontal="center"/>
    </xf>
    <xf numFmtId="174" fontId="8" fillId="2" borderId="0" xfId="2" applyNumberFormat="1" applyFont="1" applyFill="1" applyBorder="1" applyAlignment="1">
      <alignment horizontal="center"/>
    </xf>
    <xf numFmtId="170" fontId="3" fillId="0" borderId="12" xfId="0" applyNumberFormat="1" applyFont="1" applyBorder="1"/>
    <xf numFmtId="180" fontId="8" fillId="2" borderId="7" xfId="2" applyNumberFormat="1" applyFont="1" applyFill="1" applyBorder="1"/>
    <xf numFmtId="180" fontId="3" fillId="2" borderId="7" xfId="0" applyNumberFormat="1" applyFont="1" applyFill="1" applyBorder="1" applyAlignment="1">
      <alignment horizontal="right"/>
    </xf>
    <xf numFmtId="172" fontId="3" fillId="2" borderId="7" xfId="1" applyNumberFormat="1" applyFont="1" applyFill="1" applyBorder="1"/>
    <xf numFmtId="172" fontId="8" fillId="2" borderId="7" xfId="1" applyNumberFormat="1" applyFont="1" applyFill="1" applyBorder="1"/>
    <xf numFmtId="175" fontId="8" fillId="2" borderId="8" xfId="2" applyNumberFormat="1" applyFont="1" applyFill="1" applyBorder="1"/>
    <xf numFmtId="180" fontId="8" fillId="0" borderId="7" xfId="2" applyNumberFormat="1" applyFont="1" applyBorder="1"/>
    <xf numFmtId="172" fontId="3" fillId="0" borderId="7" xfId="1" applyNumberFormat="1" applyFont="1" applyBorder="1"/>
    <xf numFmtId="172" fontId="8" fillId="0" borderId="7" xfId="1" applyNumberFormat="1" applyFont="1" applyBorder="1"/>
    <xf numFmtId="180" fontId="3" fillId="0" borderId="7" xfId="0" applyNumberFormat="1" applyFont="1" applyBorder="1"/>
    <xf numFmtId="9" fontId="8" fillId="0" borderId="8" xfId="2" applyFont="1" applyBorder="1"/>
    <xf numFmtId="170" fontId="3" fillId="0" borderId="39" xfId="0" applyNumberFormat="1" applyFont="1" applyBorder="1"/>
    <xf numFmtId="180" fontId="8" fillId="0" borderId="16" xfId="2" applyNumberFormat="1" applyFont="1" applyBorder="1"/>
    <xf numFmtId="180" fontId="3" fillId="0" borderId="16" xfId="0" applyNumberFormat="1" applyFont="1" applyBorder="1" applyAlignment="1">
      <alignment horizontal="right"/>
    </xf>
    <xf numFmtId="172" fontId="3" fillId="0" borderId="16" xfId="1" applyNumberFormat="1" applyFont="1" applyBorder="1"/>
    <xf numFmtId="172" fontId="8" fillId="0" borderId="16" xfId="1" applyNumberFormat="1" applyFont="1" applyBorder="1"/>
    <xf numFmtId="9" fontId="8" fillId="0" borderId="17" xfId="2" applyFont="1" applyBorder="1"/>
    <xf numFmtId="170" fontId="3" fillId="10" borderId="55" xfId="0" applyNumberFormat="1" applyFont="1" applyFill="1" applyBorder="1"/>
    <xf numFmtId="180" fontId="8" fillId="10" borderId="56" xfId="2" applyNumberFormat="1" applyFont="1" applyFill="1" applyBorder="1"/>
    <xf numFmtId="180" fontId="3" fillId="10" borderId="56" xfId="0" applyNumberFormat="1" applyFont="1" applyFill="1" applyBorder="1" applyAlignment="1">
      <alignment horizontal="right"/>
    </xf>
    <xf numFmtId="172" fontId="3" fillId="10" borderId="56" xfId="1" applyNumberFormat="1" applyFont="1" applyFill="1" applyBorder="1"/>
    <xf numFmtId="172" fontId="8" fillId="10" borderId="56" xfId="1" applyNumberFormat="1" applyFont="1" applyFill="1" applyBorder="1"/>
    <xf numFmtId="175" fontId="8" fillId="10" borderId="44" xfId="2" applyNumberFormat="1" applyFont="1" applyFill="1" applyBorder="1"/>
    <xf numFmtId="170" fontId="3" fillId="10" borderId="12" xfId="0" applyNumberFormat="1" applyFont="1" applyFill="1" applyBorder="1"/>
    <xf numFmtId="180" fontId="8" fillId="10" borderId="7" xfId="2" applyNumberFormat="1" applyFont="1" applyFill="1" applyBorder="1"/>
    <xf numFmtId="180" fontId="3" fillId="10" borderId="7" xfId="0" applyNumberFormat="1" applyFont="1" applyFill="1" applyBorder="1" applyAlignment="1">
      <alignment horizontal="right"/>
    </xf>
    <xf numFmtId="172" fontId="3" fillId="10" borderId="7" xfId="1" applyNumberFormat="1" applyFont="1" applyFill="1" applyBorder="1"/>
    <xf numFmtId="172" fontId="8" fillId="10" borderId="7" xfId="1" applyNumberFormat="1" applyFont="1" applyFill="1" applyBorder="1"/>
    <xf numFmtId="175" fontId="8" fillId="10" borderId="8" xfId="2" applyNumberFormat="1" applyFont="1" applyFill="1" applyBorder="1"/>
    <xf numFmtId="170" fontId="3" fillId="10" borderId="39" xfId="0" applyNumberFormat="1" applyFont="1" applyFill="1" applyBorder="1"/>
    <xf numFmtId="180" fontId="8" fillId="10" borderId="16" xfId="2" applyNumberFormat="1" applyFont="1" applyFill="1" applyBorder="1"/>
    <xf numFmtId="180" fontId="3" fillId="10" borderId="16" xfId="0" applyNumberFormat="1" applyFont="1" applyFill="1" applyBorder="1"/>
    <xf numFmtId="172" fontId="3" fillId="10" borderId="16" xfId="1" applyNumberFormat="1" applyFont="1" applyFill="1" applyBorder="1"/>
    <xf numFmtId="172" fontId="8" fillId="10" borderId="16" xfId="1" applyNumberFormat="1" applyFont="1" applyFill="1" applyBorder="1"/>
    <xf numFmtId="175" fontId="8" fillId="10" borderId="17" xfId="2" applyNumberFormat="1" applyFont="1" applyFill="1" applyBorder="1"/>
    <xf numFmtId="174" fontId="8" fillId="10" borderId="56" xfId="2" applyNumberFormat="1" applyFont="1" applyFill="1" applyBorder="1"/>
    <xf numFmtId="174" fontId="3" fillId="10" borderId="56" xfId="0" applyNumberFormat="1" applyFont="1" applyFill="1" applyBorder="1" applyAlignment="1">
      <alignment horizontal="right"/>
    </xf>
    <xf numFmtId="174" fontId="8" fillId="2" borderId="7" xfId="2" applyNumberFormat="1" applyFont="1" applyFill="1" applyBorder="1"/>
    <xf numFmtId="174" fontId="3" fillId="2" borderId="7" xfId="0" applyNumberFormat="1" applyFont="1" applyFill="1" applyBorder="1" applyAlignment="1">
      <alignment horizontal="right"/>
    </xf>
    <xf numFmtId="174" fontId="8" fillId="10" borderId="7" xfId="2" applyNumberFormat="1" applyFont="1" applyFill="1" applyBorder="1"/>
    <xf numFmtId="174" fontId="3" fillId="10" borderId="7" xfId="0" applyNumberFormat="1" applyFont="1" applyFill="1" applyBorder="1" applyAlignment="1">
      <alignment horizontal="right"/>
    </xf>
    <xf numFmtId="174" fontId="8" fillId="0" borderId="7" xfId="2" applyNumberFormat="1" applyFont="1" applyBorder="1"/>
    <xf numFmtId="174" fontId="3" fillId="0" borderId="7" xfId="0" applyNumberFormat="1" applyFont="1" applyBorder="1"/>
    <xf numFmtId="174" fontId="8" fillId="10" borderId="16" xfId="2" applyNumberFormat="1" applyFont="1" applyFill="1" applyBorder="1"/>
    <xf numFmtId="174" fontId="3" fillId="10" borderId="16" xfId="0" applyNumberFormat="1" applyFont="1" applyFill="1" applyBorder="1"/>
    <xf numFmtId="174" fontId="8" fillId="0" borderId="16" xfId="2" applyNumberFormat="1" applyFont="1" applyBorder="1"/>
    <xf numFmtId="174" fontId="3" fillId="0" borderId="16" xfId="0" applyNumberFormat="1" applyFont="1" applyBorder="1" applyAlignment="1">
      <alignment horizontal="right"/>
    </xf>
    <xf numFmtId="242" fontId="3" fillId="0" borderId="0" xfId="0" applyNumberFormat="1" applyFont="1"/>
    <xf numFmtId="202" fontId="3" fillId="2" borderId="6" xfId="1" applyNumberFormat="1" applyFont="1" applyFill="1" applyBorder="1"/>
    <xf numFmtId="175" fontId="3" fillId="0" borderId="0" xfId="2" applyNumberFormat="1" applyFont="1" applyAlignment="1">
      <alignment horizontal="right"/>
    </xf>
    <xf numFmtId="175" fontId="8" fillId="0" borderId="0" xfId="2" applyNumberFormat="1" applyFont="1" applyAlignment="1">
      <alignment horizontal="right"/>
    </xf>
    <xf numFmtId="0" fontId="8" fillId="0" borderId="0" xfId="0" quotePrefix="1" applyFont="1"/>
    <xf numFmtId="170" fontId="8" fillId="5" borderId="3" xfId="1" applyNumberFormat="1" applyFont="1" applyFill="1" applyBorder="1" applyAlignment="1">
      <alignment horizontal="right"/>
    </xf>
    <xf numFmtId="170" fontId="8" fillId="9" borderId="6" xfId="1" applyNumberFormat="1" applyFont="1" applyFill="1" applyBorder="1" applyAlignment="1">
      <alignment horizontal="right"/>
    </xf>
    <xf numFmtId="170" fontId="8" fillId="9" borderId="7" xfId="1" applyNumberFormat="1" applyFont="1" applyFill="1" applyBorder="1" applyAlignment="1">
      <alignment horizontal="right"/>
    </xf>
    <xf numFmtId="170" fontId="8" fillId="9" borderId="8" xfId="1" applyNumberFormat="1" applyFont="1" applyFill="1" applyBorder="1" applyAlignment="1">
      <alignment horizontal="right"/>
    </xf>
    <xf numFmtId="170" fontId="8" fillId="6" borderId="6" xfId="1" applyNumberFormat="1" applyFont="1" applyFill="1" applyBorder="1" applyAlignment="1">
      <alignment horizontal="right"/>
    </xf>
    <xf numFmtId="170" fontId="8" fillId="6" borderId="7" xfId="1" applyNumberFormat="1" applyFont="1" applyFill="1" applyBorder="1" applyAlignment="1">
      <alignment horizontal="right"/>
    </xf>
    <xf numFmtId="170" fontId="8" fillId="6" borderId="8" xfId="1" applyNumberFormat="1" applyFont="1" applyFill="1" applyBorder="1" applyAlignment="1">
      <alignment horizontal="right"/>
    </xf>
    <xf numFmtId="170" fontId="8" fillId="5" borderId="8" xfId="1" applyNumberFormat="1" applyFont="1" applyFill="1" applyBorder="1" applyAlignment="1">
      <alignment horizontal="right"/>
    </xf>
    <xf numFmtId="177" fontId="8" fillId="5" borderId="7" xfId="2" applyNumberFormat="1" applyFont="1" applyFill="1" applyBorder="1" applyAlignment="1">
      <alignment horizontal="right"/>
    </xf>
    <xf numFmtId="177" fontId="8" fillId="5" borderId="8" xfId="2" applyNumberFormat="1" applyFont="1" applyFill="1" applyBorder="1" applyAlignment="1">
      <alignment horizontal="right"/>
    </xf>
    <xf numFmtId="177" fontId="8" fillId="6" borderId="6" xfId="2" applyNumberFormat="1" applyFont="1" applyFill="1" applyBorder="1" applyAlignment="1">
      <alignment horizontal="right"/>
    </xf>
    <xf numFmtId="177" fontId="8" fillId="6" borderId="7" xfId="2" applyNumberFormat="1" applyFont="1" applyFill="1" applyBorder="1" applyAlignment="1">
      <alignment horizontal="right"/>
    </xf>
    <xf numFmtId="177" fontId="8" fillId="6" borderId="8" xfId="2" applyNumberFormat="1" applyFont="1" applyFill="1" applyBorder="1" applyAlignment="1">
      <alignment horizontal="right"/>
    </xf>
    <xf numFmtId="177" fontId="8" fillId="0" borderId="0" xfId="2" applyNumberFormat="1" applyFont="1" applyAlignment="1">
      <alignment horizontal="center"/>
    </xf>
    <xf numFmtId="170" fontId="8" fillId="5" borderId="7" xfId="2" applyNumberFormat="1" applyFont="1" applyFill="1" applyBorder="1" applyAlignment="1">
      <alignment horizontal="right"/>
    </xf>
    <xf numFmtId="173" fontId="8" fillId="5" borderId="8" xfId="1" applyNumberFormat="1" applyFont="1" applyFill="1" applyBorder="1" applyAlignment="1">
      <alignment horizontal="center"/>
    </xf>
    <xf numFmtId="167" fontId="3" fillId="0" borderId="0" xfId="1" applyNumberFormat="1" applyFont="1" applyAlignment="1">
      <alignment horizontal="center"/>
    </xf>
    <xf numFmtId="167" fontId="3" fillId="0" borderId="8" xfId="1" applyNumberFormat="1" applyFont="1" applyBorder="1"/>
    <xf numFmtId="167" fontId="3" fillId="0" borderId="8" xfId="1" applyNumberFormat="1" applyFont="1" applyBorder="1" applyAlignment="1">
      <alignment horizontal="center"/>
    </xf>
    <xf numFmtId="167" fontId="3" fillId="0" borderId="11" xfId="1" applyNumberFormat="1" applyFont="1" applyBorder="1"/>
    <xf numFmtId="167" fontId="3" fillId="2" borderId="8" xfId="1" applyNumberFormat="1" applyFont="1" applyFill="1" applyBorder="1"/>
    <xf numFmtId="167" fontId="8" fillId="2" borderId="8" xfId="1" applyNumberFormat="1" applyFont="1" applyFill="1" applyBorder="1"/>
    <xf numFmtId="167" fontId="8" fillId="2" borderId="17" xfId="1" applyNumberFormat="1" applyFont="1" applyFill="1" applyBorder="1"/>
    <xf numFmtId="167" fontId="3" fillId="2" borderId="0" xfId="1" applyNumberFormat="1" applyFont="1" applyFill="1"/>
    <xf numFmtId="170" fontId="23" fillId="5" borderId="7" xfId="0" applyNumberFormat="1" applyFont="1" applyFill="1" applyBorder="1"/>
    <xf numFmtId="170" fontId="23" fillId="5" borderId="10" xfId="0" applyNumberFormat="1" applyFont="1" applyFill="1" applyBorder="1"/>
    <xf numFmtId="181" fontId="3" fillId="0" borderId="3" xfId="0" applyNumberFormat="1" applyFont="1" applyBorder="1"/>
    <xf numFmtId="191" fontId="9" fillId="0" borderId="30" xfId="0" applyNumberFormat="1" applyFont="1" applyBorder="1"/>
    <xf numFmtId="181" fontId="3" fillId="0" borderId="30" xfId="0" applyNumberFormat="1" applyFont="1" applyBorder="1"/>
    <xf numFmtId="0" fontId="9" fillId="0" borderId="0" xfId="0" applyFont="1"/>
    <xf numFmtId="181" fontId="9" fillId="0" borderId="30" xfId="0" applyNumberFormat="1" applyFont="1" applyBorder="1"/>
    <xf numFmtId="173" fontId="9" fillId="0" borderId="51" xfId="1" applyNumberFormat="1" applyFont="1" applyBorder="1" applyAlignment="1">
      <alignment horizontal="center"/>
    </xf>
    <xf numFmtId="173" fontId="9" fillId="0" borderId="0" xfId="1" applyNumberFormat="1" applyFont="1" applyBorder="1" applyAlignment="1">
      <alignment horizontal="center"/>
    </xf>
    <xf numFmtId="0" fontId="9" fillId="8" borderId="24" xfId="0" applyFont="1" applyFill="1" applyBorder="1"/>
    <xf numFmtId="173" fontId="9" fillId="8" borderId="14" xfId="0" applyNumberFormat="1" applyFont="1" applyFill="1" applyBorder="1"/>
    <xf numFmtId="183" fontId="3" fillId="0" borderId="3" xfId="0" applyNumberFormat="1" applyFont="1" applyBorder="1"/>
    <xf numFmtId="173" fontId="3" fillId="0" borderId="5" xfId="1" applyNumberFormat="1" applyFont="1" applyBorder="1" applyAlignment="1">
      <alignment horizontal="center"/>
    </xf>
    <xf numFmtId="0" fontId="3" fillId="8" borderId="4" xfId="0" applyFont="1" applyFill="1" applyBorder="1"/>
    <xf numFmtId="9" fontId="3" fillId="8" borderId="3" xfId="2" applyFont="1" applyFill="1" applyBorder="1"/>
    <xf numFmtId="183" fontId="3" fillId="0" borderId="0" xfId="0" applyNumberFormat="1" applyFont="1" applyBorder="1" applyAlignment="1">
      <alignment horizontal="center"/>
    </xf>
    <xf numFmtId="189" fontId="8" fillId="0" borderId="1" xfId="0" applyNumberFormat="1" applyFont="1" applyBorder="1" applyAlignment="1">
      <alignment horizontal="center"/>
    </xf>
    <xf numFmtId="184" fontId="8" fillId="0" borderId="1" xfId="0" applyNumberFormat="1" applyFont="1" applyBorder="1" applyAlignment="1">
      <alignment horizontal="right"/>
    </xf>
    <xf numFmtId="243" fontId="8" fillId="0" borderId="9" xfId="1" applyNumberFormat="1" applyFont="1" applyBorder="1"/>
    <xf numFmtId="189" fontId="8" fillId="0" borderId="0" xfId="0" applyNumberFormat="1" applyFont="1" applyBorder="1" applyAlignment="1">
      <alignment horizontal="center"/>
    </xf>
    <xf numFmtId="181" fontId="3" fillId="0" borderId="0" xfId="0" applyNumberFormat="1" applyFont="1" applyBorder="1"/>
    <xf numFmtId="189" fontId="3" fillId="0" borderId="1" xfId="0" applyNumberFormat="1" applyFont="1" applyBorder="1"/>
    <xf numFmtId="190" fontId="3" fillId="0" borderId="1" xfId="0" applyNumberFormat="1" applyFont="1" applyBorder="1"/>
    <xf numFmtId="215" fontId="3" fillId="0" borderId="0" xfId="0" applyNumberFormat="1" applyFont="1" applyBorder="1"/>
    <xf numFmtId="215" fontId="3" fillId="0" borderId="1" xfId="0" applyNumberFormat="1" applyFont="1" applyBorder="1"/>
    <xf numFmtId="192" fontId="3" fillId="0" borderId="0" xfId="0" applyNumberFormat="1" applyFont="1" applyBorder="1"/>
    <xf numFmtId="230" fontId="3" fillId="0" borderId="1" xfId="0" applyNumberFormat="1" applyFont="1" applyBorder="1"/>
    <xf numFmtId="0" fontId="0" fillId="0" borderId="0" xfId="0" applyFont="1"/>
    <xf numFmtId="185" fontId="12" fillId="0" borderId="3" xfId="0" applyNumberFormat="1" applyFont="1" applyBorder="1"/>
    <xf numFmtId="185" fontId="8" fillId="0" borderId="0" xfId="0" applyNumberFormat="1" applyFont="1" applyBorder="1" applyAlignment="1">
      <alignment horizontal="right"/>
    </xf>
    <xf numFmtId="186" fontId="12" fillId="0" borderId="3" xfId="0" applyNumberFormat="1" applyFont="1" applyBorder="1"/>
    <xf numFmtId="192" fontId="12" fillId="0" borderId="3" xfId="0" applyNumberFormat="1" applyFont="1" applyBorder="1"/>
    <xf numFmtId="188" fontId="12" fillId="0" borderId="3" xfId="0" applyNumberFormat="1" applyFont="1" applyBorder="1"/>
    <xf numFmtId="188" fontId="8" fillId="0" borderId="0" xfId="0" applyNumberFormat="1" applyFont="1" applyBorder="1" applyAlignment="1">
      <alignment horizontal="center"/>
    </xf>
    <xf numFmtId="188" fontId="8" fillId="0" borderId="0" xfId="0" applyNumberFormat="1" applyFont="1" applyBorder="1" applyAlignment="1">
      <alignment horizontal="right"/>
    </xf>
    <xf numFmtId="188" fontId="8" fillId="0" borderId="1" xfId="0" applyNumberFormat="1" applyFont="1" applyBorder="1" applyAlignment="1">
      <alignment horizontal="right"/>
    </xf>
    <xf numFmtId="243" fontId="12" fillId="0" borderId="30" xfId="0" applyNumberFormat="1" applyFont="1" applyBorder="1"/>
    <xf numFmtId="243" fontId="8" fillId="0" borderId="3" xfId="0" applyNumberFormat="1" applyFont="1" applyBorder="1"/>
    <xf numFmtId="243" fontId="8" fillId="0" borderId="2" xfId="0" applyNumberFormat="1" applyFont="1" applyBorder="1"/>
    <xf numFmtId="243" fontId="8" fillId="0" borderId="0" xfId="0" applyNumberFormat="1" applyFont="1" applyBorder="1" applyAlignment="1">
      <alignment horizontal="center"/>
    </xf>
    <xf numFmtId="243" fontId="8" fillId="0" borderId="1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174" fontId="27" fillId="0" borderId="0" xfId="0" applyNumberFormat="1" applyFont="1" applyAlignment="1">
      <alignment horizontal="right"/>
    </xf>
    <xf numFmtId="172" fontId="27" fillId="0" borderId="0" xfId="1" applyNumberFormat="1" applyFont="1"/>
    <xf numFmtId="175" fontId="8" fillId="0" borderId="0" xfId="2" applyNumberFormat="1" applyFont="1" applyAlignment="1">
      <alignment horizontal="center"/>
    </xf>
    <xf numFmtId="175" fontId="17" fillId="0" borderId="0" xfId="2" applyNumberFormat="1" applyFont="1"/>
    <xf numFmtId="175" fontId="0" fillId="0" borderId="0" xfId="2" applyNumberFormat="1" applyFont="1"/>
    <xf numFmtId="175" fontId="27" fillId="0" borderId="0" xfId="2" applyNumberFormat="1" applyFont="1"/>
    <xf numFmtId="9" fontId="17" fillId="0" borderId="1" xfId="2" applyFont="1" applyBorder="1" applyAlignment="1">
      <alignment horizontal="right"/>
    </xf>
    <xf numFmtId="9" fontId="17" fillId="0" borderId="0" xfId="2" applyFont="1" applyAlignment="1">
      <alignment horizontal="right"/>
    </xf>
    <xf numFmtId="9" fontId="4" fillId="0" borderId="0" xfId="2" applyFont="1" applyAlignment="1">
      <alignment horizontal="right"/>
    </xf>
    <xf numFmtId="9" fontId="23" fillId="0" borderId="0" xfId="2" applyFont="1" applyAlignment="1">
      <alignment horizontal="right"/>
    </xf>
    <xf numFmtId="174" fontId="9" fillId="0" borderId="0" xfId="0" applyNumberFormat="1" applyFont="1" applyAlignment="1">
      <alignment horizontal="right"/>
    </xf>
    <xf numFmtId="9" fontId="9" fillId="0" borderId="0" xfId="2" applyFont="1" applyAlignment="1">
      <alignment horizontal="right"/>
    </xf>
    <xf numFmtId="174" fontId="9" fillId="0" borderId="3" xfId="0" applyNumberFormat="1" applyFont="1" applyBorder="1" applyAlignment="1">
      <alignment horizontal="right"/>
    </xf>
    <xf numFmtId="172" fontId="9" fillId="0" borderId="0" xfId="1" applyNumberFormat="1" applyFont="1"/>
    <xf numFmtId="175" fontId="9" fillId="0" borderId="0" xfId="2" applyNumberFormat="1" applyFont="1"/>
    <xf numFmtId="174" fontId="8" fillId="0" borderId="0" xfId="2" applyNumberFormat="1" applyFont="1" applyAlignment="1">
      <alignment horizontal="right"/>
    </xf>
    <xf numFmtId="1" fontId="8" fillId="0" borderId="0" xfId="1" applyNumberFormat="1" applyFont="1" applyAlignment="1">
      <alignment horizontal="right"/>
    </xf>
    <xf numFmtId="174" fontId="12" fillId="0" borderId="49" xfId="0" applyNumberFormat="1" applyFont="1" applyBorder="1" applyAlignment="1">
      <alignment horizontal="right"/>
    </xf>
    <xf numFmtId="186" fontId="12" fillId="0" borderId="49" xfId="0" applyNumberFormat="1" applyFont="1" applyBorder="1" applyAlignment="1">
      <alignment horizontal="right"/>
    </xf>
    <xf numFmtId="186" fontId="8" fillId="0" borderId="0" xfId="0" applyNumberFormat="1" applyFont="1" applyBorder="1" applyAlignment="1">
      <alignment horizontal="right"/>
    </xf>
    <xf numFmtId="186" fontId="8" fillId="0" borderId="1" xfId="0" applyNumberFormat="1" applyFont="1" applyBorder="1" applyAlignment="1">
      <alignment horizontal="right"/>
    </xf>
    <xf numFmtId="229" fontId="12" fillId="0" borderId="49" xfId="0" applyNumberFormat="1" applyFont="1" applyBorder="1" applyAlignment="1">
      <alignment horizontal="right"/>
    </xf>
    <xf numFmtId="229" fontId="8" fillId="0" borderId="1" xfId="0" applyNumberFormat="1" applyFont="1" applyBorder="1" applyAlignment="1">
      <alignment horizontal="right"/>
    </xf>
    <xf numFmtId="191" fontId="8" fillId="0" borderId="0" xfId="0" applyNumberFormat="1" applyFont="1" applyBorder="1" applyAlignment="1">
      <alignment horizontal="right"/>
    </xf>
    <xf numFmtId="191" fontId="8" fillId="0" borderId="1" xfId="0" applyNumberFormat="1" applyFont="1" applyBorder="1" applyAlignment="1">
      <alignment horizontal="right"/>
    </xf>
    <xf numFmtId="215" fontId="12" fillId="0" borderId="49" xfId="0" applyNumberFormat="1" applyFont="1" applyBorder="1" applyAlignment="1">
      <alignment horizontal="right"/>
    </xf>
    <xf numFmtId="174" fontId="8" fillId="0" borderId="0" xfId="1594" applyNumberFormat="1" applyFont="1" applyBorder="1" applyAlignment="1">
      <alignment horizontal="right"/>
    </xf>
    <xf numFmtId="192" fontId="12" fillId="0" borderId="49" xfId="0" applyNumberFormat="1" applyFont="1" applyBorder="1" applyAlignment="1">
      <alignment horizontal="right"/>
    </xf>
    <xf numFmtId="192" fontId="8" fillId="0" borderId="0" xfId="0" applyNumberFormat="1" applyFont="1" applyBorder="1" applyAlignment="1">
      <alignment horizontal="right"/>
    </xf>
    <xf numFmtId="230" fontId="12" fillId="0" borderId="49" xfId="0" applyNumberFormat="1" applyFont="1" applyBorder="1" applyAlignment="1">
      <alignment horizontal="right"/>
    </xf>
    <xf numFmtId="188" fontId="12" fillId="0" borderId="49" xfId="0" applyNumberFormat="1" applyFont="1" applyBorder="1" applyAlignment="1">
      <alignment horizontal="right"/>
    </xf>
    <xf numFmtId="232" fontId="12" fillId="0" borderId="49" xfId="0" applyNumberFormat="1" applyFont="1" applyBorder="1" applyAlignment="1">
      <alignment horizontal="right"/>
    </xf>
    <xf numFmtId="232" fontId="8" fillId="0" borderId="0" xfId="0" applyNumberFormat="1" applyFont="1" applyBorder="1" applyAlignment="1">
      <alignment horizontal="right"/>
    </xf>
    <xf numFmtId="232" fontId="8" fillId="0" borderId="19" xfId="0" applyNumberFormat="1" applyFont="1" applyBorder="1" applyAlignment="1">
      <alignment horizontal="right"/>
    </xf>
    <xf numFmtId="232" fontId="3" fillId="0" borderId="0" xfId="0" applyNumberFormat="1" applyFont="1" applyAlignment="1">
      <alignment horizontal="right"/>
    </xf>
    <xf numFmtId="0" fontId="4" fillId="0" borderId="0" xfId="0" applyFont="1" applyBorder="1"/>
    <xf numFmtId="0" fontId="8" fillId="0" borderId="48" xfId="0" applyFont="1" applyBorder="1"/>
    <xf numFmtId="0" fontId="8" fillId="0" borderId="9" xfId="0" applyFont="1" applyBorder="1"/>
    <xf numFmtId="174" fontId="8" fillId="0" borderId="6" xfId="0" applyNumberFormat="1" applyFont="1" applyBorder="1"/>
    <xf numFmtId="189" fontId="12" fillId="0" borderId="49" xfId="0" applyNumberFormat="1" applyFont="1" applyBorder="1" applyAlignment="1">
      <alignment horizontal="right"/>
    </xf>
    <xf numFmtId="189" fontId="8" fillId="0" borderId="0" xfId="0" applyNumberFormat="1" applyFont="1" applyBorder="1" applyAlignment="1">
      <alignment horizontal="right"/>
    </xf>
    <xf numFmtId="189" fontId="8" fillId="0" borderId="1" xfId="0" applyNumberFormat="1" applyFont="1" applyBorder="1" applyAlignment="1">
      <alignment horizontal="right"/>
    </xf>
    <xf numFmtId="229" fontId="8" fillId="0" borderId="0" xfId="0" applyNumberFormat="1" applyFont="1" applyBorder="1" applyAlignment="1">
      <alignment horizontal="right"/>
    </xf>
    <xf numFmtId="230" fontId="8" fillId="0" borderId="52" xfId="0" applyNumberFormat="1" applyFont="1" applyBorder="1" applyAlignment="1">
      <alignment horizontal="right"/>
    </xf>
    <xf numFmtId="230" fontId="8" fillId="0" borderId="23" xfId="0" applyNumberFormat="1" applyFont="1" applyBorder="1" applyAlignment="1">
      <alignment horizontal="right"/>
    </xf>
    <xf numFmtId="230" fontId="8" fillId="0" borderId="19" xfId="0" applyNumberFormat="1" applyFont="1" applyBorder="1" applyAlignment="1">
      <alignment horizontal="right"/>
    </xf>
    <xf numFmtId="230" fontId="8" fillId="0" borderId="3" xfId="0" applyNumberFormat="1" applyFont="1" applyBorder="1" applyAlignment="1">
      <alignment horizontal="right"/>
    </xf>
    <xf numFmtId="230" fontId="8" fillId="0" borderId="20" xfId="0" applyNumberFormat="1" applyFont="1" applyBorder="1" applyAlignment="1">
      <alignment horizontal="right"/>
    </xf>
    <xf numFmtId="230" fontId="8" fillId="0" borderId="2" xfId="0" applyNumberFormat="1" applyFont="1" applyBorder="1" applyAlignment="1">
      <alignment horizontal="right"/>
    </xf>
    <xf numFmtId="232" fontId="4" fillId="0" borderId="0" xfId="0" applyNumberFormat="1" applyFont="1" applyBorder="1"/>
    <xf numFmtId="174" fontId="8" fillId="0" borderId="20" xfId="0" applyNumberFormat="1" applyFont="1" applyBorder="1" applyAlignment="1">
      <alignment horizontal="center"/>
    </xf>
    <xf numFmtId="170" fontId="19" fillId="5" borderId="35" xfId="0" applyNumberFormat="1" applyFont="1" applyFill="1" applyBorder="1" applyAlignment="1">
      <alignment horizontal="center"/>
    </xf>
    <xf numFmtId="170" fontId="23" fillId="5" borderId="17" xfId="0" applyNumberFormat="1" applyFont="1" applyFill="1" applyBorder="1"/>
    <xf numFmtId="173" fontId="3" fillId="0" borderId="0" xfId="1" applyNumberFormat="1" applyFont="1" applyAlignment="1">
      <alignment horizontal="right"/>
    </xf>
    <xf numFmtId="168" fontId="3" fillId="2" borderId="0" xfId="1" applyNumberFormat="1" applyFont="1" applyFill="1" applyBorder="1" applyAlignment="1">
      <alignment horizontal="left"/>
    </xf>
    <xf numFmtId="173" fontId="3" fillId="0" borderId="0" xfId="1" applyNumberFormat="1" applyFont="1" applyBorder="1"/>
    <xf numFmtId="244" fontId="3" fillId="0" borderId="0" xfId="0" applyNumberFormat="1" applyFont="1"/>
    <xf numFmtId="192" fontId="3" fillId="0" borderId="0" xfId="0" applyNumberFormat="1" applyFont="1" applyAlignment="1">
      <alignment horizontal="center"/>
    </xf>
    <xf numFmtId="180" fontId="3" fillId="0" borderId="0" xfId="0" applyNumberFormat="1" applyFont="1"/>
    <xf numFmtId="245" fontId="3" fillId="5" borderId="6" xfId="0" applyNumberFormat="1" applyFont="1" applyFill="1" applyBorder="1"/>
    <xf numFmtId="226" fontId="3" fillId="5" borderId="6" xfId="0" applyNumberFormat="1" applyFont="1" applyFill="1" applyBorder="1" applyAlignment="1">
      <alignment horizontal="right"/>
    </xf>
    <xf numFmtId="174" fontId="8" fillId="0" borderId="52" xfId="0" applyNumberFormat="1" applyFont="1" applyBorder="1" applyAlignment="1">
      <alignment horizontal="right"/>
    </xf>
    <xf numFmtId="174" fontId="8" fillId="0" borderId="19" xfId="0" applyNumberFormat="1" applyFont="1" applyBorder="1" applyAlignment="1">
      <alignment horizontal="right"/>
    </xf>
    <xf numFmtId="182" fontId="8" fillId="0" borderId="0" xfId="0" applyNumberFormat="1" applyFont="1" applyAlignment="1">
      <alignment horizontal="center"/>
    </xf>
    <xf numFmtId="238" fontId="3" fillId="5" borderId="6" xfId="1" applyNumberFormat="1" applyFont="1" applyFill="1" applyBorder="1" applyAlignment="1">
      <alignment horizontal="right"/>
    </xf>
    <xf numFmtId="238" fontId="3" fillId="2" borderId="6" xfId="1" applyNumberFormat="1" applyFont="1" applyFill="1" applyBorder="1" applyAlignment="1">
      <alignment horizontal="right"/>
    </xf>
    <xf numFmtId="189" fontId="8" fillId="0" borderId="19" xfId="0" applyNumberFormat="1" applyFont="1" applyBorder="1" applyAlignment="1">
      <alignment horizontal="center"/>
    </xf>
    <xf numFmtId="201" fontId="12" fillId="0" borderId="3" xfId="0" applyNumberFormat="1" applyFont="1" applyBorder="1"/>
    <xf numFmtId="190" fontId="4" fillId="0" borderId="0" xfId="0" applyNumberFormat="1" applyFont="1" applyBorder="1"/>
    <xf numFmtId="173" fontId="4" fillId="5" borderId="7" xfId="1" applyNumberFormat="1" applyFont="1" applyFill="1" applyBorder="1"/>
    <xf numFmtId="229" fontId="8" fillId="0" borderId="0" xfId="0" applyNumberFormat="1" applyFont="1" applyBorder="1" applyAlignment="1">
      <alignment horizontal="center"/>
    </xf>
    <xf numFmtId="191" fontId="12" fillId="0" borderId="49" xfId="0" applyNumberFormat="1" applyFont="1" applyBorder="1"/>
    <xf numFmtId="191" fontId="12" fillId="0" borderId="30" xfId="0" applyNumberFormat="1" applyFont="1" applyBorder="1"/>
    <xf numFmtId="191" fontId="12" fillId="0" borderId="3" xfId="0" applyNumberFormat="1" applyFont="1" applyBorder="1"/>
    <xf numFmtId="174" fontId="8" fillId="0" borderId="0" xfId="1594" applyNumberFormat="1" applyFont="1" applyBorder="1" applyAlignment="1">
      <alignment horizontal="center"/>
    </xf>
    <xf numFmtId="174" fontId="8" fillId="0" borderId="1" xfId="1594" applyNumberFormat="1" applyFont="1" applyBorder="1" applyAlignment="1">
      <alignment horizontal="center"/>
    </xf>
    <xf numFmtId="228" fontId="12" fillId="0" borderId="49" xfId="0" applyNumberFormat="1" applyFont="1" applyBorder="1"/>
    <xf numFmtId="228" fontId="8" fillId="0" borderId="0" xfId="0" applyNumberFormat="1" applyFont="1" applyBorder="1" applyAlignment="1">
      <alignment horizontal="center"/>
    </xf>
    <xf numFmtId="228" fontId="8" fillId="0" borderId="20" xfId="0" applyNumberFormat="1" applyFont="1" applyBorder="1" applyAlignment="1">
      <alignment horizontal="center"/>
    </xf>
    <xf numFmtId="0" fontId="3" fillId="2" borderId="21" xfId="0" applyFont="1" applyFill="1" applyBorder="1"/>
    <xf numFmtId="170" fontId="3" fillId="2" borderId="22" xfId="0" applyNumberFormat="1" applyFont="1" applyFill="1" applyBorder="1"/>
    <xf numFmtId="168" fontId="8" fillId="2" borderId="22" xfId="1" applyNumberFormat="1" applyFont="1" applyFill="1" applyBorder="1"/>
    <xf numFmtId="170" fontId="8" fillId="0" borderId="23" xfId="1" applyNumberFormat="1" applyFont="1" applyBorder="1"/>
    <xf numFmtId="0" fontId="3" fillId="2" borderId="4" xfId="0" applyFont="1" applyFill="1" applyBorder="1"/>
    <xf numFmtId="173" fontId="3" fillId="2" borderId="0" xfId="1" applyNumberFormat="1" applyFont="1" applyFill="1" applyBorder="1"/>
    <xf numFmtId="168" fontId="8" fillId="2" borderId="0" xfId="1" applyNumberFormat="1" applyFont="1" applyFill="1" applyBorder="1"/>
    <xf numFmtId="170" fontId="8" fillId="0" borderId="3" xfId="0" applyNumberFormat="1" applyFont="1" applyBorder="1"/>
    <xf numFmtId="0" fontId="3" fillId="0" borderId="4" xfId="0" applyFont="1" applyBorder="1"/>
    <xf numFmtId="168" fontId="8" fillId="0" borderId="0" xfId="1" applyNumberFormat="1" applyFont="1" applyBorder="1"/>
    <xf numFmtId="166" fontId="3" fillId="0" borderId="0" xfId="1" applyFont="1" applyBorder="1"/>
    <xf numFmtId="0" fontId="3" fillId="0" borderId="24" xfId="0" applyFont="1" applyBorder="1"/>
    <xf numFmtId="168" fontId="8" fillId="0" borderId="18" xfId="1" applyNumberFormat="1" applyFont="1" applyBorder="1"/>
    <xf numFmtId="170" fontId="8" fillId="0" borderId="14" xfId="0" applyNumberFormat="1" applyFont="1" applyBorder="1"/>
    <xf numFmtId="0" fontId="3" fillId="2" borderId="0" xfId="0" applyFont="1" applyFill="1" applyBorder="1"/>
    <xf numFmtId="170" fontId="3" fillId="2" borderId="0" xfId="0" applyNumberFormat="1" applyFont="1" applyFill="1" applyBorder="1"/>
    <xf numFmtId="0" fontId="3" fillId="0" borderId="21" xfId="0" applyFont="1" applyBorder="1"/>
    <xf numFmtId="170" fontId="3" fillId="0" borderId="22" xfId="0" applyNumberFormat="1" applyFont="1" applyBorder="1"/>
    <xf numFmtId="168" fontId="8" fillId="0" borderId="22" xfId="1" applyNumberFormat="1" applyFont="1" applyBorder="1"/>
    <xf numFmtId="170" fontId="8" fillId="0" borderId="23" xfId="0" applyNumberFormat="1" applyFont="1" applyBorder="1"/>
    <xf numFmtId="172" fontId="3" fillId="0" borderId="0" xfId="1" applyNumberFormat="1" applyFont="1" applyBorder="1"/>
    <xf numFmtId="213" fontId="3" fillId="0" borderId="0" xfId="0" applyNumberFormat="1" applyFont="1" applyBorder="1"/>
    <xf numFmtId="223" fontId="3" fillId="5" borderId="6" xfId="1" applyNumberFormat="1" applyFont="1" applyFill="1" applyBorder="1"/>
    <xf numFmtId="223" fontId="3" fillId="2" borderId="6" xfId="1" applyNumberFormat="1" applyFont="1" applyFill="1" applyBorder="1"/>
    <xf numFmtId="170" fontId="23" fillId="5" borderId="8" xfId="1" applyNumberFormat="1" applyFont="1" applyFill="1" applyBorder="1"/>
    <xf numFmtId="185" fontId="8" fillId="5" borderId="6" xfId="0" applyNumberFormat="1" applyFont="1" applyFill="1" applyBorder="1"/>
    <xf numFmtId="170" fontId="3" fillId="2" borderId="0" xfId="1" applyNumberFormat="1" applyFont="1" applyFill="1"/>
    <xf numFmtId="170" fontId="8" fillId="2" borderId="0" xfId="1" applyNumberFormat="1" applyFont="1" applyFill="1" applyBorder="1"/>
    <xf numFmtId="170" fontId="8" fillId="2" borderId="0" xfId="0" applyNumberFormat="1" applyFont="1" applyFill="1" applyBorder="1"/>
    <xf numFmtId="170" fontId="8" fillId="2" borderId="1" xfId="0" applyNumberFormat="1" applyFont="1" applyFill="1" applyBorder="1"/>
    <xf numFmtId="170" fontId="8" fillId="2" borderId="0" xfId="1" applyNumberFormat="1" applyFont="1" applyFill="1"/>
    <xf numFmtId="180" fontId="8" fillId="0" borderId="0" xfId="0" applyNumberFormat="1" applyFont="1"/>
    <xf numFmtId="195" fontId="8" fillId="0" borderId="0" xfId="2" applyNumberFormat="1" applyFont="1"/>
    <xf numFmtId="173" fontId="4" fillId="5" borderId="19" xfId="1" applyNumberFormat="1" applyFont="1" applyFill="1" applyBorder="1"/>
    <xf numFmtId="173" fontId="8" fillId="10" borderId="7" xfId="1" applyNumberFormat="1" applyFont="1" applyFill="1" applyBorder="1"/>
    <xf numFmtId="173" fontId="3" fillId="10" borderId="7" xfId="1" applyNumberFormat="1" applyFont="1" applyFill="1" applyBorder="1" applyAlignment="1">
      <alignment horizontal="center"/>
    </xf>
    <xf numFmtId="173" fontId="8" fillId="10" borderId="10" xfId="1" applyNumberFormat="1" applyFont="1" applyFill="1" applyBorder="1"/>
    <xf numFmtId="173" fontId="4" fillId="10" borderId="7" xfId="1" applyNumberFormat="1" applyFont="1" applyFill="1" applyBorder="1"/>
    <xf numFmtId="173" fontId="8" fillId="10" borderId="16" xfId="1" applyNumberFormat="1" applyFont="1" applyFill="1" applyBorder="1"/>
    <xf numFmtId="173" fontId="3" fillId="5" borderId="19" xfId="1" applyNumberFormat="1" applyFont="1" applyFill="1" applyBorder="1" applyAlignment="1">
      <alignment horizontal="center"/>
    </xf>
    <xf numFmtId="173" fontId="8" fillId="10" borderId="12" xfId="1" applyNumberFormat="1" applyFont="1" applyFill="1" applyBorder="1"/>
    <xf numFmtId="173" fontId="3" fillId="10" borderId="12" xfId="1" applyNumberFormat="1" applyFont="1" applyFill="1" applyBorder="1" applyAlignment="1">
      <alignment horizontal="center"/>
    </xf>
    <xf numFmtId="173" fontId="8" fillId="10" borderId="13" xfId="1" applyNumberFormat="1" applyFont="1" applyFill="1" applyBorder="1"/>
    <xf numFmtId="173" fontId="4" fillId="10" borderId="12" xfId="1" applyNumberFormat="1" applyFont="1" applyFill="1" applyBorder="1"/>
    <xf numFmtId="173" fontId="8" fillId="10" borderId="39" xfId="1" applyNumberFormat="1" applyFont="1" applyFill="1" applyBorder="1"/>
    <xf numFmtId="176" fontId="8" fillId="9" borderId="12" xfId="2" applyNumberFormat="1" applyFont="1" applyFill="1" applyBorder="1"/>
    <xf numFmtId="170" fontId="23" fillId="5" borderId="17" xfId="1" applyNumberFormat="1" applyFont="1" applyFill="1" applyBorder="1"/>
    <xf numFmtId="174" fontId="3" fillId="0" borderId="0" xfId="0" applyNumberFormat="1" applyFont="1" applyAlignment="1"/>
    <xf numFmtId="0" fontId="8" fillId="0" borderId="1" xfId="0" applyFont="1" applyFill="1" applyBorder="1"/>
    <xf numFmtId="189" fontId="8" fillId="0" borderId="0" xfId="0" applyNumberFormat="1" applyFont="1" applyAlignment="1">
      <alignment horizontal="center"/>
    </xf>
    <xf numFmtId="201" fontId="8" fillId="0" borderId="0" xfId="0" applyNumberFormat="1" applyFont="1" applyBorder="1" applyAlignment="1">
      <alignment horizontal="right"/>
    </xf>
    <xf numFmtId="187" fontId="3" fillId="0" borderId="0" xfId="0" applyNumberFormat="1" applyFont="1" applyAlignment="1">
      <alignment horizontal="right"/>
    </xf>
    <xf numFmtId="184" fontId="3" fillId="0" borderId="0" xfId="0" applyNumberFormat="1" applyFont="1" applyBorder="1" applyAlignment="1">
      <alignment horizontal="center"/>
    </xf>
    <xf numFmtId="184" fontId="3" fillId="0" borderId="1" xfId="0" applyNumberFormat="1" applyFont="1" applyFill="1" applyBorder="1" applyAlignment="1">
      <alignment horizontal="center"/>
    </xf>
    <xf numFmtId="190" fontId="3" fillId="0" borderId="0" xfId="0" applyNumberFormat="1" applyFont="1" applyBorder="1" applyAlignment="1">
      <alignment horizontal="right"/>
    </xf>
    <xf numFmtId="190" fontId="8" fillId="2" borderId="0" xfId="0" applyNumberFormat="1" applyFont="1" applyFill="1" applyBorder="1" applyAlignment="1">
      <alignment horizontal="right"/>
    </xf>
    <xf numFmtId="190" fontId="8" fillId="2" borderId="0" xfId="0" applyNumberFormat="1" applyFont="1" applyFill="1" applyBorder="1"/>
    <xf numFmtId="190" fontId="8" fillId="2" borderId="3" xfId="0" applyNumberFormat="1" applyFont="1" applyFill="1" applyBorder="1"/>
    <xf numFmtId="0" fontId="17" fillId="2" borderId="0" xfId="0" applyFont="1" applyFill="1"/>
    <xf numFmtId="0" fontId="4" fillId="2" borderId="0" xfId="0" applyFont="1" applyFill="1"/>
    <xf numFmtId="184" fontId="8" fillId="0" borderId="0" xfId="0" applyNumberFormat="1" applyFont="1" applyBorder="1" applyAlignment="1"/>
    <xf numFmtId="184" fontId="3" fillId="0" borderId="0" xfId="0" applyNumberFormat="1" applyFont="1" applyBorder="1" applyAlignment="1"/>
    <xf numFmtId="174" fontId="8" fillId="0" borderId="0" xfId="0" applyNumberFormat="1" applyFont="1" applyBorder="1" applyAlignment="1">
      <alignment horizontal="right"/>
    </xf>
    <xf numFmtId="230" fontId="8" fillId="0" borderId="0" xfId="0" applyNumberFormat="1" applyFont="1" applyBorder="1" applyAlignment="1">
      <alignment horizontal="right"/>
    </xf>
    <xf numFmtId="230" fontId="8" fillId="0" borderId="1" xfId="0" applyNumberFormat="1" applyFont="1" applyBorder="1" applyAlignment="1">
      <alignment horizontal="right"/>
    </xf>
    <xf numFmtId="193" fontId="3" fillId="0" borderId="1" xfId="0" applyNumberFormat="1" applyFont="1" applyBorder="1" applyAlignment="1">
      <alignment horizontal="center"/>
    </xf>
    <xf numFmtId="166" fontId="8" fillId="0" borderId="0" xfId="0" applyNumberFormat="1" applyFont="1"/>
    <xf numFmtId="170" fontId="23" fillId="5" borderId="11" xfId="1" applyNumberFormat="1" applyFont="1" applyFill="1" applyBorder="1"/>
    <xf numFmtId="167" fontId="3" fillId="0" borderId="7" xfId="1" applyNumberFormat="1" applyFont="1" applyBorder="1"/>
    <xf numFmtId="167" fontId="3" fillId="0" borderId="7" xfId="1" applyNumberFormat="1" applyFont="1" applyBorder="1" applyAlignment="1">
      <alignment horizontal="center"/>
    </xf>
    <xf numFmtId="167" fontId="3" fillId="0" borderId="10" xfId="1" applyNumberFormat="1" applyFont="1" applyBorder="1"/>
    <xf numFmtId="167" fontId="3" fillId="0" borderId="16" xfId="1" applyNumberFormat="1" applyFont="1" applyBorder="1"/>
    <xf numFmtId="246" fontId="3" fillId="5" borderId="6" xfId="1" applyNumberFormat="1" applyFont="1" applyFill="1" applyBorder="1"/>
    <xf numFmtId="246" fontId="3" fillId="2" borderId="6" xfId="1" applyNumberFormat="1" applyFont="1" applyFill="1" applyBorder="1"/>
    <xf numFmtId="240" fontId="3" fillId="2" borderId="9" xfId="1" applyNumberFormat="1" applyFont="1" applyFill="1" applyBorder="1"/>
    <xf numFmtId="177" fontId="3" fillId="11" borderId="21" xfId="0" applyNumberFormat="1" applyFont="1" applyFill="1" applyBorder="1"/>
    <xf numFmtId="169" fontId="3" fillId="11" borderId="22" xfId="1" applyNumberFormat="1" applyFont="1" applyFill="1" applyBorder="1"/>
    <xf numFmtId="167" fontId="3" fillId="11" borderId="22" xfId="1" applyNumberFormat="1" applyFont="1" applyFill="1" applyBorder="1"/>
    <xf numFmtId="166" fontId="3" fillId="11" borderId="22" xfId="1" applyNumberFormat="1" applyFont="1" applyFill="1" applyBorder="1"/>
    <xf numFmtId="170" fontId="3" fillId="11" borderId="23" xfId="1" applyNumberFormat="1" applyFont="1" applyFill="1" applyBorder="1"/>
    <xf numFmtId="177" fontId="3" fillId="11" borderId="4" xfId="0" applyNumberFormat="1" applyFont="1" applyFill="1" applyBorder="1"/>
    <xf numFmtId="169" fontId="3" fillId="11" borderId="0" xfId="1" applyNumberFormat="1" applyFont="1" applyFill="1" applyBorder="1"/>
    <xf numFmtId="167" fontId="3" fillId="11" borderId="0" xfId="1" applyNumberFormat="1" applyFont="1" applyFill="1" applyBorder="1"/>
    <xf numFmtId="166" fontId="3" fillId="11" borderId="0" xfId="1" applyNumberFormat="1" applyFont="1" applyFill="1" applyBorder="1"/>
    <xf numFmtId="170" fontId="3" fillId="11" borderId="3" xfId="1" applyNumberFormat="1" applyFont="1" applyFill="1" applyBorder="1"/>
    <xf numFmtId="170" fontId="3" fillId="11" borderId="0" xfId="1" applyNumberFormat="1" applyFont="1" applyFill="1" applyBorder="1"/>
    <xf numFmtId="173" fontId="3" fillId="11" borderId="0" xfId="1" applyNumberFormat="1" applyFont="1" applyFill="1" applyBorder="1"/>
    <xf numFmtId="176" fontId="3" fillId="11" borderId="0" xfId="1" applyNumberFormat="1" applyFont="1" applyFill="1" applyBorder="1"/>
    <xf numFmtId="0" fontId="3" fillId="11" borderId="0" xfId="0" applyFont="1" applyFill="1" applyBorder="1"/>
    <xf numFmtId="166" fontId="3" fillId="11" borderId="0" xfId="0" applyNumberFormat="1" applyFont="1" applyFill="1" applyBorder="1"/>
    <xf numFmtId="170" fontId="3" fillId="11" borderId="3" xfId="0" applyNumberFormat="1" applyFont="1" applyFill="1" applyBorder="1"/>
    <xf numFmtId="174" fontId="3" fillId="11" borderId="0" xfId="1" applyNumberFormat="1" applyFont="1" applyFill="1" applyBorder="1"/>
    <xf numFmtId="177" fontId="3" fillId="11" borderId="24" xfId="0" applyNumberFormat="1" applyFont="1" applyFill="1" applyBorder="1"/>
    <xf numFmtId="169" fontId="3" fillId="11" borderId="18" xfId="1" applyNumberFormat="1" applyFont="1" applyFill="1" applyBorder="1"/>
    <xf numFmtId="176" fontId="3" fillId="11" borderId="18" xfId="1" applyNumberFormat="1" applyFont="1" applyFill="1" applyBorder="1"/>
    <xf numFmtId="166" fontId="3" fillId="11" borderId="18" xfId="1" applyNumberFormat="1" applyFont="1" applyFill="1" applyBorder="1"/>
    <xf numFmtId="170" fontId="3" fillId="11" borderId="14" xfId="1" applyNumberFormat="1" applyFont="1" applyFill="1" applyBorder="1"/>
    <xf numFmtId="177" fontId="14" fillId="0" borderId="0" xfId="0" applyNumberFormat="1" applyFont="1"/>
    <xf numFmtId="167" fontId="14" fillId="0" borderId="0" xfId="0" applyNumberFormat="1" applyFont="1"/>
    <xf numFmtId="166" fontId="14" fillId="0" borderId="0" xfId="0" applyNumberFormat="1" applyFont="1"/>
    <xf numFmtId="172" fontId="14" fillId="0" borderId="0" xfId="0" applyNumberFormat="1" applyFont="1"/>
    <xf numFmtId="173" fontId="14" fillId="0" borderId="0" xfId="0" applyNumberFormat="1" applyFont="1"/>
    <xf numFmtId="169" fontId="14" fillId="0" borderId="0" xfId="0" applyNumberFormat="1" applyFont="1"/>
    <xf numFmtId="247" fontId="3" fillId="2" borderId="6" xfId="0" applyNumberFormat="1" applyFont="1" applyFill="1" applyBorder="1"/>
    <xf numFmtId="248" fontId="8" fillId="5" borderId="6" xfId="1" applyNumberFormat="1" applyFont="1" applyFill="1" applyBorder="1"/>
    <xf numFmtId="199" fontId="3" fillId="5" borderId="6" xfId="1" applyNumberFormat="1" applyFont="1" applyFill="1" applyBorder="1"/>
    <xf numFmtId="183" fontId="3" fillId="5" borderId="6" xfId="1" applyNumberFormat="1" applyFont="1" applyFill="1" applyBorder="1"/>
    <xf numFmtId="249" fontId="8" fillId="5" borderId="6" xfId="1" applyNumberFormat="1" applyFont="1" applyFill="1" applyBorder="1"/>
    <xf numFmtId="201" fontId="3" fillId="5" borderId="6" xfId="1" applyNumberFormat="1" applyFont="1" applyFill="1" applyBorder="1"/>
    <xf numFmtId="184" fontId="8" fillId="2" borderId="6" xfId="1" applyNumberFormat="1" applyFont="1" applyFill="1" applyBorder="1"/>
    <xf numFmtId="207" fontId="3" fillId="5" borderId="9" xfId="1" applyNumberFormat="1" applyFont="1" applyFill="1" applyBorder="1"/>
    <xf numFmtId="250" fontId="3" fillId="0" borderId="0" xfId="0" applyNumberFormat="1" applyFont="1"/>
    <xf numFmtId="0" fontId="12" fillId="0" borderId="0" xfId="0" applyFont="1" applyBorder="1" applyAlignment="1">
      <alignment horizontal="left"/>
    </xf>
    <xf numFmtId="170" fontId="23" fillId="5" borderId="39" xfId="0" applyNumberFormat="1" applyFont="1" applyFill="1" applyBorder="1"/>
    <xf numFmtId="10" fontId="8" fillId="2" borderId="0" xfId="2" applyNumberFormat="1" applyFont="1" applyFill="1" applyBorder="1"/>
    <xf numFmtId="177" fontId="8" fillId="2" borderId="0" xfId="2" applyNumberFormat="1" applyFont="1" applyFill="1" applyBorder="1"/>
    <xf numFmtId="180" fontId="8" fillId="2" borderId="0" xfId="1" applyNumberFormat="1" applyFont="1" applyFill="1" applyBorder="1"/>
    <xf numFmtId="170" fontId="8" fillId="2" borderId="0" xfId="2" applyNumberFormat="1" applyFont="1" applyFill="1" applyBorder="1"/>
    <xf numFmtId="195" fontId="8" fillId="2" borderId="0" xfId="2" applyNumberFormat="1" applyFont="1" applyFill="1" applyBorder="1"/>
    <xf numFmtId="175" fontId="8" fillId="2" borderId="0" xfId="2" applyNumberFormat="1" applyFont="1" applyFill="1" applyBorder="1"/>
    <xf numFmtId="175" fontId="17" fillId="2" borderId="0" xfId="0" applyNumberFormat="1" applyFont="1" applyFill="1" applyBorder="1"/>
    <xf numFmtId="10" fontId="17" fillId="2" borderId="1" xfId="2" applyNumberFormat="1" applyFont="1" applyFill="1" applyBorder="1"/>
    <xf numFmtId="175" fontId="17" fillId="2" borderId="1" xfId="0" applyNumberFormat="1" applyFont="1" applyFill="1" applyBorder="1"/>
    <xf numFmtId="176" fontId="8" fillId="0" borderId="0" xfId="0" applyNumberFormat="1" applyFont="1" applyAlignment="1">
      <alignment horizontal="center"/>
    </xf>
    <xf numFmtId="176" fontId="8" fillId="0" borderId="5" xfId="0" applyNumberFormat="1" applyFont="1" applyBorder="1"/>
    <xf numFmtId="170" fontId="8" fillId="0" borderId="5" xfId="0" applyNumberFormat="1" applyFont="1" applyBorder="1"/>
    <xf numFmtId="176" fontId="8" fillId="0" borderId="50" xfId="0" applyNumberFormat="1" applyFont="1" applyBorder="1"/>
    <xf numFmtId="176" fontId="17" fillId="0" borderId="0" xfId="0" applyNumberFormat="1" applyFont="1"/>
    <xf numFmtId="170" fontId="17" fillId="0" borderId="0" xfId="0" applyNumberFormat="1" applyFont="1"/>
    <xf numFmtId="170" fontId="8" fillId="0" borderId="2" xfId="0" applyNumberFormat="1" applyFont="1" applyBorder="1"/>
    <xf numFmtId="173" fontId="8" fillId="7" borderId="53" xfId="2" applyNumberFormat="1" applyFont="1" applyFill="1" applyBorder="1"/>
    <xf numFmtId="173" fontId="8" fillId="7" borderId="2" xfId="2" applyNumberFormat="1" applyFont="1" applyFill="1" applyBorder="1"/>
    <xf numFmtId="251" fontId="8" fillId="2" borderId="0" xfId="2" applyNumberFormat="1" applyFont="1" applyFill="1" applyBorder="1"/>
    <xf numFmtId="170" fontId="8" fillId="5" borderId="17" xfId="0" applyNumberFormat="1" applyFont="1" applyFill="1" applyBorder="1"/>
    <xf numFmtId="217" fontId="8" fillId="2" borderId="6" xfId="1" applyNumberFormat="1" applyFont="1" applyFill="1" applyBorder="1"/>
    <xf numFmtId="203" fontId="8" fillId="2" borderId="6" xfId="1" applyNumberFormat="1" applyFont="1" applyFill="1" applyBorder="1"/>
    <xf numFmtId="249" fontId="4" fillId="5" borderId="6" xfId="1" applyNumberFormat="1" applyFont="1" applyFill="1" applyBorder="1"/>
    <xf numFmtId="215" fontId="4" fillId="5" borderId="6" xfId="1" applyNumberFormat="1" applyFont="1" applyFill="1" applyBorder="1"/>
    <xf numFmtId="170" fontId="4" fillId="5" borderId="6" xfId="1" applyNumberFormat="1" applyFont="1" applyFill="1" applyBorder="1"/>
    <xf numFmtId="170" fontId="4" fillId="5" borderId="9" xfId="1" applyNumberFormat="1" applyFont="1" applyFill="1" applyBorder="1"/>
    <xf numFmtId="207" fontId="8" fillId="5" borderId="9" xfId="1" applyNumberFormat="1" applyFont="1" applyFill="1" applyBorder="1"/>
    <xf numFmtId="174" fontId="8" fillId="0" borderId="12" xfId="0" applyNumberFormat="1" applyFont="1" applyBorder="1"/>
    <xf numFmtId="174" fontId="8" fillId="0" borderId="7" xfId="0" applyNumberFormat="1" applyFont="1" applyBorder="1"/>
    <xf numFmtId="174" fontId="8" fillId="0" borderId="39" xfId="0" applyNumberFormat="1" applyFont="1" applyBorder="1"/>
    <xf numFmtId="174" fontId="8" fillId="0" borderId="16" xfId="0" applyNumberFormat="1" applyFont="1" applyBorder="1"/>
    <xf numFmtId="174" fontId="8" fillId="0" borderId="54" xfId="0" applyNumberFormat="1" applyFont="1" applyBorder="1"/>
    <xf numFmtId="181" fontId="8" fillId="0" borderId="2" xfId="0" applyNumberFormat="1" applyFont="1" applyBorder="1" applyAlignment="1">
      <alignment horizontal="center"/>
    </xf>
    <xf numFmtId="230" fontId="12" fillId="0" borderId="30" xfId="0" applyNumberFormat="1" applyFont="1" applyBorder="1" applyAlignment="1">
      <alignment horizontal="center"/>
    </xf>
    <xf numFmtId="230" fontId="8" fillId="0" borderId="2" xfId="0" applyNumberFormat="1" applyFont="1" applyBorder="1" applyAlignment="1">
      <alignment horizontal="center"/>
    </xf>
    <xf numFmtId="174" fontId="12" fillId="0" borderId="0" xfId="0" applyNumberFormat="1" applyFont="1" applyBorder="1" applyAlignment="1">
      <alignment horizontal="right"/>
    </xf>
    <xf numFmtId="174" fontId="12" fillId="0" borderId="0" xfId="0" applyNumberFormat="1" applyFont="1" applyBorder="1"/>
    <xf numFmtId="229" fontId="12" fillId="0" borderId="0" xfId="0" applyNumberFormat="1" applyFont="1" applyBorder="1"/>
    <xf numFmtId="222" fontId="12" fillId="0" borderId="0" xfId="0" applyNumberFormat="1" applyFont="1" applyBorder="1"/>
    <xf numFmtId="215" fontId="12" fillId="0" borderId="0" xfId="0" applyNumberFormat="1" applyFont="1" applyBorder="1"/>
    <xf numFmtId="192" fontId="12" fillId="0" borderId="0" xfId="0" applyNumberFormat="1" applyFont="1" applyBorder="1"/>
    <xf numFmtId="230" fontId="12" fillId="0" borderId="0" xfId="0" applyNumberFormat="1" applyFont="1" applyBorder="1"/>
    <xf numFmtId="188" fontId="12" fillId="0" borderId="0" xfId="0" applyNumberFormat="1" applyFont="1" applyBorder="1"/>
    <xf numFmtId="222" fontId="8" fillId="0" borderId="0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187" fontId="12" fillId="0" borderId="2" xfId="0" applyNumberFormat="1" applyFont="1" applyBorder="1" applyAlignment="1">
      <alignment horizontal="right"/>
    </xf>
    <xf numFmtId="184" fontId="12" fillId="0" borderId="30" xfId="0" applyNumberFormat="1" applyFont="1" applyBorder="1" applyAlignment="1">
      <alignment horizontal="right"/>
    </xf>
    <xf numFmtId="190" fontId="12" fillId="2" borderId="57" xfId="0" applyNumberFormat="1" applyFont="1" applyFill="1" applyBorder="1" applyAlignment="1">
      <alignment horizontal="right"/>
    </xf>
    <xf numFmtId="187" fontId="3" fillId="0" borderId="0" xfId="0" applyNumberFormat="1" applyFont="1" applyBorder="1"/>
    <xf numFmtId="188" fontId="3" fillId="0" borderId="0" xfId="0" applyNumberFormat="1" applyFont="1" applyBorder="1"/>
    <xf numFmtId="193" fontId="3" fillId="0" borderId="0" xfId="0" applyNumberFormat="1" applyFont="1" applyBorder="1"/>
    <xf numFmtId="174" fontId="3" fillId="0" borderId="22" xfId="0" applyNumberFormat="1" applyFont="1" applyBorder="1"/>
    <xf numFmtId="230" fontId="12" fillId="0" borderId="30" xfId="0" applyNumberFormat="1" applyFont="1" applyBorder="1" applyAlignment="1">
      <alignment horizontal="right"/>
    </xf>
    <xf numFmtId="177" fontId="3" fillId="0" borderId="0" xfId="0" quotePrefix="1" applyNumberFormat="1" applyFont="1" applyAlignment="1">
      <alignment horizontal="center"/>
    </xf>
    <xf numFmtId="173" fontId="8" fillId="0" borderId="0" xfId="1" applyNumberFormat="1" applyFont="1" applyBorder="1"/>
    <xf numFmtId="194" fontId="9" fillId="3" borderId="5" xfId="0" applyNumberFormat="1" applyFont="1" applyFill="1" applyBorder="1"/>
    <xf numFmtId="194" fontId="9" fillId="5" borderId="6" xfId="0" applyNumberFormat="1" applyFont="1" applyFill="1" applyBorder="1"/>
    <xf numFmtId="194" fontId="9" fillId="5" borderId="7" xfId="0" applyNumberFormat="1" applyFont="1" applyFill="1" applyBorder="1"/>
    <xf numFmtId="194" fontId="9" fillId="5" borderId="8" xfId="0" applyNumberFormat="1" applyFont="1" applyFill="1" applyBorder="1"/>
    <xf numFmtId="194" fontId="8" fillId="3" borderId="5" xfId="0" applyNumberFormat="1" applyFont="1" applyFill="1" applyBorder="1"/>
    <xf numFmtId="194" fontId="8" fillId="5" borderId="8" xfId="0" applyNumberFormat="1" applyFont="1" applyFill="1" applyBorder="1"/>
    <xf numFmtId="194" fontId="9" fillId="6" borderId="6" xfId="0" applyNumberFormat="1" applyFont="1" applyFill="1" applyBorder="1"/>
    <xf numFmtId="194" fontId="9" fillId="6" borderId="7" xfId="0" applyNumberFormat="1" applyFont="1" applyFill="1" applyBorder="1"/>
    <xf numFmtId="194" fontId="9" fillId="6" borderId="8" xfId="0" applyNumberFormat="1" applyFont="1" applyFill="1" applyBorder="1"/>
    <xf numFmtId="174" fontId="8" fillId="0" borderId="53" xfId="0" applyNumberFormat="1" applyFont="1" applyBorder="1" applyAlignment="1">
      <alignment horizontal="center"/>
    </xf>
    <xf numFmtId="174" fontId="8" fillId="0" borderId="18" xfId="0" applyNumberFormat="1" applyFont="1" applyBorder="1"/>
    <xf numFmtId="181" fontId="8" fillId="0" borderId="53" xfId="0" applyNumberFormat="1" applyFont="1" applyBorder="1" applyAlignment="1">
      <alignment horizontal="center"/>
    </xf>
    <xf numFmtId="183" fontId="12" fillId="0" borderId="29" xfId="0" applyNumberFormat="1" applyFont="1" applyBorder="1" applyAlignment="1">
      <alignment horizontal="center"/>
    </xf>
    <xf numFmtId="174" fontId="3" fillId="0" borderId="1" xfId="0" applyNumberFormat="1" applyFont="1" applyBorder="1" applyAlignment="1">
      <alignment horizontal="center"/>
    </xf>
    <xf numFmtId="173" fontId="3" fillId="0" borderId="18" xfId="1" applyNumberFormat="1" applyFont="1" applyBorder="1" applyAlignment="1">
      <alignment horizontal="center"/>
    </xf>
    <xf numFmtId="173" fontId="3" fillId="0" borderId="18" xfId="1" applyNumberFormat="1" applyFont="1" applyBorder="1"/>
    <xf numFmtId="173" fontId="3" fillId="0" borderId="18" xfId="1" applyNumberFormat="1" applyFont="1" applyBorder="1" applyAlignment="1">
      <alignment horizontal="center" vertical="center"/>
    </xf>
    <xf numFmtId="194" fontId="4" fillId="3" borderId="5" xfId="0" applyNumberFormat="1" applyFont="1" applyFill="1" applyBorder="1"/>
    <xf numFmtId="194" fontId="4" fillId="5" borderId="6" xfId="0" applyNumberFormat="1" applyFont="1" applyFill="1" applyBorder="1"/>
    <xf numFmtId="194" fontId="4" fillId="5" borderId="7" xfId="0" applyNumberFormat="1" applyFont="1" applyFill="1" applyBorder="1"/>
    <xf numFmtId="194" fontId="4" fillId="5" borderId="8" xfId="0" applyNumberFormat="1" applyFont="1" applyFill="1" applyBorder="1"/>
    <xf numFmtId="194" fontId="4" fillId="6" borderId="6" xfId="0" applyNumberFormat="1" applyFont="1" applyFill="1" applyBorder="1"/>
    <xf numFmtId="194" fontId="4" fillId="6" borderId="7" xfId="0" applyNumberFormat="1" applyFont="1" applyFill="1" applyBorder="1"/>
    <xf numFmtId="194" fontId="4" fillId="6" borderId="8" xfId="0" applyNumberFormat="1" applyFont="1" applyFill="1" applyBorder="1"/>
    <xf numFmtId="194" fontId="8" fillId="6" borderId="6" xfId="0" applyNumberFormat="1" applyFont="1" applyFill="1" applyBorder="1"/>
    <xf numFmtId="194" fontId="8" fillId="6" borderId="7" xfId="0" applyNumberFormat="1" applyFont="1" applyFill="1" applyBorder="1"/>
    <xf numFmtId="194" fontId="8" fillId="6" borderId="8" xfId="0" applyNumberFormat="1" applyFont="1" applyFill="1" applyBorder="1"/>
    <xf numFmtId="181" fontId="12" fillId="0" borderId="1" xfId="0" applyNumberFormat="1" applyFont="1" applyBorder="1"/>
    <xf numFmtId="215" fontId="8" fillId="0" borderId="1" xfId="0" applyNumberFormat="1" applyFont="1" applyBorder="1" applyAlignment="1">
      <alignment horizontal="center"/>
    </xf>
    <xf numFmtId="229" fontId="8" fillId="0" borderId="53" xfId="0" applyNumberFormat="1" applyFont="1" applyBorder="1" applyAlignment="1">
      <alignment horizontal="center"/>
    </xf>
    <xf numFmtId="174" fontId="12" fillId="0" borderId="51" xfId="0" applyNumberFormat="1" applyFont="1" applyBorder="1" applyAlignment="1">
      <alignment horizontal="right"/>
    </xf>
    <xf numFmtId="174" fontId="8" fillId="0" borderId="50" xfId="0" applyNumberFormat="1" applyFont="1" applyBorder="1"/>
    <xf numFmtId="181" fontId="12" fillId="0" borderId="51" xfId="0" applyNumberFormat="1" applyFont="1" applyBorder="1"/>
    <xf numFmtId="181" fontId="8" fillId="0" borderId="5" xfId="0" applyNumberFormat="1" applyFont="1" applyBorder="1"/>
    <xf numFmtId="181" fontId="8" fillId="0" borderId="50" xfId="0" applyNumberFormat="1" applyFont="1" applyBorder="1"/>
    <xf numFmtId="182" fontId="12" fillId="0" borderId="51" xfId="0" applyNumberFormat="1" applyFont="1" applyBorder="1"/>
    <xf numFmtId="182" fontId="8" fillId="0" borderId="5" xfId="0" applyNumberFormat="1" applyFont="1" applyBorder="1"/>
    <xf numFmtId="183" fontId="12" fillId="0" borderId="51" xfId="0" applyNumberFormat="1" applyFont="1" applyBorder="1"/>
    <xf numFmtId="183" fontId="8" fillId="0" borderId="50" xfId="0" applyNumberFormat="1" applyFont="1" applyBorder="1"/>
    <xf numFmtId="189" fontId="8" fillId="0" borderId="50" xfId="0" applyNumberFormat="1" applyFont="1" applyBorder="1"/>
    <xf numFmtId="201" fontId="12" fillId="0" borderId="51" xfId="0" applyNumberFormat="1" applyFont="1" applyBorder="1"/>
    <xf numFmtId="201" fontId="8" fillId="0" borderId="50" xfId="0" applyNumberFormat="1" applyFont="1" applyBorder="1"/>
    <xf numFmtId="190" fontId="12" fillId="0" borderId="51" xfId="0" applyNumberFormat="1" applyFont="1" applyBorder="1"/>
    <xf numFmtId="190" fontId="8" fillId="0" borderId="50" xfId="0" applyNumberFormat="1" applyFont="1" applyBorder="1"/>
    <xf numFmtId="174" fontId="12" fillId="0" borderId="51" xfId="0" applyNumberFormat="1" applyFont="1" applyBorder="1"/>
    <xf numFmtId="186" fontId="8" fillId="0" borderId="50" xfId="0" applyNumberFormat="1" applyFont="1" applyBorder="1"/>
    <xf numFmtId="229" fontId="12" fillId="0" borderId="51" xfId="0" applyNumberFormat="1" applyFont="1" applyBorder="1"/>
    <xf numFmtId="229" fontId="8" fillId="0" borderId="50" xfId="0" applyNumberFormat="1" applyFont="1" applyBorder="1"/>
    <xf numFmtId="191" fontId="8" fillId="0" borderId="50" xfId="0" applyNumberFormat="1" applyFont="1" applyBorder="1"/>
    <xf numFmtId="215" fontId="12" fillId="0" borderId="51" xfId="0" applyNumberFormat="1" applyFont="1" applyBorder="1"/>
    <xf numFmtId="215" fontId="8" fillId="0" borderId="50" xfId="0" applyNumberFormat="1" applyFont="1" applyBorder="1"/>
    <xf numFmtId="174" fontId="8" fillId="0" borderId="5" xfId="1594" applyNumberFormat="1" applyFont="1" applyBorder="1"/>
    <xf numFmtId="174" fontId="8" fillId="0" borderId="50" xfId="1594" applyNumberFormat="1" applyFont="1" applyBorder="1"/>
    <xf numFmtId="192" fontId="12" fillId="0" borderId="51" xfId="0" applyNumberFormat="1" applyFont="1" applyBorder="1"/>
    <xf numFmtId="192" fontId="8" fillId="0" borderId="50" xfId="0" applyNumberFormat="1" applyFont="1" applyBorder="1"/>
    <xf numFmtId="230" fontId="12" fillId="0" borderId="51" xfId="0" applyNumberFormat="1" applyFont="1" applyBorder="1"/>
    <xf numFmtId="230" fontId="8" fillId="0" borderId="50" xfId="0" applyNumberFormat="1" applyFont="1" applyBorder="1"/>
    <xf numFmtId="188" fontId="12" fillId="0" borderId="51" xfId="0" applyNumberFormat="1" applyFont="1" applyBorder="1"/>
    <xf numFmtId="188" fontId="8" fillId="0" borderId="50" xfId="0" applyNumberFormat="1" applyFont="1" applyBorder="1"/>
    <xf numFmtId="232" fontId="12" fillId="0" borderId="51" xfId="0" applyNumberFormat="1" applyFont="1" applyBorder="1"/>
    <xf numFmtId="232" fontId="8" fillId="0" borderId="50" xfId="0" applyNumberFormat="1" applyFont="1" applyBorder="1"/>
    <xf numFmtId="191" fontId="8" fillId="0" borderId="53" xfId="0" applyNumberFormat="1" applyFont="1" applyBorder="1" applyAlignment="1">
      <alignment horizontal="center"/>
    </xf>
    <xf numFmtId="0" fontId="4" fillId="0" borderId="29" xfId="0" applyFont="1" applyBorder="1"/>
    <xf numFmtId="181" fontId="4" fillId="0" borderId="29" xfId="0" applyNumberFormat="1" applyFont="1" applyBorder="1"/>
    <xf numFmtId="0" fontId="8" fillId="0" borderId="39" xfId="0" applyFont="1" applyBorder="1"/>
    <xf numFmtId="0" fontId="12" fillId="0" borderId="43" xfId="0" applyFont="1" applyBorder="1"/>
    <xf numFmtId="174" fontId="12" fillId="0" borderId="34" xfId="0" applyNumberFormat="1" applyFont="1" applyBorder="1"/>
    <xf numFmtId="174" fontId="12" fillId="0" borderId="36" xfId="0" applyNumberFormat="1" applyFont="1" applyBorder="1"/>
    <xf numFmtId="9" fontId="3" fillId="0" borderId="54" xfId="2" applyFont="1" applyBorder="1"/>
    <xf numFmtId="174" fontId="3" fillId="0" borderId="23" xfId="0" applyNumberFormat="1" applyFont="1" applyBorder="1"/>
    <xf numFmtId="172" fontId="8" fillId="0" borderId="0" xfId="1" applyNumberFormat="1" applyFont="1" applyAlignment="1">
      <alignment horizontal="right"/>
    </xf>
    <xf numFmtId="10" fontId="8" fillId="0" borderId="0" xfId="2" applyNumberFormat="1" applyFont="1" applyAlignment="1">
      <alignment horizontal="right"/>
    </xf>
    <xf numFmtId="173" fontId="8" fillId="2" borderId="0" xfId="1" applyNumberFormat="1" applyFont="1" applyFill="1" applyBorder="1" applyAlignment="1">
      <alignment horizontal="right"/>
    </xf>
    <xf numFmtId="173" fontId="8" fillId="0" borderId="0" xfId="1" applyNumberFormat="1" applyFont="1" applyAlignment="1">
      <alignment horizontal="right"/>
    </xf>
    <xf numFmtId="235" fontId="8" fillId="0" borderId="0" xfId="0" applyNumberFormat="1" applyFont="1" applyAlignment="1">
      <alignment horizontal="right"/>
    </xf>
    <xf numFmtId="172" fontId="8" fillId="0" borderId="0" xfId="2" applyNumberFormat="1" applyFont="1" applyAlignment="1">
      <alignment horizontal="right"/>
    </xf>
    <xf numFmtId="0" fontId="8" fillId="0" borderId="0" xfId="0" applyFont="1" applyAlignment="1">
      <alignment horizontal="right"/>
    </xf>
    <xf numFmtId="172" fontId="8" fillId="2" borderId="0" xfId="1" applyNumberFormat="1" applyFont="1" applyFill="1" applyBorder="1" applyAlignment="1">
      <alignment horizontal="right"/>
    </xf>
    <xf numFmtId="176" fontId="8" fillId="0" borderId="0" xfId="0" applyNumberFormat="1" applyFont="1" applyAlignment="1">
      <alignment horizontal="right"/>
    </xf>
    <xf numFmtId="9" fontId="8" fillId="0" borderId="1" xfId="2" applyFont="1" applyBorder="1" applyAlignment="1">
      <alignment horizontal="right"/>
    </xf>
    <xf numFmtId="176" fontId="8" fillId="7" borderId="0" xfId="0" applyNumberFormat="1" applyFont="1" applyFill="1"/>
    <xf numFmtId="176" fontId="8" fillId="0" borderId="0" xfId="1" applyNumberFormat="1" applyFont="1"/>
    <xf numFmtId="9" fontId="3" fillId="0" borderId="25" xfId="2" applyFont="1" applyBorder="1"/>
    <xf numFmtId="9" fontId="15" fillId="0" borderId="0" xfId="2" applyFont="1"/>
    <xf numFmtId="9" fontId="3" fillId="0" borderId="31" xfId="2" applyFont="1" applyBorder="1"/>
    <xf numFmtId="9" fontId="3" fillId="0" borderId="26" xfId="2" applyFont="1" applyBorder="1"/>
    <xf numFmtId="173" fontId="3" fillId="2" borderId="0" xfId="1" applyNumberFormat="1" applyFont="1" applyFill="1"/>
    <xf numFmtId="170" fontId="3" fillId="2" borderId="0" xfId="0" applyNumberFormat="1" applyFont="1" applyFill="1" applyAlignment="1">
      <alignment horizontal="left"/>
    </xf>
    <xf numFmtId="172" fontId="8" fillId="0" borderId="0" xfId="1" applyNumberFormat="1" applyFont="1" applyAlignment="1">
      <alignment horizontal="left"/>
    </xf>
  </cellXfs>
  <cellStyles count="6508">
    <cellStyle name="Comma" xfId="1" builtinId="3"/>
    <cellStyle name="Currency" xfId="1594" builtinId="4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868" builtinId="9" hidden="1"/>
    <cellStyle name="Followed Hyperlink" xfId="1870" builtinId="9" hidden="1"/>
    <cellStyle name="Followed Hyperlink" xfId="1872" builtinId="9" hidden="1"/>
    <cellStyle name="Followed Hyperlink" xfId="1874" builtinId="9" hidden="1"/>
    <cellStyle name="Followed Hyperlink" xfId="1876" builtinId="9" hidden="1"/>
    <cellStyle name="Followed Hyperlink" xfId="1878" builtinId="9" hidden="1"/>
    <cellStyle name="Followed Hyperlink" xfId="1880" builtinId="9" hidden="1"/>
    <cellStyle name="Followed Hyperlink" xfId="1882" builtinId="9" hidden="1"/>
    <cellStyle name="Followed Hyperlink" xfId="1884" builtinId="9" hidden="1"/>
    <cellStyle name="Followed Hyperlink" xfId="1886" builtinId="9" hidden="1"/>
    <cellStyle name="Followed Hyperlink" xfId="1888" builtinId="9" hidden="1"/>
    <cellStyle name="Followed Hyperlink" xfId="1890" builtinId="9" hidden="1"/>
    <cellStyle name="Followed Hyperlink" xfId="1892" builtinId="9" hidden="1"/>
    <cellStyle name="Followed Hyperlink" xfId="1894" builtinId="9" hidden="1"/>
    <cellStyle name="Followed Hyperlink" xfId="1896" builtinId="9" hidden="1"/>
    <cellStyle name="Followed Hyperlink" xfId="1898" builtinId="9" hidden="1"/>
    <cellStyle name="Followed Hyperlink" xfId="1900" builtinId="9" hidden="1"/>
    <cellStyle name="Followed Hyperlink" xfId="1902" builtinId="9" hidden="1"/>
    <cellStyle name="Followed Hyperlink" xfId="1904" builtinId="9" hidden="1"/>
    <cellStyle name="Followed Hyperlink" xfId="1906" builtinId="9" hidden="1"/>
    <cellStyle name="Followed Hyperlink" xfId="1908" builtinId="9" hidden="1"/>
    <cellStyle name="Followed Hyperlink" xfId="1910" builtinId="9" hidden="1"/>
    <cellStyle name="Followed Hyperlink" xfId="1912" builtinId="9" hidden="1"/>
    <cellStyle name="Followed Hyperlink" xfId="1914" builtinId="9" hidden="1"/>
    <cellStyle name="Followed Hyperlink" xfId="1916" builtinId="9" hidden="1"/>
    <cellStyle name="Followed Hyperlink" xfId="1918" builtinId="9" hidden="1"/>
    <cellStyle name="Followed Hyperlink" xfId="1920" builtinId="9" hidden="1"/>
    <cellStyle name="Followed Hyperlink" xfId="1922" builtinId="9" hidden="1"/>
    <cellStyle name="Followed Hyperlink" xfId="1924" builtinId="9" hidden="1"/>
    <cellStyle name="Followed Hyperlink" xfId="1926" builtinId="9" hidden="1"/>
    <cellStyle name="Followed Hyperlink" xfId="1928" builtinId="9" hidden="1"/>
    <cellStyle name="Followed Hyperlink" xfId="1930" builtinId="9" hidden="1"/>
    <cellStyle name="Followed Hyperlink" xfId="1932" builtinId="9" hidden="1"/>
    <cellStyle name="Followed Hyperlink" xfId="1934" builtinId="9" hidden="1"/>
    <cellStyle name="Followed Hyperlink" xfId="1936" builtinId="9" hidden="1"/>
    <cellStyle name="Followed Hyperlink" xfId="1938" builtinId="9" hidden="1"/>
    <cellStyle name="Followed Hyperlink" xfId="1940" builtinId="9" hidden="1"/>
    <cellStyle name="Followed Hyperlink" xfId="1942" builtinId="9" hidden="1"/>
    <cellStyle name="Followed Hyperlink" xfId="1944" builtinId="9" hidden="1"/>
    <cellStyle name="Followed Hyperlink" xfId="1946" builtinId="9" hidden="1"/>
    <cellStyle name="Followed Hyperlink" xfId="1948" builtinId="9" hidden="1"/>
    <cellStyle name="Followed Hyperlink" xfId="1950" builtinId="9" hidden="1"/>
    <cellStyle name="Followed Hyperlink" xfId="1952" builtinId="9" hidden="1"/>
    <cellStyle name="Followed Hyperlink" xfId="1954" builtinId="9" hidden="1"/>
    <cellStyle name="Followed Hyperlink" xfId="1956" builtinId="9" hidden="1"/>
    <cellStyle name="Followed Hyperlink" xfId="1958" builtinId="9" hidden="1"/>
    <cellStyle name="Followed Hyperlink" xfId="1960" builtinId="9" hidden="1"/>
    <cellStyle name="Followed Hyperlink" xfId="1962" builtinId="9" hidden="1"/>
    <cellStyle name="Followed Hyperlink" xfId="1964" builtinId="9" hidden="1"/>
    <cellStyle name="Followed Hyperlink" xfId="1966" builtinId="9" hidden="1"/>
    <cellStyle name="Followed Hyperlink" xfId="1968" builtinId="9" hidden="1"/>
    <cellStyle name="Followed Hyperlink" xfId="1970" builtinId="9" hidden="1"/>
    <cellStyle name="Followed Hyperlink" xfId="1972" builtinId="9" hidden="1"/>
    <cellStyle name="Followed Hyperlink" xfId="1974" builtinId="9" hidden="1"/>
    <cellStyle name="Followed Hyperlink" xfId="1976" builtinId="9" hidden="1"/>
    <cellStyle name="Followed Hyperlink" xfId="1978" builtinId="9" hidden="1"/>
    <cellStyle name="Followed Hyperlink" xfId="1980" builtinId="9" hidden="1"/>
    <cellStyle name="Followed Hyperlink" xfId="1982" builtinId="9" hidden="1"/>
    <cellStyle name="Followed Hyperlink" xfId="1984" builtinId="9" hidden="1"/>
    <cellStyle name="Followed Hyperlink" xfId="1986" builtinId="9" hidden="1"/>
    <cellStyle name="Followed Hyperlink" xfId="1988" builtinId="9" hidden="1"/>
    <cellStyle name="Followed Hyperlink" xfId="1990" builtinId="9" hidden="1"/>
    <cellStyle name="Followed Hyperlink" xfId="1992" builtinId="9" hidden="1"/>
    <cellStyle name="Followed Hyperlink" xfId="1994" builtinId="9" hidden="1"/>
    <cellStyle name="Followed Hyperlink" xfId="1996" builtinId="9" hidden="1"/>
    <cellStyle name="Followed Hyperlink" xfId="1998" builtinId="9" hidden="1"/>
    <cellStyle name="Followed Hyperlink" xfId="2000" builtinId="9" hidden="1"/>
    <cellStyle name="Followed Hyperlink" xfId="2002" builtinId="9" hidden="1"/>
    <cellStyle name="Followed Hyperlink" xfId="2004" builtinId="9" hidden="1"/>
    <cellStyle name="Followed Hyperlink" xfId="2006" builtinId="9" hidden="1"/>
    <cellStyle name="Followed Hyperlink" xfId="2008" builtinId="9" hidden="1"/>
    <cellStyle name="Followed Hyperlink" xfId="2010" builtinId="9" hidden="1"/>
    <cellStyle name="Followed Hyperlink" xfId="2012" builtinId="9" hidden="1"/>
    <cellStyle name="Followed Hyperlink" xfId="2014" builtinId="9" hidden="1"/>
    <cellStyle name="Followed Hyperlink" xfId="2016" builtinId="9" hidden="1"/>
    <cellStyle name="Followed Hyperlink" xfId="2018" builtinId="9" hidden="1"/>
    <cellStyle name="Followed Hyperlink" xfId="2020" builtinId="9" hidden="1"/>
    <cellStyle name="Followed Hyperlink" xfId="2022" builtinId="9" hidden="1"/>
    <cellStyle name="Followed Hyperlink" xfId="2024" builtinId="9" hidden="1"/>
    <cellStyle name="Followed Hyperlink" xfId="2026" builtinId="9" hidden="1"/>
    <cellStyle name="Followed Hyperlink" xfId="2028" builtinId="9" hidden="1"/>
    <cellStyle name="Followed Hyperlink" xfId="2030" builtinId="9" hidden="1"/>
    <cellStyle name="Followed Hyperlink" xfId="2032" builtinId="9" hidden="1"/>
    <cellStyle name="Followed Hyperlink" xfId="2034" builtinId="9" hidden="1"/>
    <cellStyle name="Followed Hyperlink" xfId="2036" builtinId="9" hidden="1"/>
    <cellStyle name="Followed Hyperlink" xfId="2038" builtinId="9" hidden="1"/>
    <cellStyle name="Followed Hyperlink" xfId="2040" builtinId="9" hidden="1"/>
    <cellStyle name="Followed Hyperlink" xfId="2042" builtinId="9" hidden="1"/>
    <cellStyle name="Followed Hyperlink" xfId="2044" builtinId="9" hidden="1"/>
    <cellStyle name="Followed Hyperlink" xfId="2046" builtinId="9" hidden="1"/>
    <cellStyle name="Followed Hyperlink" xfId="2048" builtinId="9" hidden="1"/>
    <cellStyle name="Followed Hyperlink" xfId="2050" builtinId="9" hidden="1"/>
    <cellStyle name="Followed Hyperlink" xfId="2052" builtinId="9" hidden="1"/>
    <cellStyle name="Followed Hyperlink" xfId="2054" builtinId="9" hidden="1"/>
    <cellStyle name="Followed Hyperlink" xfId="2056" builtinId="9" hidden="1"/>
    <cellStyle name="Followed Hyperlink" xfId="2058" builtinId="9" hidden="1"/>
    <cellStyle name="Followed Hyperlink" xfId="2060" builtinId="9" hidden="1"/>
    <cellStyle name="Followed Hyperlink" xfId="2062" builtinId="9" hidden="1"/>
    <cellStyle name="Followed Hyperlink" xfId="2064" builtinId="9" hidden="1"/>
    <cellStyle name="Followed Hyperlink" xfId="2066" builtinId="9" hidden="1"/>
    <cellStyle name="Followed Hyperlink" xfId="2068" builtinId="9" hidden="1"/>
    <cellStyle name="Followed Hyperlink" xfId="2070" builtinId="9" hidden="1"/>
    <cellStyle name="Followed Hyperlink" xfId="2072" builtinId="9" hidden="1"/>
    <cellStyle name="Followed Hyperlink" xfId="2074" builtinId="9" hidden="1"/>
    <cellStyle name="Followed Hyperlink" xfId="2076" builtinId="9" hidden="1"/>
    <cellStyle name="Followed Hyperlink" xfId="2078" builtinId="9" hidden="1"/>
    <cellStyle name="Followed Hyperlink" xfId="2080" builtinId="9" hidden="1"/>
    <cellStyle name="Followed Hyperlink" xfId="2082" builtinId="9" hidden="1"/>
    <cellStyle name="Followed Hyperlink" xfId="2084" builtinId="9" hidden="1"/>
    <cellStyle name="Followed Hyperlink" xfId="2086" builtinId="9" hidden="1"/>
    <cellStyle name="Followed Hyperlink" xfId="2088" builtinId="9" hidden="1"/>
    <cellStyle name="Followed Hyperlink" xfId="2090" builtinId="9" hidden="1"/>
    <cellStyle name="Followed Hyperlink" xfId="2092" builtinId="9" hidden="1"/>
    <cellStyle name="Followed Hyperlink" xfId="2094" builtinId="9" hidden="1"/>
    <cellStyle name="Followed Hyperlink" xfId="2096" builtinId="9" hidden="1"/>
    <cellStyle name="Followed Hyperlink" xfId="2098" builtinId="9" hidden="1"/>
    <cellStyle name="Followed Hyperlink" xfId="2100" builtinId="9" hidden="1"/>
    <cellStyle name="Followed Hyperlink" xfId="2102" builtinId="9" hidden="1"/>
    <cellStyle name="Followed Hyperlink" xfId="2104" builtinId="9" hidden="1"/>
    <cellStyle name="Followed Hyperlink" xfId="2106" builtinId="9" hidden="1"/>
    <cellStyle name="Followed Hyperlink" xfId="2108" builtinId="9" hidden="1"/>
    <cellStyle name="Followed Hyperlink" xfId="2110" builtinId="9" hidden="1"/>
    <cellStyle name="Followed Hyperlink" xfId="2112" builtinId="9" hidden="1"/>
    <cellStyle name="Followed Hyperlink" xfId="2114" builtinId="9" hidden="1"/>
    <cellStyle name="Followed Hyperlink" xfId="2116" builtinId="9" hidden="1"/>
    <cellStyle name="Followed Hyperlink" xfId="2118" builtinId="9" hidden="1"/>
    <cellStyle name="Followed Hyperlink" xfId="2120" builtinId="9" hidden="1"/>
    <cellStyle name="Followed Hyperlink" xfId="2122" builtinId="9" hidden="1"/>
    <cellStyle name="Followed Hyperlink" xfId="2124" builtinId="9" hidden="1"/>
    <cellStyle name="Followed Hyperlink" xfId="2126" builtinId="9" hidden="1"/>
    <cellStyle name="Followed Hyperlink" xfId="2128" builtinId="9" hidden="1"/>
    <cellStyle name="Followed Hyperlink" xfId="2130" builtinId="9" hidden="1"/>
    <cellStyle name="Followed Hyperlink" xfId="2132" builtinId="9" hidden="1"/>
    <cellStyle name="Followed Hyperlink" xfId="2134" builtinId="9" hidden="1"/>
    <cellStyle name="Followed Hyperlink" xfId="2136" builtinId="9" hidden="1"/>
    <cellStyle name="Followed Hyperlink" xfId="2138" builtinId="9" hidden="1"/>
    <cellStyle name="Followed Hyperlink" xfId="2140" builtinId="9" hidden="1"/>
    <cellStyle name="Followed Hyperlink" xfId="2142" builtinId="9" hidden="1"/>
    <cellStyle name="Followed Hyperlink" xfId="2144" builtinId="9" hidden="1"/>
    <cellStyle name="Followed Hyperlink" xfId="2146" builtinId="9" hidden="1"/>
    <cellStyle name="Followed Hyperlink" xfId="2148" builtinId="9" hidden="1"/>
    <cellStyle name="Followed Hyperlink" xfId="2150" builtinId="9" hidden="1"/>
    <cellStyle name="Followed Hyperlink" xfId="2152" builtinId="9" hidden="1"/>
    <cellStyle name="Followed Hyperlink" xfId="2154" builtinId="9" hidden="1"/>
    <cellStyle name="Followed Hyperlink" xfId="2156" builtinId="9" hidden="1"/>
    <cellStyle name="Followed Hyperlink" xfId="2158" builtinId="9" hidden="1"/>
    <cellStyle name="Followed Hyperlink" xfId="2160" builtinId="9" hidden="1"/>
    <cellStyle name="Followed Hyperlink" xfId="2162" builtinId="9" hidden="1"/>
    <cellStyle name="Followed Hyperlink" xfId="2164" builtinId="9" hidden="1"/>
    <cellStyle name="Followed Hyperlink" xfId="2166" builtinId="9" hidden="1"/>
    <cellStyle name="Followed Hyperlink" xfId="2168" builtinId="9" hidden="1"/>
    <cellStyle name="Followed Hyperlink" xfId="2170" builtinId="9" hidden="1"/>
    <cellStyle name="Followed Hyperlink" xfId="2172" builtinId="9" hidden="1"/>
    <cellStyle name="Followed Hyperlink" xfId="2174" builtinId="9" hidden="1"/>
    <cellStyle name="Followed Hyperlink" xfId="2176" builtinId="9" hidden="1"/>
    <cellStyle name="Followed Hyperlink" xfId="2178" builtinId="9" hidden="1"/>
    <cellStyle name="Followed Hyperlink" xfId="2180" builtinId="9" hidden="1"/>
    <cellStyle name="Followed Hyperlink" xfId="2182" builtinId="9" hidden="1"/>
    <cellStyle name="Followed Hyperlink" xfId="2184" builtinId="9" hidden="1"/>
    <cellStyle name="Followed Hyperlink" xfId="2186" builtinId="9" hidden="1"/>
    <cellStyle name="Followed Hyperlink" xfId="2188" builtinId="9" hidden="1"/>
    <cellStyle name="Followed Hyperlink" xfId="2190" builtinId="9" hidden="1"/>
    <cellStyle name="Followed Hyperlink" xfId="2192" builtinId="9" hidden="1"/>
    <cellStyle name="Followed Hyperlink" xfId="2194" builtinId="9" hidden="1"/>
    <cellStyle name="Followed Hyperlink" xfId="2196" builtinId="9" hidden="1"/>
    <cellStyle name="Followed Hyperlink" xfId="2198" builtinId="9" hidden="1"/>
    <cellStyle name="Followed Hyperlink" xfId="2200" builtinId="9" hidden="1"/>
    <cellStyle name="Followed Hyperlink" xfId="2202" builtinId="9" hidden="1"/>
    <cellStyle name="Followed Hyperlink" xfId="2204" builtinId="9" hidden="1"/>
    <cellStyle name="Followed Hyperlink" xfId="2206" builtinId="9" hidden="1"/>
    <cellStyle name="Followed Hyperlink" xfId="2208" builtinId="9" hidden="1"/>
    <cellStyle name="Followed Hyperlink" xfId="2210" builtinId="9" hidden="1"/>
    <cellStyle name="Followed Hyperlink" xfId="2212" builtinId="9" hidden="1"/>
    <cellStyle name="Followed Hyperlink" xfId="2214" builtinId="9" hidden="1"/>
    <cellStyle name="Followed Hyperlink" xfId="2216" builtinId="9" hidden="1"/>
    <cellStyle name="Followed Hyperlink" xfId="2218" builtinId="9" hidden="1"/>
    <cellStyle name="Followed Hyperlink" xfId="2220" builtinId="9" hidden="1"/>
    <cellStyle name="Followed Hyperlink" xfId="2222" builtinId="9" hidden="1"/>
    <cellStyle name="Followed Hyperlink" xfId="2224" builtinId="9" hidden="1"/>
    <cellStyle name="Followed Hyperlink" xfId="2226" builtinId="9" hidden="1"/>
    <cellStyle name="Followed Hyperlink" xfId="2228" builtinId="9" hidden="1"/>
    <cellStyle name="Followed Hyperlink" xfId="2230" builtinId="9" hidden="1"/>
    <cellStyle name="Followed Hyperlink" xfId="2232" builtinId="9" hidden="1"/>
    <cellStyle name="Followed Hyperlink" xfId="2234" builtinId="9" hidden="1"/>
    <cellStyle name="Followed Hyperlink" xfId="2236" builtinId="9" hidden="1"/>
    <cellStyle name="Followed Hyperlink" xfId="2238" builtinId="9" hidden="1"/>
    <cellStyle name="Followed Hyperlink" xfId="2240" builtinId="9" hidden="1"/>
    <cellStyle name="Followed Hyperlink" xfId="2242" builtinId="9" hidden="1"/>
    <cellStyle name="Followed Hyperlink" xfId="2244" builtinId="9" hidden="1"/>
    <cellStyle name="Followed Hyperlink" xfId="2246" builtinId="9" hidden="1"/>
    <cellStyle name="Followed Hyperlink" xfId="2248" builtinId="9" hidden="1"/>
    <cellStyle name="Followed Hyperlink" xfId="2250" builtinId="9" hidden="1"/>
    <cellStyle name="Followed Hyperlink" xfId="2252" builtinId="9" hidden="1"/>
    <cellStyle name="Followed Hyperlink" xfId="2254" builtinId="9" hidden="1"/>
    <cellStyle name="Followed Hyperlink" xfId="2256" builtinId="9" hidden="1"/>
    <cellStyle name="Followed Hyperlink" xfId="2258" builtinId="9" hidden="1"/>
    <cellStyle name="Followed Hyperlink" xfId="2260" builtinId="9" hidden="1"/>
    <cellStyle name="Followed Hyperlink" xfId="2262" builtinId="9" hidden="1"/>
    <cellStyle name="Followed Hyperlink" xfId="2264" builtinId="9" hidden="1"/>
    <cellStyle name="Followed Hyperlink" xfId="2266" builtinId="9" hidden="1"/>
    <cellStyle name="Followed Hyperlink" xfId="2268" builtinId="9" hidden="1"/>
    <cellStyle name="Followed Hyperlink" xfId="2270" builtinId="9" hidden="1"/>
    <cellStyle name="Followed Hyperlink" xfId="2272" builtinId="9" hidden="1"/>
    <cellStyle name="Followed Hyperlink" xfId="2274" builtinId="9" hidden="1"/>
    <cellStyle name="Followed Hyperlink" xfId="2276" builtinId="9" hidden="1"/>
    <cellStyle name="Followed Hyperlink" xfId="2278" builtinId="9" hidden="1"/>
    <cellStyle name="Followed Hyperlink" xfId="2280" builtinId="9" hidden="1"/>
    <cellStyle name="Followed Hyperlink" xfId="2282" builtinId="9" hidden="1"/>
    <cellStyle name="Followed Hyperlink" xfId="2284" builtinId="9" hidden="1"/>
    <cellStyle name="Followed Hyperlink" xfId="2286" builtinId="9" hidden="1"/>
    <cellStyle name="Followed Hyperlink" xfId="2288" builtinId="9" hidden="1"/>
    <cellStyle name="Followed Hyperlink" xfId="2290" builtinId="9" hidden="1"/>
    <cellStyle name="Followed Hyperlink" xfId="2292" builtinId="9" hidden="1"/>
    <cellStyle name="Followed Hyperlink" xfId="2294" builtinId="9" hidden="1"/>
    <cellStyle name="Followed Hyperlink" xfId="2296" builtinId="9" hidden="1"/>
    <cellStyle name="Followed Hyperlink" xfId="2298" builtinId="9" hidden="1"/>
    <cellStyle name="Followed Hyperlink" xfId="2300" builtinId="9" hidden="1"/>
    <cellStyle name="Followed Hyperlink" xfId="2302" builtinId="9" hidden="1"/>
    <cellStyle name="Followed Hyperlink" xfId="2304" builtinId="9" hidden="1"/>
    <cellStyle name="Followed Hyperlink" xfId="2306" builtinId="9" hidden="1"/>
    <cellStyle name="Followed Hyperlink" xfId="2308" builtinId="9" hidden="1"/>
    <cellStyle name="Followed Hyperlink" xfId="2310" builtinId="9" hidden="1"/>
    <cellStyle name="Followed Hyperlink" xfId="2312" builtinId="9" hidden="1"/>
    <cellStyle name="Followed Hyperlink" xfId="2314" builtinId="9" hidden="1"/>
    <cellStyle name="Followed Hyperlink" xfId="2316" builtinId="9" hidden="1"/>
    <cellStyle name="Followed Hyperlink" xfId="2318" builtinId="9" hidden="1"/>
    <cellStyle name="Followed Hyperlink" xfId="2320" builtinId="9" hidden="1"/>
    <cellStyle name="Followed Hyperlink" xfId="2322" builtinId="9" hidden="1"/>
    <cellStyle name="Followed Hyperlink" xfId="2324" builtinId="9" hidden="1"/>
    <cellStyle name="Followed Hyperlink" xfId="2326" builtinId="9" hidden="1"/>
    <cellStyle name="Followed Hyperlink" xfId="2328" builtinId="9" hidden="1"/>
    <cellStyle name="Followed Hyperlink" xfId="2330" builtinId="9" hidden="1"/>
    <cellStyle name="Followed Hyperlink" xfId="2332" builtinId="9" hidden="1"/>
    <cellStyle name="Followed Hyperlink" xfId="2334" builtinId="9" hidden="1"/>
    <cellStyle name="Followed Hyperlink" xfId="2336" builtinId="9" hidden="1"/>
    <cellStyle name="Followed Hyperlink" xfId="2338" builtinId="9" hidden="1"/>
    <cellStyle name="Followed Hyperlink" xfId="2340" builtinId="9" hidden="1"/>
    <cellStyle name="Followed Hyperlink" xfId="2342" builtinId="9" hidden="1"/>
    <cellStyle name="Followed Hyperlink" xfId="2344" builtinId="9" hidden="1"/>
    <cellStyle name="Followed Hyperlink" xfId="2346" builtinId="9" hidden="1"/>
    <cellStyle name="Followed Hyperlink" xfId="2348" builtinId="9" hidden="1"/>
    <cellStyle name="Followed Hyperlink" xfId="2350" builtinId="9" hidden="1"/>
    <cellStyle name="Followed Hyperlink" xfId="2352" builtinId="9" hidden="1"/>
    <cellStyle name="Followed Hyperlink" xfId="2354" builtinId="9" hidden="1"/>
    <cellStyle name="Followed Hyperlink" xfId="2356" builtinId="9" hidden="1"/>
    <cellStyle name="Followed Hyperlink" xfId="2358" builtinId="9" hidden="1"/>
    <cellStyle name="Followed Hyperlink" xfId="2360" builtinId="9" hidden="1"/>
    <cellStyle name="Followed Hyperlink" xfId="2362" builtinId="9" hidden="1"/>
    <cellStyle name="Followed Hyperlink" xfId="2364" builtinId="9" hidden="1"/>
    <cellStyle name="Followed Hyperlink" xfId="2366" builtinId="9" hidden="1"/>
    <cellStyle name="Followed Hyperlink" xfId="2368" builtinId="9" hidden="1"/>
    <cellStyle name="Followed Hyperlink" xfId="2370" builtinId="9" hidden="1"/>
    <cellStyle name="Followed Hyperlink" xfId="2372" builtinId="9" hidden="1"/>
    <cellStyle name="Followed Hyperlink" xfId="2374" builtinId="9" hidden="1"/>
    <cellStyle name="Followed Hyperlink" xfId="2376" builtinId="9" hidden="1"/>
    <cellStyle name="Followed Hyperlink" xfId="2378" builtinId="9" hidden="1"/>
    <cellStyle name="Followed Hyperlink" xfId="2380" builtinId="9" hidden="1"/>
    <cellStyle name="Followed Hyperlink" xfId="2382" builtinId="9" hidden="1"/>
    <cellStyle name="Followed Hyperlink" xfId="2384" builtinId="9" hidden="1"/>
    <cellStyle name="Followed Hyperlink" xfId="2386" builtinId="9" hidden="1"/>
    <cellStyle name="Followed Hyperlink" xfId="2388" builtinId="9" hidden="1"/>
    <cellStyle name="Followed Hyperlink" xfId="2390" builtinId="9" hidden="1"/>
    <cellStyle name="Followed Hyperlink" xfId="2392" builtinId="9" hidden="1"/>
    <cellStyle name="Followed Hyperlink" xfId="2394" builtinId="9" hidden="1"/>
    <cellStyle name="Followed Hyperlink" xfId="2396" builtinId="9" hidden="1"/>
    <cellStyle name="Followed Hyperlink" xfId="2398" builtinId="9" hidden="1"/>
    <cellStyle name="Followed Hyperlink" xfId="2400" builtinId="9" hidden="1"/>
    <cellStyle name="Followed Hyperlink" xfId="2402" builtinId="9" hidden="1"/>
    <cellStyle name="Followed Hyperlink" xfId="2404" builtinId="9" hidden="1"/>
    <cellStyle name="Followed Hyperlink" xfId="2406" builtinId="9" hidden="1"/>
    <cellStyle name="Followed Hyperlink" xfId="2408" builtinId="9" hidden="1"/>
    <cellStyle name="Followed Hyperlink" xfId="2410" builtinId="9" hidden="1"/>
    <cellStyle name="Followed Hyperlink" xfId="2412" builtinId="9" hidden="1"/>
    <cellStyle name="Followed Hyperlink" xfId="2414" builtinId="9" hidden="1"/>
    <cellStyle name="Followed Hyperlink" xfId="2416" builtinId="9" hidden="1"/>
    <cellStyle name="Followed Hyperlink" xfId="2418" builtinId="9" hidden="1"/>
    <cellStyle name="Followed Hyperlink" xfId="2420" builtinId="9" hidden="1"/>
    <cellStyle name="Followed Hyperlink" xfId="2422" builtinId="9" hidden="1"/>
    <cellStyle name="Followed Hyperlink" xfId="2424" builtinId="9" hidden="1"/>
    <cellStyle name="Followed Hyperlink" xfId="2426" builtinId="9" hidden="1"/>
    <cellStyle name="Followed Hyperlink" xfId="2428" builtinId="9" hidden="1"/>
    <cellStyle name="Followed Hyperlink" xfId="2430" builtinId="9" hidden="1"/>
    <cellStyle name="Followed Hyperlink" xfId="2432" builtinId="9" hidden="1"/>
    <cellStyle name="Followed Hyperlink" xfId="2434" builtinId="9" hidden="1"/>
    <cellStyle name="Followed Hyperlink" xfId="2436" builtinId="9" hidden="1"/>
    <cellStyle name="Followed Hyperlink" xfId="2438" builtinId="9" hidden="1"/>
    <cellStyle name="Followed Hyperlink" xfId="2440" builtinId="9" hidden="1"/>
    <cellStyle name="Followed Hyperlink" xfId="2442" builtinId="9" hidden="1"/>
    <cellStyle name="Followed Hyperlink" xfId="2444" builtinId="9" hidden="1"/>
    <cellStyle name="Followed Hyperlink" xfId="2446" builtinId="9" hidden="1"/>
    <cellStyle name="Followed Hyperlink" xfId="2448" builtinId="9" hidden="1"/>
    <cellStyle name="Followed Hyperlink" xfId="2450" builtinId="9" hidden="1"/>
    <cellStyle name="Followed Hyperlink" xfId="2452" builtinId="9" hidden="1"/>
    <cellStyle name="Followed Hyperlink" xfId="2454" builtinId="9" hidden="1"/>
    <cellStyle name="Followed Hyperlink" xfId="2456" builtinId="9" hidden="1"/>
    <cellStyle name="Followed Hyperlink" xfId="2458" builtinId="9" hidden="1"/>
    <cellStyle name="Followed Hyperlink" xfId="2460" builtinId="9" hidden="1"/>
    <cellStyle name="Followed Hyperlink" xfId="2462" builtinId="9" hidden="1"/>
    <cellStyle name="Followed Hyperlink" xfId="2464" builtinId="9" hidden="1"/>
    <cellStyle name="Followed Hyperlink" xfId="2466" builtinId="9" hidden="1"/>
    <cellStyle name="Followed Hyperlink" xfId="2468" builtinId="9" hidden="1"/>
    <cellStyle name="Followed Hyperlink" xfId="2470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92" builtinId="9" hidden="1"/>
    <cellStyle name="Followed Hyperlink" xfId="2694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00" builtinId="9" hidden="1"/>
    <cellStyle name="Followed Hyperlink" xfId="2802" builtinId="9" hidden="1"/>
    <cellStyle name="Followed Hyperlink" xfId="2804" builtinId="9" hidden="1"/>
    <cellStyle name="Followed Hyperlink" xfId="2806" builtinId="9" hidden="1"/>
    <cellStyle name="Followed Hyperlink" xfId="2808" builtinId="9" hidden="1"/>
    <cellStyle name="Followed Hyperlink" xfId="2810" builtinId="9" hidden="1"/>
    <cellStyle name="Followed Hyperlink" xfId="2812" builtinId="9" hidden="1"/>
    <cellStyle name="Followed Hyperlink" xfId="2814" builtinId="9" hidden="1"/>
    <cellStyle name="Followed Hyperlink" xfId="2816" builtinId="9" hidden="1"/>
    <cellStyle name="Followed Hyperlink" xfId="2818" builtinId="9" hidden="1"/>
    <cellStyle name="Followed Hyperlink" xfId="2820" builtinId="9" hidden="1"/>
    <cellStyle name="Followed Hyperlink" xfId="2822" builtinId="9" hidden="1"/>
    <cellStyle name="Followed Hyperlink" xfId="2824" builtinId="9" hidden="1"/>
    <cellStyle name="Followed Hyperlink" xfId="2826" builtinId="9" hidden="1"/>
    <cellStyle name="Followed Hyperlink" xfId="2828" builtinId="9" hidden="1"/>
    <cellStyle name="Followed Hyperlink" xfId="2830" builtinId="9" hidden="1"/>
    <cellStyle name="Followed Hyperlink" xfId="2832" builtinId="9" hidden="1"/>
    <cellStyle name="Followed Hyperlink" xfId="2834" builtinId="9" hidden="1"/>
    <cellStyle name="Followed Hyperlink" xfId="2836" builtinId="9" hidden="1"/>
    <cellStyle name="Followed Hyperlink" xfId="2838" builtinId="9" hidden="1"/>
    <cellStyle name="Followed Hyperlink" xfId="2840" builtinId="9" hidden="1"/>
    <cellStyle name="Followed Hyperlink" xfId="2842" builtinId="9" hidden="1"/>
    <cellStyle name="Followed Hyperlink" xfId="2844" builtinId="9" hidden="1"/>
    <cellStyle name="Followed Hyperlink" xfId="2846" builtinId="9" hidden="1"/>
    <cellStyle name="Followed Hyperlink" xfId="2848" builtinId="9" hidden="1"/>
    <cellStyle name="Followed Hyperlink" xfId="2850" builtinId="9" hidden="1"/>
    <cellStyle name="Followed Hyperlink" xfId="2852" builtinId="9" hidden="1"/>
    <cellStyle name="Followed Hyperlink" xfId="2854" builtinId="9" hidden="1"/>
    <cellStyle name="Followed Hyperlink" xfId="2856" builtinId="9" hidden="1"/>
    <cellStyle name="Followed Hyperlink" xfId="2858" builtinId="9" hidden="1"/>
    <cellStyle name="Followed Hyperlink" xfId="2860" builtinId="9" hidden="1"/>
    <cellStyle name="Followed Hyperlink" xfId="2862" builtinId="9" hidden="1"/>
    <cellStyle name="Followed Hyperlink" xfId="2864" builtinId="9" hidden="1"/>
    <cellStyle name="Followed Hyperlink" xfId="2866" builtinId="9" hidden="1"/>
    <cellStyle name="Followed Hyperlink" xfId="2868" builtinId="9" hidden="1"/>
    <cellStyle name="Followed Hyperlink" xfId="2870" builtinId="9" hidden="1"/>
    <cellStyle name="Followed Hyperlink" xfId="2872" builtinId="9" hidden="1"/>
    <cellStyle name="Followed Hyperlink" xfId="2874" builtinId="9" hidden="1"/>
    <cellStyle name="Followed Hyperlink" xfId="2876" builtinId="9" hidden="1"/>
    <cellStyle name="Followed Hyperlink" xfId="2878" builtinId="9" hidden="1"/>
    <cellStyle name="Followed Hyperlink" xfId="2880" builtinId="9" hidden="1"/>
    <cellStyle name="Followed Hyperlink" xfId="2882" builtinId="9" hidden="1"/>
    <cellStyle name="Followed Hyperlink" xfId="2884" builtinId="9" hidden="1"/>
    <cellStyle name="Followed Hyperlink" xfId="2886" builtinId="9" hidden="1"/>
    <cellStyle name="Followed Hyperlink" xfId="2888" builtinId="9" hidden="1"/>
    <cellStyle name="Followed Hyperlink" xfId="2890" builtinId="9" hidden="1"/>
    <cellStyle name="Followed Hyperlink" xfId="2892" builtinId="9" hidden="1"/>
    <cellStyle name="Followed Hyperlink" xfId="2894" builtinId="9" hidden="1"/>
    <cellStyle name="Followed Hyperlink" xfId="2896" builtinId="9" hidden="1"/>
    <cellStyle name="Followed Hyperlink" xfId="2898" builtinId="9" hidden="1"/>
    <cellStyle name="Followed Hyperlink" xfId="2900" builtinId="9" hidden="1"/>
    <cellStyle name="Followed Hyperlink" xfId="2902" builtinId="9" hidden="1"/>
    <cellStyle name="Followed Hyperlink" xfId="2904" builtinId="9" hidden="1"/>
    <cellStyle name="Followed Hyperlink" xfId="2906" builtinId="9" hidden="1"/>
    <cellStyle name="Followed Hyperlink" xfId="2908" builtinId="9" hidden="1"/>
    <cellStyle name="Followed Hyperlink" xfId="2910" builtinId="9" hidden="1"/>
    <cellStyle name="Followed Hyperlink" xfId="2912" builtinId="9" hidden="1"/>
    <cellStyle name="Followed Hyperlink" xfId="2914" builtinId="9" hidden="1"/>
    <cellStyle name="Followed Hyperlink" xfId="2916" builtinId="9" hidden="1"/>
    <cellStyle name="Followed Hyperlink" xfId="2918" builtinId="9" hidden="1"/>
    <cellStyle name="Followed Hyperlink" xfId="2920" builtinId="9" hidden="1"/>
    <cellStyle name="Followed Hyperlink" xfId="2922" builtinId="9" hidden="1"/>
    <cellStyle name="Followed Hyperlink" xfId="2924" builtinId="9" hidden="1"/>
    <cellStyle name="Followed Hyperlink" xfId="2926" builtinId="9" hidden="1"/>
    <cellStyle name="Followed Hyperlink" xfId="2928" builtinId="9" hidden="1"/>
    <cellStyle name="Followed Hyperlink" xfId="2930" builtinId="9" hidden="1"/>
    <cellStyle name="Followed Hyperlink" xfId="2932" builtinId="9" hidden="1"/>
    <cellStyle name="Followed Hyperlink" xfId="2934" builtinId="9" hidden="1"/>
    <cellStyle name="Followed Hyperlink" xfId="2936" builtinId="9" hidden="1"/>
    <cellStyle name="Followed Hyperlink" xfId="2938" builtinId="9" hidden="1"/>
    <cellStyle name="Followed Hyperlink" xfId="2940" builtinId="9" hidden="1"/>
    <cellStyle name="Followed Hyperlink" xfId="2942" builtinId="9" hidden="1"/>
    <cellStyle name="Followed Hyperlink" xfId="2944" builtinId="9" hidden="1"/>
    <cellStyle name="Followed Hyperlink" xfId="2946" builtinId="9" hidden="1"/>
    <cellStyle name="Followed Hyperlink" xfId="2948" builtinId="9" hidden="1"/>
    <cellStyle name="Followed Hyperlink" xfId="2950" builtinId="9" hidden="1"/>
    <cellStyle name="Followed Hyperlink" xfId="2952" builtinId="9" hidden="1"/>
    <cellStyle name="Followed Hyperlink" xfId="2954" builtinId="9" hidden="1"/>
    <cellStyle name="Followed Hyperlink" xfId="2956" builtinId="9" hidden="1"/>
    <cellStyle name="Followed Hyperlink" xfId="2958" builtinId="9" hidden="1"/>
    <cellStyle name="Followed Hyperlink" xfId="2960" builtinId="9" hidden="1"/>
    <cellStyle name="Followed Hyperlink" xfId="2962" builtinId="9" hidden="1"/>
    <cellStyle name="Followed Hyperlink" xfId="2964" builtinId="9" hidden="1"/>
    <cellStyle name="Followed Hyperlink" xfId="2966" builtinId="9" hidden="1"/>
    <cellStyle name="Followed Hyperlink" xfId="2968" builtinId="9" hidden="1"/>
    <cellStyle name="Followed Hyperlink" xfId="2970" builtinId="9" hidden="1"/>
    <cellStyle name="Followed Hyperlink" xfId="2972" builtinId="9" hidden="1"/>
    <cellStyle name="Followed Hyperlink" xfId="2974" builtinId="9" hidden="1"/>
    <cellStyle name="Followed Hyperlink" xfId="2976" builtinId="9" hidden="1"/>
    <cellStyle name="Followed Hyperlink" xfId="2978" builtinId="9" hidden="1"/>
    <cellStyle name="Followed Hyperlink" xfId="2980" builtinId="9" hidden="1"/>
    <cellStyle name="Followed Hyperlink" xfId="2982" builtinId="9" hidden="1"/>
    <cellStyle name="Followed Hyperlink" xfId="2984" builtinId="9" hidden="1"/>
    <cellStyle name="Followed Hyperlink" xfId="2986" builtinId="9" hidden="1"/>
    <cellStyle name="Followed Hyperlink" xfId="2988" builtinId="9" hidden="1"/>
    <cellStyle name="Followed Hyperlink" xfId="2990" builtinId="9" hidden="1"/>
    <cellStyle name="Followed Hyperlink" xfId="2992" builtinId="9" hidden="1"/>
    <cellStyle name="Followed Hyperlink" xfId="2994" builtinId="9" hidden="1"/>
    <cellStyle name="Followed Hyperlink" xfId="2996" builtinId="9" hidden="1"/>
    <cellStyle name="Followed Hyperlink" xfId="2998" builtinId="9" hidden="1"/>
    <cellStyle name="Followed Hyperlink" xfId="3000" builtinId="9" hidden="1"/>
    <cellStyle name="Followed Hyperlink" xfId="3002" builtinId="9" hidden="1"/>
    <cellStyle name="Followed Hyperlink" xfId="3004" builtinId="9" hidden="1"/>
    <cellStyle name="Followed Hyperlink" xfId="3006" builtinId="9" hidden="1"/>
    <cellStyle name="Followed Hyperlink" xfId="3008" builtinId="9" hidden="1"/>
    <cellStyle name="Followed Hyperlink" xfId="3010" builtinId="9" hidden="1"/>
    <cellStyle name="Followed Hyperlink" xfId="3012" builtinId="9" hidden="1"/>
    <cellStyle name="Followed Hyperlink" xfId="3014" builtinId="9" hidden="1"/>
    <cellStyle name="Followed Hyperlink" xfId="3016" builtinId="9" hidden="1"/>
    <cellStyle name="Followed Hyperlink" xfId="3018" builtinId="9" hidden="1"/>
    <cellStyle name="Followed Hyperlink" xfId="3020" builtinId="9" hidden="1"/>
    <cellStyle name="Followed Hyperlink" xfId="3022" builtinId="9" hidden="1"/>
    <cellStyle name="Followed Hyperlink" xfId="3024" builtinId="9" hidden="1"/>
    <cellStyle name="Followed Hyperlink" xfId="3026" builtinId="9" hidden="1"/>
    <cellStyle name="Followed Hyperlink" xfId="3028" builtinId="9" hidden="1"/>
    <cellStyle name="Followed Hyperlink" xfId="3030" builtinId="9" hidden="1"/>
    <cellStyle name="Followed Hyperlink" xfId="3032" builtinId="9" hidden="1"/>
    <cellStyle name="Followed Hyperlink" xfId="3034" builtinId="9" hidden="1"/>
    <cellStyle name="Followed Hyperlink" xfId="3036" builtinId="9" hidden="1"/>
    <cellStyle name="Followed Hyperlink" xfId="3038" builtinId="9" hidden="1"/>
    <cellStyle name="Followed Hyperlink" xfId="3040" builtinId="9" hidden="1"/>
    <cellStyle name="Followed Hyperlink" xfId="3042" builtinId="9" hidden="1"/>
    <cellStyle name="Followed Hyperlink" xfId="3044" builtinId="9" hidden="1"/>
    <cellStyle name="Followed Hyperlink" xfId="3046" builtinId="9" hidden="1"/>
    <cellStyle name="Followed Hyperlink" xfId="3048" builtinId="9" hidden="1"/>
    <cellStyle name="Followed Hyperlink" xfId="3050" builtinId="9" hidden="1"/>
    <cellStyle name="Followed Hyperlink" xfId="3052" builtinId="9" hidden="1"/>
    <cellStyle name="Followed Hyperlink" xfId="3054" builtinId="9" hidden="1"/>
    <cellStyle name="Followed Hyperlink" xfId="3056" builtinId="9" hidden="1"/>
    <cellStyle name="Followed Hyperlink" xfId="3058" builtinId="9" hidden="1"/>
    <cellStyle name="Followed Hyperlink" xfId="3060" builtinId="9" hidden="1"/>
    <cellStyle name="Followed Hyperlink" xfId="3062" builtinId="9" hidden="1"/>
    <cellStyle name="Followed Hyperlink" xfId="3064" builtinId="9" hidden="1"/>
    <cellStyle name="Followed Hyperlink" xfId="3066" builtinId="9" hidden="1"/>
    <cellStyle name="Followed Hyperlink" xfId="3068" builtinId="9" hidden="1"/>
    <cellStyle name="Followed Hyperlink" xfId="3070" builtinId="9" hidden="1"/>
    <cellStyle name="Followed Hyperlink" xfId="3072" builtinId="9" hidden="1"/>
    <cellStyle name="Followed Hyperlink" xfId="3074" builtinId="9" hidden="1"/>
    <cellStyle name="Followed Hyperlink" xfId="3076" builtinId="9" hidden="1"/>
    <cellStyle name="Followed Hyperlink" xfId="3078" builtinId="9" hidden="1"/>
    <cellStyle name="Followed Hyperlink" xfId="3080" builtinId="9" hidden="1"/>
    <cellStyle name="Followed Hyperlink" xfId="3082" builtinId="9" hidden="1"/>
    <cellStyle name="Followed Hyperlink" xfId="3084" builtinId="9" hidden="1"/>
    <cellStyle name="Followed Hyperlink" xfId="3086" builtinId="9" hidden="1"/>
    <cellStyle name="Followed Hyperlink" xfId="3088" builtinId="9" hidden="1"/>
    <cellStyle name="Followed Hyperlink" xfId="3090" builtinId="9" hidden="1"/>
    <cellStyle name="Followed Hyperlink" xfId="3092" builtinId="9" hidden="1"/>
    <cellStyle name="Followed Hyperlink" xfId="3094" builtinId="9" hidden="1"/>
    <cellStyle name="Followed Hyperlink" xfId="3096" builtinId="9" hidden="1"/>
    <cellStyle name="Followed Hyperlink" xfId="3098" builtinId="9" hidden="1"/>
    <cellStyle name="Followed Hyperlink" xfId="3100" builtinId="9" hidden="1"/>
    <cellStyle name="Followed Hyperlink" xfId="3102" builtinId="9" hidden="1"/>
    <cellStyle name="Followed Hyperlink" xfId="3104" builtinId="9" hidden="1"/>
    <cellStyle name="Followed Hyperlink" xfId="3106" builtinId="9" hidden="1"/>
    <cellStyle name="Followed Hyperlink" xfId="3108" builtinId="9" hidden="1"/>
    <cellStyle name="Followed Hyperlink" xfId="3110" builtinId="9" hidden="1"/>
    <cellStyle name="Followed Hyperlink" xfId="3112" builtinId="9" hidden="1"/>
    <cellStyle name="Followed Hyperlink" xfId="3114" builtinId="9" hidden="1"/>
    <cellStyle name="Followed Hyperlink" xfId="3116" builtinId="9" hidden="1"/>
    <cellStyle name="Followed Hyperlink" xfId="3118" builtinId="9" hidden="1"/>
    <cellStyle name="Followed Hyperlink" xfId="3120" builtinId="9" hidden="1"/>
    <cellStyle name="Followed Hyperlink" xfId="3122" builtinId="9" hidden="1"/>
    <cellStyle name="Followed Hyperlink" xfId="3124" builtinId="9" hidden="1"/>
    <cellStyle name="Followed Hyperlink" xfId="3126" builtinId="9" hidden="1"/>
    <cellStyle name="Followed Hyperlink" xfId="3128" builtinId="9" hidden="1"/>
    <cellStyle name="Followed Hyperlink" xfId="3130" builtinId="9" hidden="1"/>
    <cellStyle name="Followed Hyperlink" xfId="3132" builtinId="9" hidden="1"/>
    <cellStyle name="Followed Hyperlink" xfId="3134" builtinId="9" hidden="1"/>
    <cellStyle name="Followed Hyperlink" xfId="3136" builtinId="9" hidden="1"/>
    <cellStyle name="Followed Hyperlink" xfId="3138" builtinId="9" hidden="1"/>
    <cellStyle name="Followed Hyperlink" xfId="3140" builtinId="9" hidden="1"/>
    <cellStyle name="Followed Hyperlink" xfId="3142" builtinId="9" hidden="1"/>
    <cellStyle name="Followed Hyperlink" xfId="3144" builtinId="9" hidden="1"/>
    <cellStyle name="Followed Hyperlink" xfId="3146" builtinId="9" hidden="1"/>
    <cellStyle name="Followed Hyperlink" xfId="3148" builtinId="9" hidden="1"/>
    <cellStyle name="Followed Hyperlink" xfId="3150" builtinId="9" hidden="1"/>
    <cellStyle name="Followed Hyperlink" xfId="3152" builtinId="9" hidden="1"/>
    <cellStyle name="Followed Hyperlink" xfId="3154" builtinId="9" hidden="1"/>
    <cellStyle name="Followed Hyperlink" xfId="3156" builtinId="9" hidden="1"/>
    <cellStyle name="Followed Hyperlink" xfId="3158" builtinId="9" hidden="1"/>
    <cellStyle name="Followed Hyperlink" xfId="3160" builtinId="9" hidden="1"/>
    <cellStyle name="Followed Hyperlink" xfId="3162" builtinId="9" hidden="1"/>
    <cellStyle name="Followed Hyperlink" xfId="3164" builtinId="9" hidden="1"/>
    <cellStyle name="Followed Hyperlink" xfId="3166" builtinId="9" hidden="1"/>
    <cellStyle name="Followed Hyperlink" xfId="3168" builtinId="9" hidden="1"/>
    <cellStyle name="Followed Hyperlink" xfId="3170" builtinId="9" hidden="1"/>
    <cellStyle name="Followed Hyperlink" xfId="3172" builtinId="9" hidden="1"/>
    <cellStyle name="Followed Hyperlink" xfId="3174" builtinId="9" hidden="1"/>
    <cellStyle name="Followed Hyperlink" xfId="3176" builtinId="9" hidden="1"/>
    <cellStyle name="Followed Hyperlink" xfId="3177" builtinId="9" hidden="1"/>
    <cellStyle name="Followed Hyperlink" xfId="3178" builtinId="9" hidden="1"/>
    <cellStyle name="Followed Hyperlink" xfId="3179" builtinId="9" hidden="1"/>
    <cellStyle name="Followed Hyperlink" xfId="3180" builtinId="9" hidden="1"/>
    <cellStyle name="Followed Hyperlink" xfId="3181" builtinId="9" hidden="1"/>
    <cellStyle name="Followed Hyperlink" xfId="3182" builtinId="9" hidden="1"/>
    <cellStyle name="Followed Hyperlink" xfId="3183" builtinId="9" hidden="1"/>
    <cellStyle name="Followed Hyperlink" xfId="3184" builtinId="9" hidden="1"/>
    <cellStyle name="Followed Hyperlink" xfId="3185" builtinId="9" hidden="1"/>
    <cellStyle name="Followed Hyperlink" xfId="3186" builtinId="9" hidden="1"/>
    <cellStyle name="Followed Hyperlink" xfId="3187" builtinId="9" hidden="1"/>
    <cellStyle name="Followed Hyperlink" xfId="3188" builtinId="9" hidden="1"/>
    <cellStyle name="Followed Hyperlink" xfId="3189" builtinId="9" hidden="1"/>
    <cellStyle name="Followed Hyperlink" xfId="3190" builtinId="9" hidden="1"/>
    <cellStyle name="Followed Hyperlink" xfId="3191" builtinId="9" hidden="1"/>
    <cellStyle name="Followed Hyperlink" xfId="3192" builtinId="9" hidden="1"/>
    <cellStyle name="Followed Hyperlink" xfId="3193" builtinId="9" hidden="1"/>
    <cellStyle name="Followed Hyperlink" xfId="3194" builtinId="9" hidden="1"/>
    <cellStyle name="Followed Hyperlink" xfId="3195" builtinId="9" hidden="1"/>
    <cellStyle name="Followed Hyperlink" xfId="3196" builtinId="9" hidden="1"/>
    <cellStyle name="Followed Hyperlink" xfId="3197" builtinId="9" hidden="1"/>
    <cellStyle name="Followed Hyperlink" xfId="3198" builtinId="9" hidden="1"/>
    <cellStyle name="Followed Hyperlink" xfId="3199" builtinId="9" hidden="1"/>
    <cellStyle name="Followed Hyperlink" xfId="3200" builtinId="9" hidden="1"/>
    <cellStyle name="Followed Hyperlink" xfId="3201" builtinId="9" hidden="1"/>
    <cellStyle name="Followed Hyperlink" xfId="3202" builtinId="9" hidden="1"/>
    <cellStyle name="Followed Hyperlink" xfId="3203" builtinId="9" hidden="1"/>
    <cellStyle name="Followed Hyperlink" xfId="3204" builtinId="9" hidden="1"/>
    <cellStyle name="Followed Hyperlink" xfId="3205" builtinId="9" hidden="1"/>
    <cellStyle name="Followed Hyperlink" xfId="3206" builtinId="9" hidden="1"/>
    <cellStyle name="Followed Hyperlink" xfId="3207" builtinId="9" hidden="1"/>
    <cellStyle name="Followed Hyperlink" xfId="3208" builtinId="9" hidden="1"/>
    <cellStyle name="Followed Hyperlink" xfId="3209" builtinId="9" hidden="1"/>
    <cellStyle name="Followed Hyperlink" xfId="3210" builtinId="9" hidden="1"/>
    <cellStyle name="Followed Hyperlink" xfId="3211" builtinId="9" hidden="1"/>
    <cellStyle name="Followed Hyperlink" xfId="3212" builtinId="9" hidden="1"/>
    <cellStyle name="Followed Hyperlink" xfId="3213" builtinId="9" hidden="1"/>
    <cellStyle name="Followed Hyperlink" xfId="3214" builtinId="9" hidden="1"/>
    <cellStyle name="Followed Hyperlink" xfId="3215" builtinId="9" hidden="1"/>
    <cellStyle name="Followed Hyperlink" xfId="3216" builtinId="9" hidden="1"/>
    <cellStyle name="Followed Hyperlink" xfId="3217" builtinId="9" hidden="1"/>
    <cellStyle name="Followed Hyperlink" xfId="3218" builtinId="9" hidden="1"/>
    <cellStyle name="Followed Hyperlink" xfId="3219" builtinId="9" hidden="1"/>
    <cellStyle name="Followed Hyperlink" xfId="3220" builtinId="9" hidden="1"/>
    <cellStyle name="Followed Hyperlink" xfId="3221" builtinId="9" hidden="1"/>
    <cellStyle name="Followed Hyperlink" xfId="3222" builtinId="9" hidden="1"/>
    <cellStyle name="Followed Hyperlink" xfId="3223" builtinId="9" hidden="1"/>
    <cellStyle name="Followed Hyperlink" xfId="3224" builtinId="9" hidden="1"/>
    <cellStyle name="Followed Hyperlink" xfId="3225" builtinId="9" hidden="1"/>
    <cellStyle name="Followed Hyperlink" xfId="3226" builtinId="9" hidden="1"/>
    <cellStyle name="Followed Hyperlink" xfId="3227" builtinId="9" hidden="1"/>
    <cellStyle name="Followed Hyperlink" xfId="3228" builtinId="9" hidden="1"/>
    <cellStyle name="Followed Hyperlink" xfId="3229" builtinId="9" hidden="1"/>
    <cellStyle name="Followed Hyperlink" xfId="3230" builtinId="9" hidden="1"/>
    <cellStyle name="Followed Hyperlink" xfId="3231" builtinId="9" hidden="1"/>
    <cellStyle name="Followed Hyperlink" xfId="3232" builtinId="9" hidden="1"/>
    <cellStyle name="Followed Hyperlink" xfId="3233" builtinId="9" hidden="1"/>
    <cellStyle name="Followed Hyperlink" xfId="3234" builtinId="9" hidden="1"/>
    <cellStyle name="Followed Hyperlink" xfId="3235" builtinId="9" hidden="1"/>
    <cellStyle name="Followed Hyperlink" xfId="3236" builtinId="9" hidden="1"/>
    <cellStyle name="Followed Hyperlink" xfId="3237" builtinId="9" hidden="1"/>
    <cellStyle name="Followed Hyperlink" xfId="3238" builtinId="9" hidden="1"/>
    <cellStyle name="Followed Hyperlink" xfId="3239" builtinId="9" hidden="1"/>
    <cellStyle name="Followed Hyperlink" xfId="3240" builtinId="9" hidden="1"/>
    <cellStyle name="Followed Hyperlink" xfId="3241" builtinId="9" hidden="1"/>
    <cellStyle name="Followed Hyperlink" xfId="3242" builtinId="9" hidden="1"/>
    <cellStyle name="Followed Hyperlink" xfId="3243" builtinId="9" hidden="1"/>
    <cellStyle name="Followed Hyperlink" xfId="3244" builtinId="9" hidden="1"/>
    <cellStyle name="Followed Hyperlink" xfId="3245" builtinId="9" hidden="1"/>
    <cellStyle name="Followed Hyperlink" xfId="3246" builtinId="9" hidden="1"/>
    <cellStyle name="Followed Hyperlink" xfId="3247" builtinId="9" hidden="1"/>
    <cellStyle name="Followed Hyperlink" xfId="3248" builtinId="9" hidden="1"/>
    <cellStyle name="Followed Hyperlink" xfId="3249" builtinId="9" hidden="1"/>
    <cellStyle name="Followed Hyperlink" xfId="3250" builtinId="9" hidden="1"/>
    <cellStyle name="Followed Hyperlink" xfId="3251" builtinId="9" hidden="1"/>
    <cellStyle name="Followed Hyperlink" xfId="3252" builtinId="9" hidden="1"/>
    <cellStyle name="Followed Hyperlink" xfId="3253" builtinId="9" hidden="1"/>
    <cellStyle name="Followed Hyperlink" xfId="3254" builtinId="9" hidden="1"/>
    <cellStyle name="Followed Hyperlink" xfId="3255" builtinId="9" hidden="1"/>
    <cellStyle name="Followed Hyperlink" xfId="3256" builtinId="9" hidden="1"/>
    <cellStyle name="Followed Hyperlink" xfId="3257" builtinId="9" hidden="1"/>
    <cellStyle name="Followed Hyperlink" xfId="3258" builtinId="9" hidden="1"/>
    <cellStyle name="Followed Hyperlink" xfId="3259" builtinId="9" hidden="1"/>
    <cellStyle name="Followed Hyperlink" xfId="3260" builtinId="9" hidden="1"/>
    <cellStyle name="Followed Hyperlink" xfId="3261" builtinId="9" hidden="1"/>
    <cellStyle name="Followed Hyperlink" xfId="3262" builtinId="9" hidden="1"/>
    <cellStyle name="Followed Hyperlink" xfId="3263" builtinId="9" hidden="1"/>
    <cellStyle name="Followed Hyperlink" xfId="3264" builtinId="9" hidden="1"/>
    <cellStyle name="Followed Hyperlink" xfId="3265" builtinId="9" hidden="1"/>
    <cellStyle name="Followed Hyperlink" xfId="3266" builtinId="9" hidden="1"/>
    <cellStyle name="Followed Hyperlink" xfId="3267" builtinId="9" hidden="1"/>
    <cellStyle name="Followed Hyperlink" xfId="3268" builtinId="9" hidden="1"/>
    <cellStyle name="Followed Hyperlink" xfId="3269" builtinId="9" hidden="1"/>
    <cellStyle name="Followed Hyperlink" xfId="3270" builtinId="9" hidden="1"/>
    <cellStyle name="Followed Hyperlink" xfId="3271" builtinId="9" hidden="1"/>
    <cellStyle name="Followed Hyperlink" xfId="3272" builtinId="9" hidden="1"/>
    <cellStyle name="Followed Hyperlink" xfId="3273" builtinId="9" hidden="1"/>
    <cellStyle name="Followed Hyperlink" xfId="3274" builtinId="9" hidden="1"/>
    <cellStyle name="Followed Hyperlink" xfId="3275" builtinId="9" hidden="1"/>
    <cellStyle name="Followed Hyperlink" xfId="3276" builtinId="9" hidden="1"/>
    <cellStyle name="Followed Hyperlink" xfId="3277" builtinId="9" hidden="1"/>
    <cellStyle name="Followed Hyperlink" xfId="3278" builtinId="9" hidden="1"/>
    <cellStyle name="Followed Hyperlink" xfId="3279" builtinId="9" hidden="1"/>
    <cellStyle name="Followed Hyperlink" xfId="3280" builtinId="9" hidden="1"/>
    <cellStyle name="Followed Hyperlink" xfId="3281" builtinId="9" hidden="1"/>
    <cellStyle name="Followed Hyperlink" xfId="3282" builtinId="9" hidden="1"/>
    <cellStyle name="Followed Hyperlink" xfId="3283" builtinId="9" hidden="1"/>
    <cellStyle name="Followed Hyperlink" xfId="3284" builtinId="9" hidden="1"/>
    <cellStyle name="Followed Hyperlink" xfId="3285" builtinId="9" hidden="1"/>
    <cellStyle name="Followed Hyperlink" xfId="3286" builtinId="9" hidden="1"/>
    <cellStyle name="Followed Hyperlink" xfId="3287" builtinId="9" hidden="1"/>
    <cellStyle name="Followed Hyperlink" xfId="3288" builtinId="9" hidden="1"/>
    <cellStyle name="Followed Hyperlink" xfId="3289" builtinId="9" hidden="1"/>
    <cellStyle name="Followed Hyperlink" xfId="3290" builtinId="9" hidden="1"/>
    <cellStyle name="Followed Hyperlink" xfId="3291" builtinId="9" hidden="1"/>
    <cellStyle name="Followed Hyperlink" xfId="3292" builtinId="9" hidden="1"/>
    <cellStyle name="Followed Hyperlink" xfId="3293" builtinId="9" hidden="1"/>
    <cellStyle name="Followed Hyperlink" xfId="3294" builtinId="9" hidden="1"/>
    <cellStyle name="Followed Hyperlink" xfId="3295" builtinId="9" hidden="1"/>
    <cellStyle name="Followed Hyperlink" xfId="3296" builtinId="9" hidden="1"/>
    <cellStyle name="Followed Hyperlink" xfId="3297" builtinId="9" hidden="1"/>
    <cellStyle name="Followed Hyperlink" xfId="3298" builtinId="9" hidden="1"/>
    <cellStyle name="Followed Hyperlink" xfId="3299" builtinId="9" hidden="1"/>
    <cellStyle name="Followed Hyperlink" xfId="3300" builtinId="9" hidden="1"/>
    <cellStyle name="Followed Hyperlink" xfId="3301" builtinId="9" hidden="1"/>
    <cellStyle name="Followed Hyperlink" xfId="3302" builtinId="9" hidden="1"/>
    <cellStyle name="Followed Hyperlink" xfId="3303" builtinId="9" hidden="1"/>
    <cellStyle name="Followed Hyperlink" xfId="3304" builtinId="9" hidden="1"/>
    <cellStyle name="Followed Hyperlink" xfId="3305" builtinId="9" hidden="1"/>
    <cellStyle name="Followed Hyperlink" xfId="3306" builtinId="9" hidden="1"/>
    <cellStyle name="Followed Hyperlink" xfId="3307" builtinId="9" hidden="1"/>
    <cellStyle name="Followed Hyperlink" xfId="3308" builtinId="9" hidden="1"/>
    <cellStyle name="Followed Hyperlink" xfId="3309" builtinId="9" hidden="1"/>
    <cellStyle name="Followed Hyperlink" xfId="3310" builtinId="9" hidden="1"/>
    <cellStyle name="Followed Hyperlink" xfId="3311" builtinId="9" hidden="1"/>
    <cellStyle name="Followed Hyperlink" xfId="3312" builtinId="9" hidden="1"/>
    <cellStyle name="Followed Hyperlink" xfId="3313" builtinId="9" hidden="1"/>
    <cellStyle name="Followed Hyperlink" xfId="3314" builtinId="9" hidden="1"/>
    <cellStyle name="Followed Hyperlink" xfId="3315" builtinId="9" hidden="1"/>
    <cellStyle name="Followed Hyperlink" xfId="3316" builtinId="9" hidden="1"/>
    <cellStyle name="Followed Hyperlink" xfId="3317" builtinId="9" hidden="1"/>
    <cellStyle name="Followed Hyperlink" xfId="3318" builtinId="9" hidden="1"/>
    <cellStyle name="Followed Hyperlink" xfId="3319" builtinId="9" hidden="1"/>
    <cellStyle name="Followed Hyperlink" xfId="3320" builtinId="9" hidden="1"/>
    <cellStyle name="Followed Hyperlink" xfId="3321" builtinId="9" hidden="1"/>
    <cellStyle name="Followed Hyperlink" xfId="3322" builtinId="9" hidden="1"/>
    <cellStyle name="Followed Hyperlink" xfId="3323" builtinId="9" hidden="1"/>
    <cellStyle name="Followed Hyperlink" xfId="3324" builtinId="9" hidden="1"/>
    <cellStyle name="Followed Hyperlink" xfId="3325" builtinId="9" hidden="1"/>
    <cellStyle name="Followed Hyperlink" xfId="3326" builtinId="9" hidden="1"/>
    <cellStyle name="Followed Hyperlink" xfId="3327" builtinId="9" hidden="1"/>
    <cellStyle name="Followed Hyperlink" xfId="3328" builtinId="9" hidden="1"/>
    <cellStyle name="Followed Hyperlink" xfId="3329" builtinId="9" hidden="1"/>
    <cellStyle name="Followed Hyperlink" xfId="3330" builtinId="9" hidden="1"/>
    <cellStyle name="Followed Hyperlink" xfId="3331" builtinId="9" hidden="1"/>
    <cellStyle name="Followed Hyperlink" xfId="3332" builtinId="9" hidden="1"/>
    <cellStyle name="Followed Hyperlink" xfId="3333" builtinId="9" hidden="1"/>
    <cellStyle name="Followed Hyperlink" xfId="3334" builtinId="9" hidden="1"/>
    <cellStyle name="Followed Hyperlink" xfId="3335" builtinId="9" hidden="1"/>
    <cellStyle name="Followed Hyperlink" xfId="3336" builtinId="9" hidden="1"/>
    <cellStyle name="Followed Hyperlink" xfId="3337" builtinId="9" hidden="1"/>
    <cellStyle name="Followed Hyperlink" xfId="3338" builtinId="9" hidden="1"/>
    <cellStyle name="Followed Hyperlink" xfId="3339" builtinId="9" hidden="1"/>
    <cellStyle name="Followed Hyperlink" xfId="3340" builtinId="9" hidden="1"/>
    <cellStyle name="Followed Hyperlink" xfId="3341" builtinId="9" hidden="1"/>
    <cellStyle name="Followed Hyperlink" xfId="3342" builtinId="9" hidden="1"/>
    <cellStyle name="Followed Hyperlink" xfId="3343" builtinId="9" hidden="1"/>
    <cellStyle name="Followed Hyperlink" xfId="3344" builtinId="9" hidden="1"/>
    <cellStyle name="Followed Hyperlink" xfId="3345" builtinId="9" hidden="1"/>
    <cellStyle name="Followed Hyperlink" xfId="3346" builtinId="9" hidden="1"/>
    <cellStyle name="Followed Hyperlink" xfId="3347" builtinId="9" hidden="1"/>
    <cellStyle name="Followed Hyperlink" xfId="3348" builtinId="9" hidden="1"/>
    <cellStyle name="Followed Hyperlink" xfId="3349" builtinId="9" hidden="1"/>
    <cellStyle name="Followed Hyperlink" xfId="3350" builtinId="9" hidden="1"/>
    <cellStyle name="Followed Hyperlink" xfId="3351" builtinId="9" hidden="1"/>
    <cellStyle name="Followed Hyperlink" xfId="3352" builtinId="9" hidden="1"/>
    <cellStyle name="Followed Hyperlink" xfId="3353" builtinId="9" hidden="1"/>
    <cellStyle name="Followed Hyperlink" xfId="3354" builtinId="9" hidden="1"/>
    <cellStyle name="Followed Hyperlink" xfId="3355" builtinId="9" hidden="1"/>
    <cellStyle name="Followed Hyperlink" xfId="3356" builtinId="9" hidden="1"/>
    <cellStyle name="Followed Hyperlink" xfId="3357" builtinId="9" hidden="1"/>
    <cellStyle name="Followed Hyperlink" xfId="3358" builtinId="9" hidden="1"/>
    <cellStyle name="Followed Hyperlink" xfId="3359" builtinId="9" hidden="1"/>
    <cellStyle name="Followed Hyperlink" xfId="3360" builtinId="9" hidden="1"/>
    <cellStyle name="Followed Hyperlink" xfId="3361" builtinId="9" hidden="1"/>
    <cellStyle name="Followed Hyperlink" xfId="3362" builtinId="9" hidden="1"/>
    <cellStyle name="Followed Hyperlink" xfId="3363" builtinId="9" hidden="1"/>
    <cellStyle name="Followed Hyperlink" xfId="3364" builtinId="9" hidden="1"/>
    <cellStyle name="Followed Hyperlink" xfId="3366" builtinId="9" hidden="1"/>
    <cellStyle name="Followed Hyperlink" xfId="3368" builtinId="9" hidden="1"/>
    <cellStyle name="Followed Hyperlink" xfId="3370" builtinId="9" hidden="1"/>
    <cellStyle name="Followed Hyperlink" xfId="3372" builtinId="9" hidden="1"/>
    <cellStyle name="Followed Hyperlink" xfId="3374" builtinId="9" hidden="1"/>
    <cellStyle name="Followed Hyperlink" xfId="3376" builtinId="9" hidden="1"/>
    <cellStyle name="Followed Hyperlink" xfId="3378" builtinId="9" hidden="1"/>
    <cellStyle name="Followed Hyperlink" xfId="3380" builtinId="9" hidden="1"/>
    <cellStyle name="Followed Hyperlink" xfId="3382" builtinId="9" hidden="1"/>
    <cellStyle name="Followed Hyperlink" xfId="3384" builtinId="9" hidden="1"/>
    <cellStyle name="Followed Hyperlink" xfId="3386" builtinId="9" hidden="1"/>
    <cellStyle name="Followed Hyperlink" xfId="3388" builtinId="9" hidden="1"/>
    <cellStyle name="Followed Hyperlink" xfId="3390" builtinId="9" hidden="1"/>
    <cellStyle name="Followed Hyperlink" xfId="3392" builtinId="9" hidden="1"/>
    <cellStyle name="Followed Hyperlink" xfId="3394" builtinId="9" hidden="1"/>
    <cellStyle name="Followed Hyperlink" xfId="3396" builtinId="9" hidden="1"/>
    <cellStyle name="Followed Hyperlink" xfId="3398" builtinId="9" hidden="1"/>
    <cellStyle name="Followed Hyperlink" xfId="3400" builtinId="9" hidden="1"/>
    <cellStyle name="Followed Hyperlink" xfId="3402" builtinId="9" hidden="1"/>
    <cellStyle name="Followed Hyperlink" xfId="3404" builtinId="9" hidden="1"/>
    <cellStyle name="Followed Hyperlink" xfId="3406" builtinId="9" hidden="1"/>
    <cellStyle name="Followed Hyperlink" xfId="3408" builtinId="9" hidden="1"/>
    <cellStyle name="Followed Hyperlink" xfId="3410" builtinId="9" hidden="1"/>
    <cellStyle name="Followed Hyperlink" xfId="3412" builtinId="9" hidden="1"/>
    <cellStyle name="Followed Hyperlink" xfId="3414" builtinId="9" hidden="1"/>
    <cellStyle name="Followed Hyperlink" xfId="3416" builtinId="9" hidden="1"/>
    <cellStyle name="Followed Hyperlink" xfId="3418" builtinId="9" hidden="1"/>
    <cellStyle name="Followed Hyperlink" xfId="3420" builtinId="9" hidden="1"/>
    <cellStyle name="Followed Hyperlink" xfId="3422" builtinId="9" hidden="1"/>
    <cellStyle name="Followed Hyperlink" xfId="3424" builtinId="9" hidden="1"/>
    <cellStyle name="Followed Hyperlink" xfId="3426" builtinId="9" hidden="1"/>
    <cellStyle name="Followed Hyperlink" xfId="3428" builtinId="9" hidden="1"/>
    <cellStyle name="Followed Hyperlink" xfId="3430" builtinId="9" hidden="1"/>
    <cellStyle name="Followed Hyperlink" xfId="3432" builtinId="9" hidden="1"/>
    <cellStyle name="Followed Hyperlink" xfId="3434" builtinId="9" hidden="1"/>
    <cellStyle name="Followed Hyperlink" xfId="3436" builtinId="9" hidden="1"/>
    <cellStyle name="Followed Hyperlink" xfId="3438" builtinId="9" hidden="1"/>
    <cellStyle name="Followed Hyperlink" xfId="3440" builtinId="9" hidden="1"/>
    <cellStyle name="Followed Hyperlink" xfId="3442" builtinId="9" hidden="1"/>
    <cellStyle name="Followed Hyperlink" xfId="3444" builtinId="9" hidden="1"/>
    <cellStyle name="Followed Hyperlink" xfId="3446" builtinId="9" hidden="1"/>
    <cellStyle name="Followed Hyperlink" xfId="3448" builtinId="9" hidden="1"/>
    <cellStyle name="Followed Hyperlink" xfId="3450" builtinId="9" hidden="1"/>
    <cellStyle name="Followed Hyperlink" xfId="3452" builtinId="9" hidden="1"/>
    <cellStyle name="Followed Hyperlink" xfId="3454" builtinId="9" hidden="1"/>
    <cellStyle name="Followed Hyperlink" xfId="3456" builtinId="9" hidden="1"/>
    <cellStyle name="Followed Hyperlink" xfId="3458" builtinId="9" hidden="1"/>
    <cellStyle name="Followed Hyperlink" xfId="3460" builtinId="9" hidden="1"/>
    <cellStyle name="Followed Hyperlink" xfId="3462" builtinId="9" hidden="1"/>
    <cellStyle name="Followed Hyperlink" xfId="3464" builtinId="9" hidden="1"/>
    <cellStyle name="Followed Hyperlink" xfId="3466" builtinId="9" hidden="1"/>
    <cellStyle name="Followed Hyperlink" xfId="3468" builtinId="9" hidden="1"/>
    <cellStyle name="Followed Hyperlink" xfId="3470" builtinId="9" hidden="1"/>
    <cellStyle name="Followed Hyperlink" xfId="3472" builtinId="9" hidden="1"/>
    <cellStyle name="Followed Hyperlink" xfId="3474" builtinId="9" hidden="1"/>
    <cellStyle name="Followed Hyperlink" xfId="3476" builtinId="9" hidden="1"/>
    <cellStyle name="Followed Hyperlink" xfId="3478" builtinId="9" hidden="1"/>
    <cellStyle name="Followed Hyperlink" xfId="3480" builtinId="9" hidden="1"/>
    <cellStyle name="Followed Hyperlink" xfId="3482" builtinId="9" hidden="1"/>
    <cellStyle name="Followed Hyperlink" xfId="3484" builtinId="9" hidden="1"/>
    <cellStyle name="Followed Hyperlink" xfId="3486" builtinId="9" hidden="1"/>
    <cellStyle name="Followed Hyperlink" xfId="3488" builtinId="9" hidden="1"/>
    <cellStyle name="Followed Hyperlink" xfId="3490" builtinId="9" hidden="1"/>
    <cellStyle name="Followed Hyperlink" xfId="3492" builtinId="9" hidden="1"/>
    <cellStyle name="Followed Hyperlink" xfId="3494" builtinId="9" hidden="1"/>
    <cellStyle name="Followed Hyperlink" xfId="3496" builtinId="9" hidden="1"/>
    <cellStyle name="Followed Hyperlink" xfId="3498" builtinId="9" hidden="1"/>
    <cellStyle name="Followed Hyperlink" xfId="3500" builtinId="9" hidden="1"/>
    <cellStyle name="Followed Hyperlink" xfId="3502" builtinId="9" hidden="1"/>
    <cellStyle name="Followed Hyperlink" xfId="3504" builtinId="9" hidden="1"/>
    <cellStyle name="Followed Hyperlink" xfId="3506" builtinId="9" hidden="1"/>
    <cellStyle name="Followed Hyperlink" xfId="3508" builtinId="9" hidden="1"/>
    <cellStyle name="Followed Hyperlink" xfId="3510" builtinId="9" hidden="1"/>
    <cellStyle name="Followed Hyperlink" xfId="3512" builtinId="9" hidden="1"/>
    <cellStyle name="Followed Hyperlink" xfId="3514" builtinId="9" hidden="1"/>
    <cellStyle name="Followed Hyperlink" xfId="3516" builtinId="9" hidden="1"/>
    <cellStyle name="Followed Hyperlink" xfId="3518" builtinId="9" hidden="1"/>
    <cellStyle name="Followed Hyperlink" xfId="3520" builtinId="9" hidden="1"/>
    <cellStyle name="Followed Hyperlink" xfId="3522" builtinId="9" hidden="1"/>
    <cellStyle name="Followed Hyperlink" xfId="3524" builtinId="9" hidden="1"/>
    <cellStyle name="Followed Hyperlink" xfId="3526" builtinId="9" hidden="1"/>
    <cellStyle name="Followed Hyperlink" xfId="3528" builtinId="9" hidden="1"/>
    <cellStyle name="Followed Hyperlink" xfId="3530" builtinId="9" hidden="1"/>
    <cellStyle name="Followed Hyperlink" xfId="3532" builtinId="9" hidden="1"/>
    <cellStyle name="Followed Hyperlink" xfId="3534" builtinId="9" hidden="1"/>
    <cellStyle name="Followed Hyperlink" xfId="3536" builtinId="9" hidden="1"/>
    <cellStyle name="Followed Hyperlink" xfId="3538" builtinId="9" hidden="1"/>
    <cellStyle name="Followed Hyperlink" xfId="3540" builtinId="9" hidden="1"/>
    <cellStyle name="Followed Hyperlink" xfId="3542" builtinId="9" hidden="1"/>
    <cellStyle name="Followed Hyperlink" xfId="3544" builtinId="9" hidden="1"/>
    <cellStyle name="Followed Hyperlink" xfId="3546" builtinId="9" hidden="1"/>
    <cellStyle name="Followed Hyperlink" xfId="3548" builtinId="9" hidden="1"/>
    <cellStyle name="Followed Hyperlink" xfId="3550" builtinId="9" hidden="1"/>
    <cellStyle name="Followed Hyperlink" xfId="3552" builtinId="9" hidden="1"/>
    <cellStyle name="Followed Hyperlink" xfId="3554" builtinId="9" hidden="1"/>
    <cellStyle name="Followed Hyperlink" xfId="3556" builtinId="9" hidden="1"/>
    <cellStyle name="Followed Hyperlink" xfId="3558" builtinId="9" hidden="1"/>
    <cellStyle name="Followed Hyperlink" xfId="3560" builtinId="9" hidden="1"/>
    <cellStyle name="Followed Hyperlink" xfId="3562" builtinId="9" hidden="1"/>
    <cellStyle name="Followed Hyperlink" xfId="3564" builtinId="9" hidden="1"/>
    <cellStyle name="Followed Hyperlink" xfId="3566" builtinId="9" hidden="1"/>
    <cellStyle name="Followed Hyperlink" xfId="3568" builtinId="9" hidden="1"/>
    <cellStyle name="Followed Hyperlink" xfId="3570" builtinId="9" hidden="1"/>
    <cellStyle name="Followed Hyperlink" xfId="3572" builtinId="9" hidden="1"/>
    <cellStyle name="Followed Hyperlink" xfId="3574" builtinId="9" hidden="1"/>
    <cellStyle name="Followed Hyperlink" xfId="3576" builtinId="9" hidden="1"/>
    <cellStyle name="Followed Hyperlink" xfId="3578" builtinId="9" hidden="1"/>
    <cellStyle name="Followed Hyperlink" xfId="3580" builtinId="9" hidden="1"/>
    <cellStyle name="Followed Hyperlink" xfId="3582" builtinId="9" hidden="1"/>
    <cellStyle name="Followed Hyperlink" xfId="3584" builtinId="9" hidden="1"/>
    <cellStyle name="Followed Hyperlink" xfId="3586" builtinId="9" hidden="1"/>
    <cellStyle name="Followed Hyperlink" xfId="3588" builtinId="9" hidden="1"/>
    <cellStyle name="Followed Hyperlink" xfId="3590" builtinId="9" hidden="1"/>
    <cellStyle name="Followed Hyperlink" xfId="3592" builtinId="9" hidden="1"/>
    <cellStyle name="Followed Hyperlink" xfId="3594" builtinId="9" hidden="1"/>
    <cellStyle name="Followed Hyperlink" xfId="3596" builtinId="9" hidden="1"/>
    <cellStyle name="Followed Hyperlink" xfId="3598" builtinId="9" hidden="1"/>
    <cellStyle name="Followed Hyperlink" xfId="3600" builtinId="9" hidden="1"/>
    <cellStyle name="Followed Hyperlink" xfId="3602" builtinId="9" hidden="1"/>
    <cellStyle name="Followed Hyperlink" xfId="3604" builtinId="9" hidden="1"/>
    <cellStyle name="Followed Hyperlink" xfId="3606" builtinId="9" hidden="1"/>
    <cellStyle name="Followed Hyperlink" xfId="3608" builtinId="9" hidden="1"/>
    <cellStyle name="Followed Hyperlink" xfId="3610" builtinId="9" hidden="1"/>
    <cellStyle name="Followed Hyperlink" xfId="3612" builtinId="9" hidden="1"/>
    <cellStyle name="Followed Hyperlink" xfId="3614" builtinId="9" hidden="1"/>
    <cellStyle name="Followed Hyperlink" xfId="3616" builtinId="9" hidden="1"/>
    <cellStyle name="Followed Hyperlink" xfId="3618" builtinId="9" hidden="1"/>
    <cellStyle name="Followed Hyperlink" xfId="3620" builtinId="9" hidden="1"/>
    <cellStyle name="Followed Hyperlink" xfId="3622" builtinId="9" hidden="1"/>
    <cellStyle name="Followed Hyperlink" xfId="3624" builtinId="9" hidden="1"/>
    <cellStyle name="Followed Hyperlink" xfId="3626" builtinId="9" hidden="1"/>
    <cellStyle name="Followed Hyperlink" xfId="3628" builtinId="9" hidden="1"/>
    <cellStyle name="Followed Hyperlink" xfId="3630" builtinId="9" hidden="1"/>
    <cellStyle name="Followed Hyperlink" xfId="3632" builtinId="9" hidden="1"/>
    <cellStyle name="Followed Hyperlink" xfId="3634" builtinId="9" hidden="1"/>
    <cellStyle name="Followed Hyperlink" xfId="3636" builtinId="9" hidden="1"/>
    <cellStyle name="Followed Hyperlink" xfId="3638" builtinId="9" hidden="1"/>
    <cellStyle name="Followed Hyperlink" xfId="3640" builtinId="9" hidden="1"/>
    <cellStyle name="Followed Hyperlink" xfId="3642" builtinId="9" hidden="1"/>
    <cellStyle name="Followed Hyperlink" xfId="3644" builtinId="9" hidden="1"/>
    <cellStyle name="Followed Hyperlink" xfId="3646" builtinId="9" hidden="1"/>
    <cellStyle name="Followed Hyperlink" xfId="3648" builtinId="9" hidden="1"/>
    <cellStyle name="Followed Hyperlink" xfId="3650" builtinId="9" hidden="1"/>
    <cellStyle name="Followed Hyperlink" xfId="3652" builtinId="9" hidden="1"/>
    <cellStyle name="Followed Hyperlink" xfId="3654" builtinId="9" hidden="1"/>
    <cellStyle name="Followed Hyperlink" xfId="3656" builtinId="9" hidden="1"/>
    <cellStyle name="Followed Hyperlink" xfId="3658" builtinId="9" hidden="1"/>
    <cellStyle name="Followed Hyperlink" xfId="3660" builtinId="9" hidden="1"/>
    <cellStyle name="Followed Hyperlink" xfId="3662" builtinId="9" hidden="1"/>
    <cellStyle name="Followed Hyperlink" xfId="3664" builtinId="9" hidden="1"/>
    <cellStyle name="Followed Hyperlink" xfId="3666" builtinId="9" hidden="1"/>
    <cellStyle name="Followed Hyperlink" xfId="3668" builtinId="9" hidden="1"/>
    <cellStyle name="Followed Hyperlink" xfId="3670" builtinId="9" hidden="1"/>
    <cellStyle name="Followed Hyperlink" xfId="3672" builtinId="9" hidden="1"/>
    <cellStyle name="Followed Hyperlink" xfId="3674" builtinId="9" hidden="1"/>
    <cellStyle name="Followed Hyperlink" xfId="3676" builtinId="9" hidden="1"/>
    <cellStyle name="Followed Hyperlink" xfId="3678" builtinId="9" hidden="1"/>
    <cellStyle name="Followed Hyperlink" xfId="3680" builtinId="9" hidden="1"/>
    <cellStyle name="Followed Hyperlink" xfId="3682" builtinId="9" hidden="1"/>
    <cellStyle name="Followed Hyperlink" xfId="3684" builtinId="9" hidden="1"/>
    <cellStyle name="Followed Hyperlink" xfId="3686" builtinId="9" hidden="1"/>
    <cellStyle name="Followed Hyperlink" xfId="3688" builtinId="9" hidden="1"/>
    <cellStyle name="Followed Hyperlink" xfId="3690" builtinId="9" hidden="1"/>
    <cellStyle name="Followed Hyperlink" xfId="3692" builtinId="9" hidden="1"/>
    <cellStyle name="Followed Hyperlink" xfId="3694" builtinId="9" hidden="1"/>
    <cellStyle name="Followed Hyperlink" xfId="3696" builtinId="9" hidden="1"/>
    <cellStyle name="Followed Hyperlink" xfId="3698" builtinId="9" hidden="1"/>
    <cellStyle name="Followed Hyperlink" xfId="3700" builtinId="9" hidden="1"/>
    <cellStyle name="Followed Hyperlink" xfId="3702" builtinId="9" hidden="1"/>
    <cellStyle name="Followed Hyperlink" xfId="3704" builtinId="9" hidden="1"/>
    <cellStyle name="Followed Hyperlink" xfId="3706" builtinId="9" hidden="1"/>
    <cellStyle name="Followed Hyperlink" xfId="3708" builtinId="9" hidden="1"/>
    <cellStyle name="Followed Hyperlink" xfId="3710" builtinId="9" hidden="1"/>
    <cellStyle name="Followed Hyperlink" xfId="3712" builtinId="9" hidden="1"/>
    <cellStyle name="Followed Hyperlink" xfId="3714" builtinId="9" hidden="1"/>
    <cellStyle name="Followed Hyperlink" xfId="3716" builtinId="9" hidden="1"/>
    <cellStyle name="Followed Hyperlink" xfId="3718" builtinId="9" hidden="1"/>
    <cellStyle name="Followed Hyperlink" xfId="3720" builtinId="9" hidden="1"/>
    <cellStyle name="Followed Hyperlink" xfId="3722" builtinId="9" hidden="1"/>
    <cellStyle name="Followed Hyperlink" xfId="3724" builtinId="9" hidden="1"/>
    <cellStyle name="Followed Hyperlink" xfId="3726" builtinId="9" hidden="1"/>
    <cellStyle name="Followed Hyperlink" xfId="3728" builtinId="9" hidden="1"/>
    <cellStyle name="Followed Hyperlink" xfId="3730" builtinId="9" hidden="1"/>
    <cellStyle name="Followed Hyperlink" xfId="3732" builtinId="9" hidden="1"/>
    <cellStyle name="Followed Hyperlink" xfId="3734" builtinId="9" hidden="1"/>
    <cellStyle name="Followed Hyperlink" xfId="3736" builtinId="9" hidden="1"/>
    <cellStyle name="Followed Hyperlink" xfId="3738" builtinId="9" hidden="1"/>
    <cellStyle name="Followed Hyperlink" xfId="3740" builtinId="9" hidden="1"/>
    <cellStyle name="Followed Hyperlink" xfId="3742" builtinId="9" hidden="1"/>
    <cellStyle name="Followed Hyperlink" xfId="3744" builtinId="9" hidden="1"/>
    <cellStyle name="Followed Hyperlink" xfId="3746" builtinId="9" hidden="1"/>
    <cellStyle name="Followed Hyperlink" xfId="3748" builtinId="9" hidden="1"/>
    <cellStyle name="Followed Hyperlink" xfId="3750" builtinId="9" hidden="1"/>
    <cellStyle name="Followed Hyperlink" xfId="3752" builtinId="9" hidden="1"/>
    <cellStyle name="Followed Hyperlink" xfId="3754" builtinId="9" hidden="1"/>
    <cellStyle name="Followed Hyperlink" xfId="3756" builtinId="9" hidden="1"/>
    <cellStyle name="Followed Hyperlink" xfId="3758" builtinId="9" hidden="1"/>
    <cellStyle name="Followed Hyperlink" xfId="3760" builtinId="9" hidden="1"/>
    <cellStyle name="Followed Hyperlink" xfId="3762" builtinId="9" hidden="1"/>
    <cellStyle name="Followed Hyperlink" xfId="3764" builtinId="9" hidden="1"/>
    <cellStyle name="Followed Hyperlink" xfId="3766" builtinId="9" hidden="1"/>
    <cellStyle name="Followed Hyperlink" xfId="3768" builtinId="9" hidden="1"/>
    <cellStyle name="Followed Hyperlink" xfId="3770" builtinId="9" hidden="1"/>
    <cellStyle name="Followed Hyperlink" xfId="3772" builtinId="9" hidden="1"/>
    <cellStyle name="Followed Hyperlink" xfId="3774" builtinId="9" hidden="1"/>
    <cellStyle name="Followed Hyperlink" xfId="3776" builtinId="9" hidden="1"/>
    <cellStyle name="Followed Hyperlink" xfId="3778" builtinId="9" hidden="1"/>
    <cellStyle name="Followed Hyperlink" xfId="3780" builtinId="9" hidden="1"/>
    <cellStyle name="Followed Hyperlink" xfId="3782" builtinId="9" hidden="1"/>
    <cellStyle name="Followed Hyperlink" xfId="3784" builtinId="9" hidden="1"/>
    <cellStyle name="Followed Hyperlink" xfId="3786" builtinId="9" hidden="1"/>
    <cellStyle name="Followed Hyperlink" xfId="3788" builtinId="9" hidden="1"/>
    <cellStyle name="Followed Hyperlink" xfId="3790" builtinId="9" hidden="1"/>
    <cellStyle name="Followed Hyperlink" xfId="3792" builtinId="9" hidden="1"/>
    <cellStyle name="Followed Hyperlink" xfId="3794" builtinId="9" hidden="1"/>
    <cellStyle name="Followed Hyperlink" xfId="3796" builtinId="9" hidden="1"/>
    <cellStyle name="Followed Hyperlink" xfId="3798" builtinId="9" hidden="1"/>
    <cellStyle name="Followed Hyperlink" xfId="3800" builtinId="9" hidden="1"/>
    <cellStyle name="Followed Hyperlink" xfId="3802" builtinId="9" hidden="1"/>
    <cellStyle name="Followed Hyperlink" xfId="3804" builtinId="9" hidden="1"/>
    <cellStyle name="Followed Hyperlink" xfId="3806" builtinId="9" hidden="1"/>
    <cellStyle name="Followed Hyperlink" xfId="3808" builtinId="9" hidden="1"/>
    <cellStyle name="Followed Hyperlink" xfId="3810" builtinId="9" hidden="1"/>
    <cellStyle name="Followed Hyperlink" xfId="3812" builtinId="9" hidden="1"/>
    <cellStyle name="Followed Hyperlink" xfId="3814" builtinId="9" hidden="1"/>
    <cellStyle name="Followed Hyperlink" xfId="3816" builtinId="9" hidden="1"/>
    <cellStyle name="Followed Hyperlink" xfId="3818" builtinId="9" hidden="1"/>
    <cellStyle name="Followed Hyperlink" xfId="3820" builtinId="9" hidden="1"/>
    <cellStyle name="Followed Hyperlink" xfId="3822" builtinId="9" hidden="1"/>
    <cellStyle name="Followed Hyperlink" xfId="3824" builtinId="9" hidden="1"/>
    <cellStyle name="Followed Hyperlink" xfId="3826" builtinId="9" hidden="1"/>
    <cellStyle name="Followed Hyperlink" xfId="3828" builtinId="9" hidden="1"/>
    <cellStyle name="Followed Hyperlink" xfId="3830" builtinId="9" hidden="1"/>
    <cellStyle name="Followed Hyperlink" xfId="3832" builtinId="9" hidden="1"/>
    <cellStyle name="Followed Hyperlink" xfId="3834" builtinId="9" hidden="1"/>
    <cellStyle name="Followed Hyperlink" xfId="3836" builtinId="9" hidden="1"/>
    <cellStyle name="Followed Hyperlink" xfId="3838" builtinId="9" hidden="1"/>
    <cellStyle name="Followed Hyperlink" xfId="3840" builtinId="9" hidden="1"/>
    <cellStyle name="Followed Hyperlink" xfId="3842" builtinId="9" hidden="1"/>
    <cellStyle name="Followed Hyperlink" xfId="3844" builtinId="9" hidden="1"/>
    <cellStyle name="Followed Hyperlink" xfId="3846" builtinId="9" hidden="1"/>
    <cellStyle name="Followed Hyperlink" xfId="3848" builtinId="9" hidden="1"/>
    <cellStyle name="Followed Hyperlink" xfId="3850" builtinId="9" hidden="1"/>
    <cellStyle name="Followed Hyperlink" xfId="3852" builtinId="9" hidden="1"/>
    <cellStyle name="Followed Hyperlink" xfId="3854" builtinId="9" hidden="1"/>
    <cellStyle name="Followed Hyperlink" xfId="3856" builtinId="9" hidden="1"/>
    <cellStyle name="Followed Hyperlink" xfId="3858" builtinId="9" hidden="1"/>
    <cellStyle name="Followed Hyperlink" xfId="3860" builtinId="9" hidden="1"/>
    <cellStyle name="Followed Hyperlink" xfId="3862" builtinId="9" hidden="1"/>
    <cellStyle name="Followed Hyperlink" xfId="3864" builtinId="9" hidden="1"/>
    <cellStyle name="Followed Hyperlink" xfId="3866" builtinId="9" hidden="1"/>
    <cellStyle name="Followed Hyperlink" xfId="3868" builtinId="9" hidden="1"/>
    <cellStyle name="Followed Hyperlink" xfId="3870" builtinId="9" hidden="1"/>
    <cellStyle name="Followed Hyperlink" xfId="3872" builtinId="9" hidden="1"/>
    <cellStyle name="Followed Hyperlink" xfId="3874" builtinId="9" hidden="1"/>
    <cellStyle name="Followed Hyperlink" xfId="3876" builtinId="9" hidden="1"/>
    <cellStyle name="Followed Hyperlink" xfId="3878" builtinId="9" hidden="1"/>
    <cellStyle name="Followed Hyperlink" xfId="3880" builtinId="9" hidden="1"/>
    <cellStyle name="Followed Hyperlink" xfId="3882" builtinId="9" hidden="1"/>
    <cellStyle name="Followed Hyperlink" xfId="3884" builtinId="9" hidden="1"/>
    <cellStyle name="Followed Hyperlink" xfId="3886" builtinId="9" hidden="1"/>
    <cellStyle name="Followed Hyperlink" xfId="3888" builtinId="9" hidden="1"/>
    <cellStyle name="Followed Hyperlink" xfId="3890" builtinId="9" hidden="1"/>
    <cellStyle name="Followed Hyperlink" xfId="3892" builtinId="9" hidden="1"/>
    <cellStyle name="Followed Hyperlink" xfId="3894" builtinId="9" hidden="1"/>
    <cellStyle name="Followed Hyperlink" xfId="3896" builtinId="9" hidden="1"/>
    <cellStyle name="Followed Hyperlink" xfId="3898" builtinId="9" hidden="1"/>
    <cellStyle name="Followed Hyperlink" xfId="3900" builtinId="9" hidden="1"/>
    <cellStyle name="Followed Hyperlink" xfId="3902" builtinId="9" hidden="1"/>
    <cellStyle name="Followed Hyperlink" xfId="3904" builtinId="9" hidden="1"/>
    <cellStyle name="Followed Hyperlink" xfId="3906" builtinId="9" hidden="1"/>
    <cellStyle name="Followed Hyperlink" xfId="3908" builtinId="9" hidden="1"/>
    <cellStyle name="Followed Hyperlink" xfId="3910" builtinId="9" hidden="1"/>
    <cellStyle name="Followed Hyperlink" xfId="3912" builtinId="9" hidden="1"/>
    <cellStyle name="Followed Hyperlink" xfId="3914" builtinId="9" hidden="1"/>
    <cellStyle name="Followed Hyperlink" xfId="3916" builtinId="9" hidden="1"/>
    <cellStyle name="Followed Hyperlink" xfId="3918" builtinId="9" hidden="1"/>
    <cellStyle name="Followed Hyperlink" xfId="3920" builtinId="9" hidden="1"/>
    <cellStyle name="Followed Hyperlink" xfId="3922" builtinId="9" hidden="1"/>
    <cellStyle name="Followed Hyperlink" xfId="3924" builtinId="9" hidden="1"/>
    <cellStyle name="Followed Hyperlink" xfId="3926" builtinId="9" hidden="1"/>
    <cellStyle name="Followed Hyperlink" xfId="3928" builtinId="9" hidden="1"/>
    <cellStyle name="Followed Hyperlink" xfId="3930" builtinId="9" hidden="1"/>
    <cellStyle name="Followed Hyperlink" xfId="3932" builtinId="9" hidden="1"/>
    <cellStyle name="Followed Hyperlink" xfId="3934" builtinId="9" hidden="1"/>
    <cellStyle name="Followed Hyperlink" xfId="3936" builtinId="9" hidden="1"/>
    <cellStyle name="Followed Hyperlink" xfId="3938" builtinId="9" hidden="1"/>
    <cellStyle name="Followed Hyperlink" xfId="3940" builtinId="9" hidden="1"/>
    <cellStyle name="Followed Hyperlink" xfId="3942" builtinId="9" hidden="1"/>
    <cellStyle name="Followed Hyperlink" xfId="3944" builtinId="9" hidden="1"/>
    <cellStyle name="Followed Hyperlink" xfId="3946" builtinId="9" hidden="1"/>
    <cellStyle name="Followed Hyperlink" xfId="3948" builtinId="9" hidden="1"/>
    <cellStyle name="Followed Hyperlink" xfId="3950" builtinId="9" hidden="1"/>
    <cellStyle name="Followed Hyperlink" xfId="3952" builtinId="9" hidden="1"/>
    <cellStyle name="Followed Hyperlink" xfId="3954" builtinId="9" hidden="1"/>
    <cellStyle name="Followed Hyperlink" xfId="3956" builtinId="9" hidden="1"/>
    <cellStyle name="Followed Hyperlink" xfId="3958" builtinId="9" hidden="1"/>
    <cellStyle name="Followed Hyperlink" xfId="3960" builtinId="9" hidden="1"/>
    <cellStyle name="Followed Hyperlink" xfId="3962" builtinId="9" hidden="1"/>
    <cellStyle name="Followed Hyperlink" xfId="3964" builtinId="9" hidden="1"/>
    <cellStyle name="Followed Hyperlink" xfId="3966" builtinId="9" hidden="1"/>
    <cellStyle name="Followed Hyperlink" xfId="3968" builtinId="9" hidden="1"/>
    <cellStyle name="Followed Hyperlink" xfId="3970" builtinId="9" hidden="1"/>
    <cellStyle name="Followed Hyperlink" xfId="3972" builtinId="9" hidden="1"/>
    <cellStyle name="Followed Hyperlink" xfId="3974" builtinId="9" hidden="1"/>
    <cellStyle name="Followed Hyperlink" xfId="3976" builtinId="9" hidden="1"/>
    <cellStyle name="Followed Hyperlink" xfId="3978" builtinId="9" hidden="1"/>
    <cellStyle name="Followed Hyperlink" xfId="3980" builtinId="9" hidden="1"/>
    <cellStyle name="Followed Hyperlink" xfId="3982" builtinId="9" hidden="1"/>
    <cellStyle name="Followed Hyperlink" xfId="3984" builtinId="9" hidden="1"/>
    <cellStyle name="Followed Hyperlink" xfId="3986" builtinId="9" hidden="1"/>
    <cellStyle name="Followed Hyperlink" xfId="3988" builtinId="9" hidden="1"/>
    <cellStyle name="Followed Hyperlink" xfId="3990" builtinId="9" hidden="1"/>
    <cellStyle name="Followed Hyperlink" xfId="3992" builtinId="9" hidden="1"/>
    <cellStyle name="Followed Hyperlink" xfId="3994" builtinId="9" hidden="1"/>
    <cellStyle name="Followed Hyperlink" xfId="3996" builtinId="9" hidden="1"/>
    <cellStyle name="Followed Hyperlink" xfId="3998" builtinId="9" hidden="1"/>
    <cellStyle name="Followed Hyperlink" xfId="4000" builtinId="9" hidden="1"/>
    <cellStyle name="Followed Hyperlink" xfId="4002" builtinId="9" hidden="1"/>
    <cellStyle name="Followed Hyperlink" xfId="4004" builtinId="9" hidden="1"/>
    <cellStyle name="Followed Hyperlink" xfId="4006" builtinId="9" hidden="1"/>
    <cellStyle name="Followed Hyperlink" xfId="4008" builtinId="9" hidden="1"/>
    <cellStyle name="Followed Hyperlink" xfId="4010" builtinId="9" hidden="1"/>
    <cellStyle name="Followed Hyperlink" xfId="4012" builtinId="9" hidden="1"/>
    <cellStyle name="Followed Hyperlink" xfId="4014" builtinId="9" hidden="1"/>
    <cellStyle name="Followed Hyperlink" xfId="4016" builtinId="9" hidden="1"/>
    <cellStyle name="Followed Hyperlink" xfId="4018" builtinId="9" hidden="1"/>
    <cellStyle name="Followed Hyperlink" xfId="4020" builtinId="9" hidden="1"/>
    <cellStyle name="Followed Hyperlink" xfId="4022" builtinId="9" hidden="1"/>
    <cellStyle name="Followed Hyperlink" xfId="4024" builtinId="9" hidden="1"/>
    <cellStyle name="Followed Hyperlink" xfId="4026" builtinId="9" hidden="1"/>
    <cellStyle name="Followed Hyperlink" xfId="4028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28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50" builtinId="9" hidden="1"/>
    <cellStyle name="Followed Hyperlink" xfId="4452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59" builtinId="9" hidden="1"/>
    <cellStyle name="Followed Hyperlink" xfId="4560" builtinId="9" hidden="1"/>
    <cellStyle name="Followed Hyperlink" xfId="4561" builtinId="9" hidden="1"/>
    <cellStyle name="Followed Hyperlink" xfId="4562" builtinId="9" hidden="1"/>
    <cellStyle name="Followed Hyperlink" xfId="4563" builtinId="9" hidden="1"/>
    <cellStyle name="Followed Hyperlink" xfId="4564" builtinId="9" hidden="1"/>
    <cellStyle name="Followed Hyperlink" xfId="4565" builtinId="9" hidden="1"/>
    <cellStyle name="Followed Hyperlink" xfId="4566" builtinId="9" hidden="1"/>
    <cellStyle name="Followed Hyperlink" xfId="4567" builtinId="9" hidden="1"/>
    <cellStyle name="Followed Hyperlink" xfId="4568" builtinId="9" hidden="1"/>
    <cellStyle name="Followed Hyperlink" xfId="4569" builtinId="9" hidden="1"/>
    <cellStyle name="Followed Hyperlink" xfId="4570" builtinId="9" hidden="1"/>
    <cellStyle name="Followed Hyperlink" xfId="4571" builtinId="9" hidden="1"/>
    <cellStyle name="Followed Hyperlink" xfId="4572" builtinId="9" hidden="1"/>
    <cellStyle name="Followed Hyperlink" xfId="4573" builtinId="9" hidden="1"/>
    <cellStyle name="Followed Hyperlink" xfId="4574" builtinId="9" hidden="1"/>
    <cellStyle name="Followed Hyperlink" xfId="4575" builtinId="9" hidden="1"/>
    <cellStyle name="Followed Hyperlink" xfId="4576" builtinId="9" hidden="1"/>
    <cellStyle name="Followed Hyperlink" xfId="4577" builtinId="9" hidden="1"/>
    <cellStyle name="Followed Hyperlink" xfId="4578" builtinId="9" hidden="1"/>
    <cellStyle name="Followed Hyperlink" xfId="4579" builtinId="9" hidden="1"/>
    <cellStyle name="Followed Hyperlink" xfId="4580" builtinId="9" hidden="1"/>
    <cellStyle name="Followed Hyperlink" xfId="4581" builtinId="9" hidden="1"/>
    <cellStyle name="Followed Hyperlink" xfId="4582" builtinId="9" hidden="1"/>
    <cellStyle name="Followed Hyperlink" xfId="4583" builtinId="9" hidden="1"/>
    <cellStyle name="Followed Hyperlink" xfId="4584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Followed Hyperlink" xfId="4691" builtinId="9" hidden="1"/>
    <cellStyle name="Followed Hyperlink" xfId="4693" builtinId="9" hidden="1"/>
    <cellStyle name="Followed Hyperlink" xfId="4695" builtinId="9" hidden="1"/>
    <cellStyle name="Followed Hyperlink" xfId="4697" builtinId="9" hidden="1"/>
    <cellStyle name="Followed Hyperlink" xfId="4699" builtinId="9" hidden="1"/>
    <cellStyle name="Followed Hyperlink" xfId="4701" builtinId="9" hidden="1"/>
    <cellStyle name="Followed Hyperlink" xfId="4703" builtinId="9" hidden="1"/>
    <cellStyle name="Followed Hyperlink" xfId="4705" builtinId="9" hidden="1"/>
    <cellStyle name="Followed Hyperlink" xfId="4707" builtinId="9" hidden="1"/>
    <cellStyle name="Followed Hyperlink" xfId="4709" builtinId="9" hidden="1"/>
    <cellStyle name="Followed Hyperlink" xfId="4711" builtinId="9" hidden="1"/>
    <cellStyle name="Followed Hyperlink" xfId="4713" builtinId="9" hidden="1"/>
    <cellStyle name="Followed Hyperlink" xfId="4715" builtinId="9" hidden="1"/>
    <cellStyle name="Followed Hyperlink" xfId="4717" builtinId="9" hidden="1"/>
    <cellStyle name="Followed Hyperlink" xfId="4719" builtinId="9" hidden="1"/>
    <cellStyle name="Followed Hyperlink" xfId="4721" builtinId="9" hidden="1"/>
    <cellStyle name="Followed Hyperlink" xfId="4723" builtinId="9" hidden="1"/>
    <cellStyle name="Followed Hyperlink" xfId="4725" builtinId="9" hidden="1"/>
    <cellStyle name="Followed Hyperlink" xfId="4727" builtinId="9" hidden="1"/>
    <cellStyle name="Followed Hyperlink" xfId="4729" builtinId="9" hidden="1"/>
    <cellStyle name="Followed Hyperlink" xfId="4731" builtinId="9" hidden="1"/>
    <cellStyle name="Followed Hyperlink" xfId="4733" builtinId="9" hidden="1"/>
    <cellStyle name="Followed Hyperlink" xfId="4735" builtinId="9" hidden="1"/>
    <cellStyle name="Followed Hyperlink" xfId="4737" builtinId="9" hidden="1"/>
    <cellStyle name="Followed Hyperlink" xfId="4739" builtinId="9" hidden="1"/>
    <cellStyle name="Followed Hyperlink" xfId="4741" builtinId="9" hidden="1"/>
    <cellStyle name="Followed Hyperlink" xfId="4743" builtinId="9" hidden="1"/>
    <cellStyle name="Followed Hyperlink" xfId="4745" builtinId="9" hidden="1"/>
    <cellStyle name="Followed Hyperlink" xfId="4747" builtinId="9" hidden="1"/>
    <cellStyle name="Followed Hyperlink" xfId="4749" builtinId="9" hidden="1"/>
    <cellStyle name="Followed Hyperlink" xfId="4751" builtinId="9" hidden="1"/>
    <cellStyle name="Followed Hyperlink" xfId="4753" builtinId="9" hidden="1"/>
    <cellStyle name="Followed Hyperlink" xfId="4755" builtinId="9" hidden="1"/>
    <cellStyle name="Followed Hyperlink" xfId="4757" builtinId="9" hidden="1"/>
    <cellStyle name="Followed Hyperlink" xfId="4759" builtinId="9" hidden="1"/>
    <cellStyle name="Followed Hyperlink" xfId="4761" builtinId="9" hidden="1"/>
    <cellStyle name="Followed Hyperlink" xfId="4763" builtinId="9" hidden="1"/>
    <cellStyle name="Followed Hyperlink" xfId="4765" builtinId="9" hidden="1"/>
    <cellStyle name="Followed Hyperlink" xfId="4767" builtinId="9" hidden="1"/>
    <cellStyle name="Followed Hyperlink" xfId="4769" builtinId="9" hidden="1"/>
    <cellStyle name="Followed Hyperlink" xfId="4771" builtinId="9" hidden="1"/>
    <cellStyle name="Followed Hyperlink" xfId="4773" builtinId="9" hidden="1"/>
    <cellStyle name="Followed Hyperlink" xfId="4775" builtinId="9" hidden="1"/>
    <cellStyle name="Followed Hyperlink" xfId="4777" builtinId="9" hidden="1"/>
    <cellStyle name="Followed Hyperlink" xfId="4779" builtinId="9" hidden="1"/>
    <cellStyle name="Followed Hyperlink" xfId="4781" builtinId="9" hidden="1"/>
    <cellStyle name="Followed Hyperlink" xfId="4783" builtinId="9" hidden="1"/>
    <cellStyle name="Followed Hyperlink" xfId="4785" builtinId="9" hidden="1"/>
    <cellStyle name="Followed Hyperlink" xfId="4787" builtinId="9" hidden="1"/>
    <cellStyle name="Followed Hyperlink" xfId="4789" builtinId="9" hidden="1"/>
    <cellStyle name="Followed Hyperlink" xfId="4791" builtinId="9" hidden="1"/>
    <cellStyle name="Followed Hyperlink" xfId="4793" builtinId="9" hidden="1"/>
    <cellStyle name="Followed Hyperlink" xfId="4795" builtinId="9" hidden="1"/>
    <cellStyle name="Followed Hyperlink" xfId="4797" builtinId="9" hidden="1"/>
    <cellStyle name="Followed Hyperlink" xfId="4799" builtinId="9" hidden="1"/>
    <cellStyle name="Followed Hyperlink" xfId="4801" builtinId="9" hidden="1"/>
    <cellStyle name="Followed Hyperlink" xfId="4803" builtinId="9" hidden="1"/>
    <cellStyle name="Followed Hyperlink" xfId="4805" builtinId="9" hidden="1"/>
    <cellStyle name="Followed Hyperlink" xfId="4807" builtinId="9" hidden="1"/>
    <cellStyle name="Followed Hyperlink" xfId="4809" builtinId="9" hidden="1"/>
    <cellStyle name="Followed Hyperlink" xfId="4811" builtinId="9" hidden="1"/>
    <cellStyle name="Followed Hyperlink" xfId="4813" builtinId="9" hidden="1"/>
    <cellStyle name="Followed Hyperlink" xfId="4815" builtinId="9" hidden="1"/>
    <cellStyle name="Followed Hyperlink" xfId="4817" builtinId="9" hidden="1"/>
    <cellStyle name="Followed Hyperlink" xfId="4819" builtinId="9" hidden="1"/>
    <cellStyle name="Followed Hyperlink" xfId="4821" builtinId="9" hidden="1"/>
    <cellStyle name="Followed Hyperlink" xfId="4823" builtinId="9" hidden="1"/>
    <cellStyle name="Followed Hyperlink" xfId="4825" builtinId="9" hidden="1"/>
    <cellStyle name="Followed Hyperlink" xfId="4827" builtinId="9" hidden="1"/>
    <cellStyle name="Followed Hyperlink" xfId="4829" builtinId="9" hidden="1"/>
    <cellStyle name="Followed Hyperlink" xfId="4831" builtinId="9" hidden="1"/>
    <cellStyle name="Followed Hyperlink" xfId="4833" builtinId="9" hidden="1"/>
    <cellStyle name="Followed Hyperlink" xfId="4835" builtinId="9" hidden="1"/>
    <cellStyle name="Followed Hyperlink" xfId="4837" builtinId="9" hidden="1"/>
    <cellStyle name="Followed Hyperlink" xfId="4839" builtinId="9" hidden="1"/>
    <cellStyle name="Followed Hyperlink" xfId="4841" builtinId="9" hidden="1"/>
    <cellStyle name="Followed Hyperlink" xfId="4843" builtinId="9" hidden="1"/>
    <cellStyle name="Followed Hyperlink" xfId="4845" builtinId="9" hidden="1"/>
    <cellStyle name="Followed Hyperlink" xfId="4847" builtinId="9" hidden="1"/>
    <cellStyle name="Followed Hyperlink" xfId="4849" builtinId="9" hidden="1"/>
    <cellStyle name="Followed Hyperlink" xfId="4851" builtinId="9" hidden="1"/>
    <cellStyle name="Followed Hyperlink" xfId="4853" builtinId="9" hidden="1"/>
    <cellStyle name="Followed Hyperlink" xfId="4855" builtinId="9" hidden="1"/>
    <cellStyle name="Followed Hyperlink" xfId="4857" builtinId="9" hidden="1"/>
    <cellStyle name="Followed Hyperlink" xfId="4859" builtinId="9" hidden="1"/>
    <cellStyle name="Followed Hyperlink" xfId="4861" builtinId="9" hidden="1"/>
    <cellStyle name="Followed Hyperlink" xfId="4863" builtinId="9" hidden="1"/>
    <cellStyle name="Followed Hyperlink" xfId="4865" builtinId="9" hidden="1"/>
    <cellStyle name="Followed Hyperlink" xfId="4867" builtinId="9" hidden="1"/>
    <cellStyle name="Followed Hyperlink" xfId="4869" builtinId="9" hidden="1"/>
    <cellStyle name="Followed Hyperlink" xfId="4871" builtinId="9" hidden="1"/>
    <cellStyle name="Followed Hyperlink" xfId="4873" builtinId="9" hidden="1"/>
    <cellStyle name="Followed Hyperlink" xfId="4875" builtinId="9" hidden="1"/>
    <cellStyle name="Followed Hyperlink" xfId="4877" builtinId="9" hidden="1"/>
    <cellStyle name="Followed Hyperlink" xfId="4879" builtinId="9" hidden="1"/>
    <cellStyle name="Followed Hyperlink" xfId="4881" builtinId="9" hidden="1"/>
    <cellStyle name="Followed Hyperlink" xfId="4883" builtinId="9" hidden="1"/>
    <cellStyle name="Followed Hyperlink" xfId="4885" builtinId="9" hidden="1"/>
    <cellStyle name="Followed Hyperlink" xfId="4887" builtinId="9" hidden="1"/>
    <cellStyle name="Followed Hyperlink" xfId="4889" builtinId="9" hidden="1"/>
    <cellStyle name="Followed Hyperlink" xfId="4891" builtinId="9" hidden="1"/>
    <cellStyle name="Followed Hyperlink" xfId="4893" builtinId="9" hidden="1"/>
    <cellStyle name="Followed Hyperlink" xfId="4895" builtinId="9" hidden="1"/>
    <cellStyle name="Followed Hyperlink" xfId="4897" builtinId="9" hidden="1"/>
    <cellStyle name="Followed Hyperlink" xfId="4899" builtinId="9" hidden="1"/>
    <cellStyle name="Followed Hyperlink" xfId="4901" builtinId="9" hidden="1"/>
    <cellStyle name="Followed Hyperlink" xfId="4903" builtinId="9" hidden="1"/>
    <cellStyle name="Followed Hyperlink" xfId="4905" builtinId="9" hidden="1"/>
    <cellStyle name="Followed Hyperlink" xfId="4907" builtinId="9" hidden="1"/>
    <cellStyle name="Followed Hyperlink" xfId="4909" builtinId="9" hidden="1"/>
    <cellStyle name="Followed Hyperlink" xfId="4911" builtinId="9" hidden="1"/>
    <cellStyle name="Followed Hyperlink" xfId="4913" builtinId="9" hidden="1"/>
    <cellStyle name="Followed Hyperlink" xfId="4915" builtinId="9" hidden="1"/>
    <cellStyle name="Followed Hyperlink" xfId="4917" builtinId="9" hidden="1"/>
    <cellStyle name="Followed Hyperlink" xfId="4919" builtinId="9" hidden="1"/>
    <cellStyle name="Followed Hyperlink" xfId="4921" builtinId="9" hidden="1"/>
    <cellStyle name="Followed Hyperlink" xfId="4923" builtinId="9" hidden="1"/>
    <cellStyle name="Followed Hyperlink" xfId="4925" builtinId="9" hidden="1"/>
    <cellStyle name="Followed Hyperlink" xfId="4927" builtinId="9" hidden="1"/>
    <cellStyle name="Followed Hyperlink" xfId="4929" builtinId="9" hidden="1"/>
    <cellStyle name="Followed Hyperlink" xfId="4931" builtinId="9" hidden="1"/>
    <cellStyle name="Followed Hyperlink" xfId="4933" builtinId="9" hidden="1"/>
    <cellStyle name="Followed Hyperlink" xfId="4935" builtinId="9" hidden="1"/>
    <cellStyle name="Followed Hyperlink" xfId="4937" builtinId="9" hidden="1"/>
    <cellStyle name="Followed Hyperlink" xfId="4939" builtinId="9" hidden="1"/>
    <cellStyle name="Followed Hyperlink" xfId="4941" builtinId="9" hidden="1"/>
    <cellStyle name="Followed Hyperlink" xfId="4943" builtinId="9" hidden="1"/>
    <cellStyle name="Followed Hyperlink" xfId="4945" builtinId="9" hidden="1"/>
    <cellStyle name="Followed Hyperlink" xfId="4947" builtinId="9" hidden="1"/>
    <cellStyle name="Followed Hyperlink" xfId="4949" builtinId="9" hidden="1"/>
    <cellStyle name="Followed Hyperlink" xfId="4951" builtinId="9" hidden="1"/>
    <cellStyle name="Followed Hyperlink" xfId="4953" builtinId="9" hidden="1"/>
    <cellStyle name="Followed Hyperlink" xfId="4955" builtinId="9" hidden="1"/>
    <cellStyle name="Followed Hyperlink" xfId="4957" builtinId="9" hidden="1"/>
    <cellStyle name="Followed Hyperlink" xfId="4959" builtinId="9" hidden="1"/>
    <cellStyle name="Followed Hyperlink" xfId="4961" builtinId="9" hidden="1"/>
    <cellStyle name="Followed Hyperlink" xfId="4963" builtinId="9" hidden="1"/>
    <cellStyle name="Followed Hyperlink" xfId="4965" builtinId="9" hidden="1"/>
    <cellStyle name="Followed Hyperlink" xfId="4967" builtinId="9" hidden="1"/>
    <cellStyle name="Followed Hyperlink" xfId="4969" builtinId="9" hidden="1"/>
    <cellStyle name="Followed Hyperlink" xfId="4971" builtinId="9" hidden="1"/>
    <cellStyle name="Followed Hyperlink" xfId="4973" builtinId="9" hidden="1"/>
    <cellStyle name="Followed Hyperlink" xfId="4975" builtinId="9" hidden="1"/>
    <cellStyle name="Followed Hyperlink" xfId="4977" builtinId="9" hidden="1"/>
    <cellStyle name="Followed Hyperlink" xfId="4979" builtinId="9" hidden="1"/>
    <cellStyle name="Followed Hyperlink" xfId="4981" builtinId="9" hidden="1"/>
    <cellStyle name="Followed Hyperlink" xfId="4983" builtinId="9" hidden="1"/>
    <cellStyle name="Followed Hyperlink" xfId="4985" builtinId="9" hidden="1"/>
    <cellStyle name="Followed Hyperlink" xfId="4987" builtinId="9" hidden="1"/>
    <cellStyle name="Followed Hyperlink" xfId="4989" builtinId="9" hidden="1"/>
    <cellStyle name="Followed Hyperlink" xfId="4991" builtinId="9" hidden="1"/>
    <cellStyle name="Followed Hyperlink" xfId="4993" builtinId="9" hidden="1"/>
    <cellStyle name="Followed Hyperlink" xfId="4995" builtinId="9" hidden="1"/>
    <cellStyle name="Followed Hyperlink" xfId="4997" builtinId="9" hidden="1"/>
    <cellStyle name="Followed Hyperlink" xfId="4999" builtinId="9" hidden="1"/>
    <cellStyle name="Followed Hyperlink" xfId="5001" builtinId="9" hidden="1"/>
    <cellStyle name="Followed Hyperlink" xfId="5003" builtinId="9" hidden="1"/>
    <cellStyle name="Followed Hyperlink" xfId="5005" builtinId="9" hidden="1"/>
    <cellStyle name="Followed Hyperlink" xfId="5007" builtinId="9" hidden="1"/>
    <cellStyle name="Followed Hyperlink" xfId="5009" builtinId="9" hidden="1"/>
    <cellStyle name="Followed Hyperlink" xfId="5011" builtinId="9" hidden="1"/>
    <cellStyle name="Followed Hyperlink" xfId="5013" builtinId="9" hidden="1"/>
    <cellStyle name="Followed Hyperlink" xfId="5015" builtinId="9" hidden="1"/>
    <cellStyle name="Followed Hyperlink" xfId="5017" builtinId="9" hidden="1"/>
    <cellStyle name="Followed Hyperlink" xfId="5019" builtinId="9" hidden="1"/>
    <cellStyle name="Followed Hyperlink" xfId="5021" builtinId="9" hidden="1"/>
    <cellStyle name="Followed Hyperlink" xfId="5023" builtinId="9" hidden="1"/>
    <cellStyle name="Followed Hyperlink" xfId="5025" builtinId="9" hidden="1"/>
    <cellStyle name="Followed Hyperlink" xfId="5027" builtinId="9" hidden="1"/>
    <cellStyle name="Followed Hyperlink" xfId="5029" builtinId="9" hidden="1"/>
    <cellStyle name="Followed Hyperlink" xfId="5031" builtinId="9" hidden="1"/>
    <cellStyle name="Followed Hyperlink" xfId="5033" builtinId="9" hidden="1"/>
    <cellStyle name="Followed Hyperlink" xfId="5035" builtinId="9" hidden="1"/>
    <cellStyle name="Followed Hyperlink" xfId="5037" builtinId="9" hidden="1"/>
    <cellStyle name="Followed Hyperlink" xfId="5039" builtinId="9" hidden="1"/>
    <cellStyle name="Followed Hyperlink" xfId="5041" builtinId="9" hidden="1"/>
    <cellStyle name="Followed Hyperlink" xfId="5043" builtinId="9" hidden="1"/>
    <cellStyle name="Followed Hyperlink" xfId="5045" builtinId="9" hidden="1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Followed Hyperlink" xfId="5077" builtinId="9" hidden="1"/>
    <cellStyle name="Followed Hyperlink" xfId="5079" builtinId="9" hidden="1"/>
    <cellStyle name="Followed Hyperlink" xfId="5081" builtinId="9" hidden="1"/>
    <cellStyle name="Followed Hyperlink" xfId="5083" builtinId="9" hidden="1"/>
    <cellStyle name="Followed Hyperlink" xfId="5085" builtinId="9" hidden="1"/>
    <cellStyle name="Followed Hyperlink" xfId="5087" builtinId="9" hidden="1"/>
    <cellStyle name="Followed Hyperlink" xfId="5089" builtinId="9" hidden="1"/>
    <cellStyle name="Followed Hyperlink" xfId="5091" builtinId="9" hidden="1"/>
    <cellStyle name="Followed Hyperlink" xfId="5093" builtinId="9" hidden="1"/>
    <cellStyle name="Followed Hyperlink" xfId="5095" builtinId="9" hidden="1"/>
    <cellStyle name="Followed Hyperlink" xfId="5097" builtinId="9" hidden="1"/>
    <cellStyle name="Followed Hyperlink" xfId="5099" builtinId="9" hidden="1"/>
    <cellStyle name="Followed Hyperlink" xfId="5101" builtinId="9" hidden="1"/>
    <cellStyle name="Followed Hyperlink" xfId="5103" builtinId="9" hidden="1"/>
    <cellStyle name="Followed Hyperlink" xfId="5105" builtinId="9" hidden="1"/>
    <cellStyle name="Followed Hyperlink" xfId="5107" builtinId="9" hidden="1"/>
    <cellStyle name="Followed Hyperlink" xfId="5109" builtinId="9" hidden="1"/>
    <cellStyle name="Followed Hyperlink" xfId="5111" builtinId="9" hidden="1"/>
    <cellStyle name="Followed Hyperlink" xfId="5113" builtinId="9" hidden="1"/>
    <cellStyle name="Followed Hyperlink" xfId="5115" builtinId="9" hidden="1"/>
    <cellStyle name="Followed Hyperlink" xfId="5117" builtinId="9" hidden="1"/>
    <cellStyle name="Followed Hyperlink" xfId="5119" builtinId="9" hidden="1"/>
    <cellStyle name="Followed Hyperlink" xfId="5121" builtinId="9" hidden="1"/>
    <cellStyle name="Followed Hyperlink" xfId="5123" builtinId="9" hidden="1"/>
    <cellStyle name="Followed Hyperlink" xfId="5125" builtinId="9" hidden="1"/>
    <cellStyle name="Followed Hyperlink" xfId="5127" builtinId="9" hidden="1"/>
    <cellStyle name="Followed Hyperlink" xfId="5129" builtinId="9" hidden="1"/>
    <cellStyle name="Followed Hyperlink" xfId="5131" builtinId="9" hidden="1"/>
    <cellStyle name="Followed Hyperlink" xfId="5133" builtinId="9" hidden="1"/>
    <cellStyle name="Followed Hyperlink" xfId="5135" builtinId="9" hidden="1"/>
    <cellStyle name="Followed Hyperlink" xfId="5137" builtinId="9" hidden="1"/>
    <cellStyle name="Followed Hyperlink" xfId="5139" builtinId="9" hidden="1"/>
    <cellStyle name="Followed Hyperlink" xfId="5141" builtinId="9" hidden="1"/>
    <cellStyle name="Followed Hyperlink" xfId="5143" builtinId="9" hidden="1"/>
    <cellStyle name="Followed Hyperlink" xfId="5145" builtinId="9" hidden="1"/>
    <cellStyle name="Followed Hyperlink" xfId="5147" builtinId="9" hidden="1"/>
    <cellStyle name="Followed Hyperlink" xfId="5149" builtinId="9" hidden="1"/>
    <cellStyle name="Followed Hyperlink" xfId="5151" builtinId="9" hidden="1"/>
    <cellStyle name="Followed Hyperlink" xfId="5153" builtinId="9" hidden="1"/>
    <cellStyle name="Followed Hyperlink" xfId="5155" builtinId="9" hidden="1"/>
    <cellStyle name="Followed Hyperlink" xfId="5157" builtinId="9" hidden="1"/>
    <cellStyle name="Followed Hyperlink" xfId="5159" builtinId="9" hidden="1"/>
    <cellStyle name="Followed Hyperlink" xfId="5161" builtinId="9" hidden="1"/>
    <cellStyle name="Followed Hyperlink" xfId="5163" builtinId="9" hidden="1"/>
    <cellStyle name="Followed Hyperlink" xfId="5165" builtinId="9" hidden="1"/>
    <cellStyle name="Followed Hyperlink" xfId="5167" builtinId="9" hidden="1"/>
    <cellStyle name="Followed Hyperlink" xfId="5169" builtinId="9" hidden="1"/>
    <cellStyle name="Followed Hyperlink" xfId="5171" builtinId="9" hidden="1"/>
    <cellStyle name="Followed Hyperlink" xfId="5173" builtinId="9" hidden="1"/>
    <cellStyle name="Followed Hyperlink" xfId="5175" builtinId="9" hidden="1"/>
    <cellStyle name="Followed Hyperlink" xfId="5177" builtinId="9" hidden="1"/>
    <cellStyle name="Followed Hyperlink" xfId="5179" builtinId="9" hidden="1"/>
    <cellStyle name="Followed Hyperlink" xfId="5181" builtinId="9" hidden="1"/>
    <cellStyle name="Followed Hyperlink" xfId="5183" builtinId="9" hidden="1"/>
    <cellStyle name="Followed Hyperlink" xfId="5185" builtinId="9" hidden="1"/>
    <cellStyle name="Followed Hyperlink" xfId="5187" builtinId="9" hidden="1"/>
    <cellStyle name="Followed Hyperlink" xfId="5189" builtinId="9" hidden="1"/>
    <cellStyle name="Followed Hyperlink" xfId="5191" builtinId="9" hidden="1"/>
    <cellStyle name="Followed Hyperlink" xfId="5193" builtinId="9" hidden="1"/>
    <cellStyle name="Followed Hyperlink" xfId="5195" builtinId="9" hidden="1"/>
    <cellStyle name="Followed Hyperlink" xfId="5197" builtinId="9" hidden="1"/>
    <cellStyle name="Followed Hyperlink" xfId="5199" builtinId="9" hidden="1"/>
    <cellStyle name="Followed Hyperlink" xfId="5201" builtinId="9" hidden="1"/>
    <cellStyle name="Followed Hyperlink" xfId="5203" builtinId="9" hidden="1"/>
    <cellStyle name="Followed Hyperlink" xfId="5205" builtinId="9" hidden="1"/>
    <cellStyle name="Followed Hyperlink" xfId="5207" builtinId="9" hidden="1"/>
    <cellStyle name="Followed Hyperlink" xfId="5209" builtinId="9" hidden="1"/>
    <cellStyle name="Followed Hyperlink" xfId="5211" builtinId="9" hidden="1"/>
    <cellStyle name="Followed Hyperlink" xfId="5213" builtinId="9" hidden="1"/>
    <cellStyle name="Followed Hyperlink" xfId="5215" builtinId="9" hidden="1"/>
    <cellStyle name="Followed Hyperlink" xfId="5217" builtinId="9" hidden="1"/>
    <cellStyle name="Followed Hyperlink" xfId="5219" builtinId="9" hidden="1"/>
    <cellStyle name="Followed Hyperlink" xfId="5221" builtinId="9" hidden="1"/>
    <cellStyle name="Followed Hyperlink" xfId="5223" builtinId="9" hidden="1"/>
    <cellStyle name="Followed Hyperlink" xfId="5225" builtinId="9" hidden="1"/>
    <cellStyle name="Followed Hyperlink" xfId="5227" builtinId="9" hidden="1"/>
    <cellStyle name="Followed Hyperlink" xfId="5229" builtinId="9" hidden="1"/>
    <cellStyle name="Followed Hyperlink" xfId="5231" builtinId="9" hidden="1"/>
    <cellStyle name="Followed Hyperlink" xfId="5233" builtinId="9" hidden="1"/>
    <cellStyle name="Followed Hyperlink" xfId="5235" builtinId="9" hidden="1"/>
    <cellStyle name="Followed Hyperlink" xfId="5237" builtinId="9" hidden="1"/>
    <cellStyle name="Followed Hyperlink" xfId="5239" builtinId="9" hidden="1"/>
    <cellStyle name="Followed Hyperlink" xfId="5241" builtinId="9" hidden="1"/>
    <cellStyle name="Followed Hyperlink" xfId="5243" builtinId="9" hidden="1"/>
    <cellStyle name="Followed Hyperlink" xfId="5245" builtinId="9" hidden="1"/>
    <cellStyle name="Followed Hyperlink" xfId="5247" builtinId="9" hidden="1"/>
    <cellStyle name="Followed Hyperlink" xfId="5249" builtinId="9" hidden="1"/>
    <cellStyle name="Followed Hyperlink" xfId="5251" builtinId="9" hidden="1"/>
    <cellStyle name="Followed Hyperlink" xfId="5253" builtinId="9" hidden="1"/>
    <cellStyle name="Followed Hyperlink" xfId="5255" builtinId="9" hidden="1"/>
    <cellStyle name="Followed Hyperlink" xfId="5257" builtinId="9" hidden="1"/>
    <cellStyle name="Followed Hyperlink" xfId="5259" builtinId="9" hidden="1"/>
    <cellStyle name="Followed Hyperlink" xfId="5261" builtinId="9" hidden="1"/>
    <cellStyle name="Followed Hyperlink" xfId="5263" builtinId="9" hidden="1"/>
    <cellStyle name="Followed Hyperlink" xfId="5265" builtinId="9" hidden="1"/>
    <cellStyle name="Followed Hyperlink" xfId="5267" builtinId="9" hidden="1"/>
    <cellStyle name="Followed Hyperlink" xfId="5269" builtinId="9" hidden="1"/>
    <cellStyle name="Followed Hyperlink" xfId="5271" builtinId="9" hidden="1"/>
    <cellStyle name="Followed Hyperlink" xfId="5273" builtinId="9" hidden="1"/>
    <cellStyle name="Followed Hyperlink" xfId="5275" builtinId="9" hidden="1"/>
    <cellStyle name="Followed Hyperlink" xfId="5277" builtinId="9" hidden="1"/>
    <cellStyle name="Followed Hyperlink" xfId="5279" builtinId="9" hidden="1"/>
    <cellStyle name="Followed Hyperlink" xfId="5281" builtinId="9" hidden="1"/>
    <cellStyle name="Followed Hyperlink" xfId="5283" builtinId="9" hidden="1"/>
    <cellStyle name="Followed Hyperlink" xfId="5285" builtinId="9" hidden="1"/>
    <cellStyle name="Followed Hyperlink" xfId="5287" builtinId="9" hidden="1"/>
    <cellStyle name="Followed Hyperlink" xfId="5289" builtinId="9" hidden="1"/>
    <cellStyle name="Followed Hyperlink" xfId="5291" builtinId="9" hidden="1"/>
    <cellStyle name="Followed Hyperlink" xfId="5293" builtinId="9" hidden="1"/>
    <cellStyle name="Followed Hyperlink" xfId="5295" builtinId="9" hidden="1"/>
    <cellStyle name="Followed Hyperlink" xfId="5297" builtinId="9" hidden="1"/>
    <cellStyle name="Followed Hyperlink" xfId="5299" builtinId="9" hidden="1"/>
    <cellStyle name="Followed Hyperlink" xfId="5301" builtinId="9" hidden="1"/>
    <cellStyle name="Followed Hyperlink" xfId="5303" builtinId="9" hidden="1"/>
    <cellStyle name="Followed Hyperlink" xfId="5305" builtinId="9" hidden="1"/>
    <cellStyle name="Followed Hyperlink" xfId="5307" builtinId="9" hidden="1"/>
    <cellStyle name="Followed Hyperlink" xfId="5309" builtinId="9" hidden="1"/>
    <cellStyle name="Followed Hyperlink" xfId="5311" builtinId="9" hidden="1"/>
    <cellStyle name="Followed Hyperlink" xfId="5313" builtinId="9" hidden="1"/>
    <cellStyle name="Followed Hyperlink" xfId="5315" builtinId="9" hidden="1"/>
    <cellStyle name="Followed Hyperlink" xfId="5317" builtinId="9" hidden="1"/>
    <cellStyle name="Followed Hyperlink" xfId="5319" builtinId="9" hidden="1"/>
    <cellStyle name="Followed Hyperlink" xfId="5321" builtinId="9" hidden="1"/>
    <cellStyle name="Followed Hyperlink" xfId="5323" builtinId="9" hidden="1"/>
    <cellStyle name="Followed Hyperlink" xfId="5325" builtinId="9" hidden="1"/>
    <cellStyle name="Followed Hyperlink" xfId="5327" builtinId="9" hidden="1"/>
    <cellStyle name="Followed Hyperlink" xfId="5329" builtinId="9" hidden="1"/>
    <cellStyle name="Followed Hyperlink" xfId="5331" builtinId="9" hidden="1"/>
    <cellStyle name="Followed Hyperlink" xfId="5333" builtinId="9" hidden="1"/>
    <cellStyle name="Followed Hyperlink" xfId="5335" builtinId="9" hidden="1"/>
    <cellStyle name="Followed Hyperlink" xfId="5337" builtinId="9" hidden="1"/>
    <cellStyle name="Followed Hyperlink" xfId="5339" builtinId="9" hidden="1"/>
    <cellStyle name="Followed Hyperlink" xfId="5341" builtinId="9" hidden="1"/>
    <cellStyle name="Followed Hyperlink" xfId="5343" builtinId="9" hidden="1"/>
    <cellStyle name="Followed Hyperlink" xfId="5345" builtinId="9" hidden="1"/>
    <cellStyle name="Followed Hyperlink" xfId="5347" builtinId="9" hidden="1"/>
    <cellStyle name="Followed Hyperlink" xfId="5349" builtinId="9" hidden="1"/>
    <cellStyle name="Followed Hyperlink" xfId="5351" builtinId="9" hidden="1"/>
    <cellStyle name="Followed Hyperlink" xfId="5353" builtinId="9" hidden="1"/>
    <cellStyle name="Followed Hyperlink" xfId="5355" builtinId="9" hidden="1"/>
    <cellStyle name="Followed Hyperlink" xfId="5357" builtinId="9" hidden="1"/>
    <cellStyle name="Followed Hyperlink" xfId="5359" builtinId="9" hidden="1"/>
    <cellStyle name="Followed Hyperlink" xfId="5361" builtinId="9" hidden="1"/>
    <cellStyle name="Followed Hyperlink" xfId="5363" builtinId="9" hidden="1"/>
    <cellStyle name="Followed Hyperlink" xfId="5365" builtinId="9" hidden="1"/>
    <cellStyle name="Followed Hyperlink" xfId="5367" builtinId="9" hidden="1"/>
    <cellStyle name="Followed Hyperlink" xfId="5369" builtinId="9" hidden="1"/>
    <cellStyle name="Followed Hyperlink" xfId="5371" builtinId="9" hidden="1"/>
    <cellStyle name="Followed Hyperlink" xfId="5373" builtinId="9" hidden="1"/>
    <cellStyle name="Followed Hyperlink" xfId="5375" builtinId="9" hidden="1"/>
    <cellStyle name="Followed Hyperlink" xfId="5377" builtinId="9" hidden="1"/>
    <cellStyle name="Followed Hyperlink" xfId="5379" builtinId="9" hidden="1"/>
    <cellStyle name="Followed Hyperlink" xfId="5381" builtinId="9" hidden="1"/>
    <cellStyle name="Followed Hyperlink" xfId="5383" builtinId="9" hidden="1"/>
    <cellStyle name="Followed Hyperlink" xfId="5385" builtinId="9" hidden="1"/>
    <cellStyle name="Followed Hyperlink" xfId="5387" builtinId="9" hidden="1"/>
    <cellStyle name="Followed Hyperlink" xfId="5389" builtinId="9" hidden="1"/>
    <cellStyle name="Followed Hyperlink" xfId="5391" builtinId="9" hidden="1"/>
    <cellStyle name="Followed Hyperlink" xfId="5393" builtinId="9" hidden="1"/>
    <cellStyle name="Followed Hyperlink" xfId="5395" builtinId="9" hidden="1"/>
    <cellStyle name="Followed Hyperlink" xfId="5397" builtinId="9" hidden="1"/>
    <cellStyle name="Followed Hyperlink" xfId="5399" builtinId="9" hidden="1"/>
    <cellStyle name="Followed Hyperlink" xfId="5401" builtinId="9" hidden="1"/>
    <cellStyle name="Followed Hyperlink" xfId="5403" builtinId="9" hidden="1"/>
    <cellStyle name="Followed Hyperlink" xfId="5405" builtinId="9" hidden="1"/>
    <cellStyle name="Followed Hyperlink" xfId="5407" builtinId="9" hidden="1"/>
    <cellStyle name="Followed Hyperlink" xfId="5409" builtinId="9" hidden="1"/>
    <cellStyle name="Followed Hyperlink" xfId="5411" builtinId="9" hidden="1"/>
    <cellStyle name="Followed Hyperlink" xfId="5413" builtinId="9" hidden="1"/>
    <cellStyle name="Followed Hyperlink" xfId="5415" builtinId="9" hidden="1"/>
    <cellStyle name="Followed Hyperlink" xfId="5417" builtinId="9" hidden="1"/>
    <cellStyle name="Followed Hyperlink" xfId="5419" builtinId="9" hidden="1"/>
    <cellStyle name="Followed Hyperlink" xfId="5421" builtinId="9" hidden="1"/>
    <cellStyle name="Followed Hyperlink" xfId="5423" builtinId="9" hidden="1"/>
    <cellStyle name="Followed Hyperlink" xfId="5425" builtinId="9" hidden="1"/>
    <cellStyle name="Followed Hyperlink" xfId="5427" builtinId="9" hidden="1"/>
    <cellStyle name="Followed Hyperlink" xfId="5429" builtinId="9" hidden="1"/>
    <cellStyle name="Followed Hyperlink" xfId="5431" builtinId="9" hidden="1"/>
    <cellStyle name="Followed Hyperlink" xfId="5433" builtinId="9" hidden="1"/>
    <cellStyle name="Followed Hyperlink" xfId="5435" builtinId="9" hidden="1"/>
    <cellStyle name="Followed Hyperlink" xfId="5437" builtinId="9" hidden="1"/>
    <cellStyle name="Followed Hyperlink" xfId="5439" builtinId="9" hidden="1"/>
    <cellStyle name="Followed Hyperlink" xfId="5441" builtinId="9" hidden="1"/>
    <cellStyle name="Followed Hyperlink" xfId="5443" builtinId="9" hidden="1"/>
    <cellStyle name="Followed Hyperlink" xfId="5445" builtinId="9" hidden="1"/>
    <cellStyle name="Followed Hyperlink" xfId="5447" builtinId="9" hidden="1"/>
    <cellStyle name="Followed Hyperlink" xfId="5449" builtinId="9" hidden="1"/>
    <cellStyle name="Followed Hyperlink" xfId="5451" builtinId="9" hidden="1"/>
    <cellStyle name="Followed Hyperlink" xfId="5453" builtinId="9" hidden="1"/>
    <cellStyle name="Followed Hyperlink" xfId="5455" builtinId="9" hidden="1"/>
    <cellStyle name="Followed Hyperlink" xfId="5457" builtinId="9" hidden="1"/>
    <cellStyle name="Followed Hyperlink" xfId="5459" builtinId="9" hidden="1"/>
    <cellStyle name="Followed Hyperlink" xfId="5461" builtinId="9" hidden="1"/>
    <cellStyle name="Followed Hyperlink" xfId="5463" builtinId="9" hidden="1"/>
    <cellStyle name="Followed Hyperlink" xfId="5465" builtinId="9" hidden="1"/>
    <cellStyle name="Followed Hyperlink" xfId="5467" builtinId="9" hidden="1"/>
    <cellStyle name="Followed Hyperlink" xfId="5469" builtinId="9" hidden="1"/>
    <cellStyle name="Followed Hyperlink" xfId="5471" builtinId="9" hidden="1"/>
    <cellStyle name="Followed Hyperlink" xfId="5473" builtinId="9" hidden="1"/>
    <cellStyle name="Followed Hyperlink" xfId="5475" builtinId="9" hidden="1"/>
    <cellStyle name="Followed Hyperlink" xfId="5477" builtinId="9" hidden="1"/>
    <cellStyle name="Followed Hyperlink" xfId="5479" builtinId="9" hidden="1"/>
    <cellStyle name="Followed Hyperlink" xfId="5481" builtinId="9" hidden="1"/>
    <cellStyle name="Followed Hyperlink" xfId="5483" builtinId="9" hidden="1"/>
    <cellStyle name="Followed Hyperlink" xfId="5485" builtinId="9" hidden="1"/>
    <cellStyle name="Followed Hyperlink" xfId="5487" builtinId="9" hidden="1"/>
    <cellStyle name="Followed Hyperlink" xfId="5489" builtinId="9" hidden="1"/>
    <cellStyle name="Followed Hyperlink" xfId="5491" builtinId="9" hidden="1"/>
    <cellStyle name="Followed Hyperlink" xfId="5493" builtinId="9" hidden="1"/>
    <cellStyle name="Followed Hyperlink" xfId="5495" builtinId="9" hidden="1"/>
    <cellStyle name="Followed Hyperlink" xfId="5497" builtinId="9" hidden="1"/>
    <cellStyle name="Followed Hyperlink" xfId="5499" builtinId="9" hidden="1"/>
    <cellStyle name="Followed Hyperlink" xfId="5501" builtinId="9" hidden="1"/>
    <cellStyle name="Followed Hyperlink" xfId="5503" builtinId="9" hidden="1"/>
    <cellStyle name="Followed Hyperlink" xfId="5505" builtinId="9" hidden="1"/>
    <cellStyle name="Followed Hyperlink" xfId="5507" builtinId="9" hidden="1"/>
    <cellStyle name="Followed Hyperlink" xfId="5509" builtinId="9" hidden="1"/>
    <cellStyle name="Followed Hyperlink" xfId="5511" builtinId="9" hidden="1"/>
    <cellStyle name="Followed Hyperlink" xfId="5513" builtinId="9" hidden="1"/>
    <cellStyle name="Followed Hyperlink" xfId="5515" builtinId="9" hidden="1"/>
    <cellStyle name="Followed Hyperlink" xfId="5517" builtinId="9" hidden="1"/>
    <cellStyle name="Followed Hyperlink" xfId="5519" builtinId="9" hidden="1"/>
    <cellStyle name="Followed Hyperlink" xfId="5521" builtinId="9" hidden="1"/>
    <cellStyle name="Followed Hyperlink" xfId="5523" builtinId="9" hidden="1"/>
    <cellStyle name="Followed Hyperlink" xfId="5525" builtinId="9" hidden="1"/>
    <cellStyle name="Followed Hyperlink" xfId="5527" builtinId="9" hidden="1"/>
    <cellStyle name="Followed Hyperlink" xfId="5529" builtinId="9" hidden="1"/>
    <cellStyle name="Followed Hyperlink" xfId="5531" builtinId="9" hidden="1"/>
    <cellStyle name="Followed Hyperlink" xfId="5533" builtinId="9" hidden="1"/>
    <cellStyle name="Followed Hyperlink" xfId="5535" builtinId="9" hidden="1"/>
    <cellStyle name="Followed Hyperlink" xfId="5537" builtinId="9" hidden="1"/>
    <cellStyle name="Followed Hyperlink" xfId="5539" builtinId="9" hidden="1"/>
    <cellStyle name="Followed Hyperlink" xfId="5541" builtinId="9" hidden="1"/>
    <cellStyle name="Followed Hyperlink" xfId="5543" builtinId="9" hidden="1"/>
    <cellStyle name="Followed Hyperlink" xfId="5545" builtinId="9" hidden="1"/>
    <cellStyle name="Followed Hyperlink" xfId="5547" builtinId="9" hidden="1"/>
    <cellStyle name="Followed Hyperlink" xfId="5549" builtinId="9" hidden="1"/>
    <cellStyle name="Followed Hyperlink" xfId="5551" builtinId="9" hidden="1"/>
    <cellStyle name="Followed Hyperlink" xfId="5553" builtinId="9" hidden="1"/>
    <cellStyle name="Followed Hyperlink" xfId="5555" builtinId="9" hidden="1"/>
    <cellStyle name="Followed Hyperlink" xfId="5557" builtinId="9" hidden="1"/>
    <cellStyle name="Followed Hyperlink" xfId="5559" builtinId="9" hidden="1"/>
    <cellStyle name="Followed Hyperlink" xfId="5561" builtinId="9" hidden="1"/>
    <cellStyle name="Followed Hyperlink" xfId="5563" builtinId="9" hidden="1"/>
    <cellStyle name="Followed Hyperlink" xfId="5565" builtinId="9" hidden="1"/>
    <cellStyle name="Followed Hyperlink" xfId="5567" builtinId="9" hidden="1"/>
    <cellStyle name="Followed Hyperlink" xfId="5569" builtinId="9" hidden="1"/>
    <cellStyle name="Followed Hyperlink" xfId="5571" builtinId="9" hidden="1"/>
    <cellStyle name="Followed Hyperlink" xfId="5573" builtinId="9" hidden="1"/>
    <cellStyle name="Followed Hyperlink" xfId="5575" builtinId="9" hidden="1"/>
    <cellStyle name="Followed Hyperlink" xfId="5577" builtinId="9" hidden="1"/>
    <cellStyle name="Followed Hyperlink" xfId="5579" builtinId="9" hidden="1"/>
    <cellStyle name="Followed Hyperlink" xfId="5581" builtinId="9" hidden="1"/>
    <cellStyle name="Followed Hyperlink" xfId="5583" builtinId="9" hidden="1"/>
    <cellStyle name="Followed Hyperlink" xfId="5585" builtinId="9" hidden="1"/>
    <cellStyle name="Followed Hyperlink" xfId="5587" builtinId="9" hidden="1"/>
    <cellStyle name="Followed Hyperlink" xfId="5589" builtinId="9" hidden="1"/>
    <cellStyle name="Followed Hyperlink" xfId="5591" builtinId="9" hidden="1"/>
    <cellStyle name="Followed Hyperlink" xfId="5593" builtinId="9" hidden="1"/>
    <cellStyle name="Followed Hyperlink" xfId="5595" builtinId="9" hidden="1"/>
    <cellStyle name="Followed Hyperlink" xfId="5597" builtinId="9" hidden="1"/>
    <cellStyle name="Followed Hyperlink" xfId="5599" builtinId="9" hidden="1"/>
    <cellStyle name="Followed Hyperlink" xfId="5601" builtinId="9" hidden="1"/>
    <cellStyle name="Followed Hyperlink" xfId="5603" builtinId="9" hidden="1"/>
    <cellStyle name="Followed Hyperlink" xfId="5605" builtinId="9" hidden="1"/>
    <cellStyle name="Followed Hyperlink" xfId="5607" builtinId="9" hidden="1"/>
    <cellStyle name="Followed Hyperlink" xfId="5609" builtinId="9" hidden="1"/>
    <cellStyle name="Followed Hyperlink" xfId="5611" builtinId="9" hidden="1"/>
    <cellStyle name="Followed Hyperlink" xfId="5613" builtinId="9" hidden="1"/>
    <cellStyle name="Followed Hyperlink" xfId="5615" builtinId="9" hidden="1"/>
    <cellStyle name="Followed Hyperlink" xfId="5617" builtinId="9" hidden="1"/>
    <cellStyle name="Followed Hyperlink" xfId="5619" builtinId="9" hidden="1"/>
    <cellStyle name="Followed Hyperlink" xfId="5621" builtinId="9" hidden="1"/>
    <cellStyle name="Followed Hyperlink" xfId="5623" builtinId="9" hidden="1"/>
    <cellStyle name="Followed Hyperlink" xfId="5625" builtinId="9" hidden="1"/>
    <cellStyle name="Followed Hyperlink" xfId="5627" builtinId="9" hidden="1"/>
    <cellStyle name="Followed Hyperlink" xfId="5629" builtinId="9" hidden="1"/>
    <cellStyle name="Followed Hyperlink" xfId="5631" builtinId="9" hidden="1"/>
    <cellStyle name="Followed Hyperlink" xfId="5633" builtinId="9" hidden="1"/>
    <cellStyle name="Followed Hyperlink" xfId="5635" builtinId="9" hidden="1"/>
    <cellStyle name="Followed Hyperlink" xfId="5637" builtinId="9" hidden="1"/>
    <cellStyle name="Followed Hyperlink" xfId="5639" builtinId="9" hidden="1"/>
    <cellStyle name="Followed Hyperlink" xfId="5641" builtinId="9" hidden="1"/>
    <cellStyle name="Followed Hyperlink" xfId="5643" builtinId="9" hidden="1"/>
    <cellStyle name="Followed Hyperlink" xfId="5645" builtinId="9" hidden="1"/>
    <cellStyle name="Followed Hyperlink" xfId="5647" builtinId="9" hidden="1"/>
    <cellStyle name="Followed Hyperlink" xfId="5649" builtinId="9" hidden="1"/>
    <cellStyle name="Followed Hyperlink" xfId="5651" builtinId="9" hidden="1"/>
    <cellStyle name="Followed Hyperlink" xfId="5653" builtinId="9" hidden="1"/>
    <cellStyle name="Followed Hyperlink" xfId="5655" builtinId="9" hidden="1"/>
    <cellStyle name="Followed Hyperlink" xfId="5657" builtinId="9" hidden="1"/>
    <cellStyle name="Followed Hyperlink" xfId="5659" builtinId="9" hidden="1"/>
    <cellStyle name="Followed Hyperlink" xfId="5661" builtinId="9" hidden="1"/>
    <cellStyle name="Followed Hyperlink" xfId="5663" builtinId="9" hidden="1"/>
    <cellStyle name="Followed Hyperlink" xfId="5665" builtinId="9" hidden="1"/>
    <cellStyle name="Followed Hyperlink" xfId="5667" builtinId="9" hidden="1"/>
    <cellStyle name="Followed Hyperlink" xfId="5669" builtinId="9" hidden="1"/>
    <cellStyle name="Followed Hyperlink" xfId="5671" builtinId="9" hidden="1"/>
    <cellStyle name="Followed Hyperlink" xfId="5673" builtinId="9" hidden="1"/>
    <cellStyle name="Followed Hyperlink" xfId="5675" builtinId="9" hidden="1"/>
    <cellStyle name="Followed Hyperlink" xfId="5677" builtinId="9" hidden="1"/>
    <cellStyle name="Followed Hyperlink" xfId="5679" builtinId="9" hidden="1"/>
    <cellStyle name="Followed Hyperlink" xfId="5681" builtinId="9" hidden="1"/>
    <cellStyle name="Followed Hyperlink" xfId="5683" builtinId="9" hidden="1"/>
    <cellStyle name="Followed Hyperlink" xfId="5685" builtinId="9" hidden="1"/>
    <cellStyle name="Followed Hyperlink" xfId="5687" builtinId="9" hidden="1"/>
    <cellStyle name="Followed Hyperlink" xfId="5689" builtinId="9" hidden="1"/>
    <cellStyle name="Followed Hyperlink" xfId="5691" builtinId="9" hidden="1"/>
    <cellStyle name="Followed Hyperlink" xfId="5693" builtinId="9" hidden="1"/>
    <cellStyle name="Followed Hyperlink" xfId="5695" builtinId="9" hidden="1"/>
    <cellStyle name="Followed Hyperlink" xfId="5697" builtinId="9" hidden="1"/>
    <cellStyle name="Followed Hyperlink" xfId="5699" builtinId="9" hidden="1"/>
    <cellStyle name="Followed Hyperlink" xfId="5701" builtinId="9" hidden="1"/>
    <cellStyle name="Followed Hyperlink" xfId="5703" builtinId="9" hidden="1"/>
    <cellStyle name="Followed Hyperlink" xfId="5705" builtinId="9" hidden="1"/>
    <cellStyle name="Followed Hyperlink" xfId="5707" builtinId="9" hidden="1"/>
    <cellStyle name="Followed Hyperlink" xfId="5709" builtinId="9" hidden="1"/>
    <cellStyle name="Followed Hyperlink" xfId="5711" builtinId="9" hidden="1"/>
    <cellStyle name="Followed Hyperlink" xfId="5713" builtinId="9" hidden="1"/>
    <cellStyle name="Followed Hyperlink" xfId="5715" builtinId="9" hidden="1"/>
    <cellStyle name="Followed Hyperlink" xfId="5717" builtinId="9" hidden="1"/>
    <cellStyle name="Followed Hyperlink" xfId="5719" builtinId="9" hidden="1"/>
    <cellStyle name="Followed Hyperlink" xfId="5721" builtinId="9" hidden="1"/>
    <cellStyle name="Followed Hyperlink" xfId="5723" builtinId="9" hidden="1"/>
    <cellStyle name="Followed Hyperlink" xfId="5725" builtinId="9" hidden="1"/>
    <cellStyle name="Followed Hyperlink" xfId="5727" builtinId="9" hidden="1"/>
    <cellStyle name="Followed Hyperlink" xfId="5729" builtinId="9" hidden="1"/>
    <cellStyle name="Followed Hyperlink" xfId="5731" builtinId="9" hidden="1"/>
    <cellStyle name="Followed Hyperlink" xfId="5733" builtinId="9" hidden="1"/>
    <cellStyle name="Followed Hyperlink" xfId="5735" builtinId="9" hidden="1"/>
    <cellStyle name="Followed Hyperlink" xfId="5737" builtinId="9" hidden="1"/>
    <cellStyle name="Followed Hyperlink" xfId="5739" builtinId="9" hidden="1"/>
    <cellStyle name="Followed Hyperlink" xfId="5741" builtinId="9" hidden="1"/>
    <cellStyle name="Followed Hyperlink" xfId="5743" builtinId="9" hidden="1"/>
    <cellStyle name="Followed Hyperlink" xfId="5745" builtinId="9" hidden="1"/>
    <cellStyle name="Followed Hyperlink" xfId="5747" builtinId="9" hidden="1"/>
    <cellStyle name="Followed Hyperlink" xfId="5749" builtinId="9" hidden="1"/>
    <cellStyle name="Followed Hyperlink" xfId="5751" builtinId="9" hidden="1"/>
    <cellStyle name="Followed Hyperlink" xfId="5753" builtinId="9" hidden="1"/>
    <cellStyle name="Followed Hyperlink" xfId="5755" builtinId="9" hidden="1"/>
    <cellStyle name="Followed Hyperlink" xfId="5757" builtinId="9" hidden="1"/>
    <cellStyle name="Followed Hyperlink" xfId="5759" builtinId="9" hidden="1"/>
    <cellStyle name="Followed Hyperlink" xfId="5761" builtinId="9" hidden="1"/>
    <cellStyle name="Followed Hyperlink" xfId="5763" builtinId="9" hidden="1"/>
    <cellStyle name="Followed Hyperlink" xfId="5765" builtinId="9" hidden="1"/>
    <cellStyle name="Followed Hyperlink" xfId="5767" builtinId="9" hidden="1"/>
    <cellStyle name="Followed Hyperlink" xfId="5769" builtinId="9" hidden="1"/>
    <cellStyle name="Followed Hyperlink" xfId="5771" builtinId="9" hidden="1"/>
    <cellStyle name="Followed Hyperlink" xfId="5773" builtinId="9" hidden="1"/>
    <cellStyle name="Followed Hyperlink" xfId="5775" builtinId="9" hidden="1"/>
    <cellStyle name="Followed Hyperlink" xfId="5777" builtinId="9" hidden="1"/>
    <cellStyle name="Followed Hyperlink" xfId="5779" builtinId="9" hidden="1"/>
    <cellStyle name="Followed Hyperlink" xfId="5781" builtinId="9" hidden="1"/>
    <cellStyle name="Followed Hyperlink" xfId="5783" builtinId="9" hidden="1"/>
    <cellStyle name="Followed Hyperlink" xfId="5785" builtinId="9" hidden="1"/>
    <cellStyle name="Followed Hyperlink" xfId="5787" builtinId="9" hidden="1"/>
    <cellStyle name="Followed Hyperlink" xfId="5789" builtinId="9" hidden="1"/>
    <cellStyle name="Followed Hyperlink" xfId="5791" builtinId="9" hidden="1"/>
    <cellStyle name="Followed Hyperlink" xfId="5793" builtinId="9" hidden="1"/>
    <cellStyle name="Followed Hyperlink" xfId="5795" builtinId="9" hidden="1"/>
    <cellStyle name="Followed Hyperlink" xfId="5797" builtinId="9" hidden="1"/>
    <cellStyle name="Followed Hyperlink" xfId="5799" builtinId="9" hidden="1"/>
    <cellStyle name="Followed Hyperlink" xfId="5801" builtinId="9" hidden="1"/>
    <cellStyle name="Followed Hyperlink" xfId="5803" builtinId="9" hidden="1"/>
    <cellStyle name="Followed Hyperlink" xfId="5805" builtinId="9" hidden="1"/>
    <cellStyle name="Followed Hyperlink" xfId="5807" builtinId="9" hidden="1"/>
    <cellStyle name="Followed Hyperlink" xfId="5809" builtinId="9" hidden="1"/>
    <cellStyle name="Followed Hyperlink" xfId="5811" builtinId="9" hidden="1"/>
    <cellStyle name="Followed Hyperlink" xfId="5813" builtinId="9" hidden="1"/>
    <cellStyle name="Followed Hyperlink" xfId="5815" builtinId="9" hidden="1"/>
    <cellStyle name="Followed Hyperlink" xfId="5817" builtinId="9" hidden="1"/>
    <cellStyle name="Followed Hyperlink" xfId="5819" builtinId="9" hidden="1"/>
    <cellStyle name="Followed Hyperlink" xfId="5821" builtinId="9" hidden="1"/>
    <cellStyle name="Followed Hyperlink" xfId="5823" builtinId="9" hidden="1"/>
    <cellStyle name="Followed Hyperlink" xfId="5825" builtinId="9" hidden="1"/>
    <cellStyle name="Followed Hyperlink" xfId="5827" builtinId="9" hidden="1"/>
    <cellStyle name="Followed Hyperlink" xfId="5829" builtinId="9" hidden="1"/>
    <cellStyle name="Followed Hyperlink" xfId="5831" builtinId="9" hidden="1"/>
    <cellStyle name="Followed Hyperlink" xfId="5833" builtinId="9" hidden="1"/>
    <cellStyle name="Followed Hyperlink" xfId="5835" builtinId="9" hidden="1"/>
    <cellStyle name="Followed Hyperlink" xfId="5837" builtinId="9" hidden="1"/>
    <cellStyle name="Followed Hyperlink" xfId="5839" builtinId="9" hidden="1"/>
    <cellStyle name="Followed Hyperlink" xfId="5841" builtinId="9" hidden="1"/>
    <cellStyle name="Followed Hyperlink" xfId="5843" builtinId="9" hidden="1"/>
    <cellStyle name="Followed Hyperlink" xfId="5845" builtinId="9" hidden="1"/>
    <cellStyle name="Followed Hyperlink" xfId="5847" builtinId="9" hidden="1"/>
    <cellStyle name="Followed Hyperlink" xfId="5849" builtinId="9" hidden="1"/>
    <cellStyle name="Followed Hyperlink" xfId="5851" builtinId="9" hidden="1"/>
    <cellStyle name="Followed Hyperlink" xfId="5853" builtinId="9" hidden="1"/>
    <cellStyle name="Followed Hyperlink" xfId="5855" builtinId="9" hidden="1"/>
    <cellStyle name="Followed Hyperlink" xfId="5857" builtinId="9" hidden="1"/>
    <cellStyle name="Followed Hyperlink" xfId="5859" builtinId="9" hidden="1"/>
    <cellStyle name="Followed Hyperlink" xfId="5861" builtinId="9" hidden="1"/>
    <cellStyle name="Followed Hyperlink" xfId="5863" builtinId="9" hidden="1"/>
    <cellStyle name="Followed Hyperlink" xfId="5865" builtinId="9" hidden="1"/>
    <cellStyle name="Followed Hyperlink" xfId="5867" builtinId="9" hidden="1"/>
    <cellStyle name="Followed Hyperlink" xfId="5869" builtinId="9" hidden="1"/>
    <cellStyle name="Followed Hyperlink" xfId="5871" builtinId="9" hidden="1"/>
    <cellStyle name="Followed Hyperlink" xfId="5873" builtinId="9" hidden="1"/>
    <cellStyle name="Followed Hyperlink" xfId="5875" builtinId="9" hidden="1"/>
    <cellStyle name="Followed Hyperlink" xfId="5877" builtinId="9" hidden="1"/>
    <cellStyle name="Followed Hyperlink" xfId="5879" builtinId="9" hidden="1"/>
    <cellStyle name="Followed Hyperlink" xfId="5881" builtinId="9" hidden="1"/>
    <cellStyle name="Followed Hyperlink" xfId="5883" builtinId="9" hidden="1"/>
    <cellStyle name="Followed Hyperlink" xfId="5885" builtinId="9" hidden="1"/>
    <cellStyle name="Followed Hyperlink" xfId="5887" builtinId="9" hidden="1"/>
    <cellStyle name="Followed Hyperlink" xfId="5889" builtinId="9" hidden="1"/>
    <cellStyle name="Followed Hyperlink" xfId="5891" builtinId="9" hidden="1"/>
    <cellStyle name="Followed Hyperlink" xfId="5893" builtinId="9" hidden="1"/>
    <cellStyle name="Followed Hyperlink" xfId="5895" builtinId="9" hidden="1"/>
    <cellStyle name="Followed Hyperlink" xfId="5897" builtinId="9" hidden="1"/>
    <cellStyle name="Followed Hyperlink" xfId="5899" builtinId="9" hidden="1"/>
    <cellStyle name="Followed Hyperlink" xfId="5901" builtinId="9" hidden="1"/>
    <cellStyle name="Followed Hyperlink" xfId="5903" builtinId="9" hidden="1"/>
    <cellStyle name="Followed Hyperlink" xfId="5905" builtinId="9" hidden="1"/>
    <cellStyle name="Followed Hyperlink" xfId="5907" builtinId="9" hidden="1"/>
    <cellStyle name="Followed Hyperlink" xfId="5909" builtinId="9" hidden="1"/>
    <cellStyle name="Followed Hyperlink" xfId="5911" builtinId="9" hidden="1"/>
    <cellStyle name="Followed Hyperlink" xfId="5913" builtinId="9" hidden="1"/>
    <cellStyle name="Followed Hyperlink" xfId="5915" builtinId="9" hidden="1"/>
    <cellStyle name="Followed Hyperlink" xfId="5917" builtinId="9" hidden="1"/>
    <cellStyle name="Followed Hyperlink" xfId="5919" builtinId="9" hidden="1"/>
    <cellStyle name="Followed Hyperlink" xfId="5921" builtinId="9" hidden="1"/>
    <cellStyle name="Followed Hyperlink" xfId="5923" builtinId="9" hidden="1"/>
    <cellStyle name="Followed Hyperlink" xfId="5925" builtinId="9" hidden="1"/>
    <cellStyle name="Followed Hyperlink" xfId="5927" builtinId="9" hidden="1"/>
    <cellStyle name="Followed Hyperlink" xfId="5929" builtinId="9" hidden="1"/>
    <cellStyle name="Followed Hyperlink" xfId="5931" builtinId="9" hidden="1"/>
    <cellStyle name="Followed Hyperlink" xfId="5933" builtinId="9" hidden="1"/>
    <cellStyle name="Followed Hyperlink" xfId="5935" builtinId="9" hidden="1"/>
    <cellStyle name="Followed Hyperlink" xfId="5937" builtinId="9" hidden="1"/>
    <cellStyle name="Followed Hyperlink" xfId="5939" builtinId="9" hidden="1"/>
    <cellStyle name="Followed Hyperlink" xfId="5941" builtinId="9" hidden="1"/>
    <cellStyle name="Followed Hyperlink" xfId="5943" builtinId="9" hidden="1"/>
    <cellStyle name="Followed Hyperlink" xfId="5945" builtinId="9" hidden="1"/>
    <cellStyle name="Followed Hyperlink" xfId="5947" builtinId="9" hidden="1"/>
    <cellStyle name="Followed Hyperlink" xfId="5949" builtinId="9" hidden="1"/>
    <cellStyle name="Followed Hyperlink" xfId="5951" builtinId="9" hidden="1"/>
    <cellStyle name="Followed Hyperlink" xfId="5953" builtinId="9" hidden="1"/>
    <cellStyle name="Followed Hyperlink" xfId="5955" builtinId="9" hidden="1"/>
    <cellStyle name="Followed Hyperlink" xfId="5957" builtinId="9" hidden="1"/>
    <cellStyle name="Followed Hyperlink" xfId="5959" builtinId="9" hidden="1"/>
    <cellStyle name="Followed Hyperlink" xfId="5961" builtinId="9" hidden="1"/>
    <cellStyle name="Followed Hyperlink" xfId="5963" builtinId="9" hidden="1"/>
    <cellStyle name="Followed Hyperlink" xfId="5965" builtinId="9" hidden="1"/>
    <cellStyle name="Followed Hyperlink" xfId="5967" builtinId="9" hidden="1"/>
    <cellStyle name="Followed Hyperlink" xfId="5969" builtinId="9" hidden="1"/>
    <cellStyle name="Followed Hyperlink" xfId="5971" builtinId="9" hidden="1"/>
    <cellStyle name="Followed Hyperlink" xfId="5973" builtinId="9" hidden="1"/>
    <cellStyle name="Followed Hyperlink" xfId="5975" builtinId="9" hidden="1"/>
    <cellStyle name="Followed Hyperlink" xfId="5977" builtinId="9" hidden="1"/>
    <cellStyle name="Followed Hyperlink" xfId="5979" builtinId="9" hidden="1"/>
    <cellStyle name="Followed Hyperlink" xfId="5981" builtinId="9" hidden="1"/>
    <cellStyle name="Followed Hyperlink" xfId="5983" builtinId="9" hidden="1"/>
    <cellStyle name="Followed Hyperlink" xfId="5985" builtinId="9" hidden="1"/>
    <cellStyle name="Followed Hyperlink" xfId="5987" builtinId="9" hidden="1"/>
    <cellStyle name="Followed Hyperlink" xfId="5989" builtinId="9" hidden="1"/>
    <cellStyle name="Followed Hyperlink" xfId="5991" builtinId="9" hidden="1"/>
    <cellStyle name="Followed Hyperlink" xfId="5993" builtinId="9" hidden="1"/>
    <cellStyle name="Followed Hyperlink" xfId="5995" builtinId="9" hidden="1"/>
    <cellStyle name="Followed Hyperlink" xfId="5997" builtinId="9" hidden="1"/>
    <cellStyle name="Followed Hyperlink" xfId="5999" builtinId="9" hidden="1"/>
    <cellStyle name="Followed Hyperlink" xfId="6001" builtinId="9" hidden="1"/>
    <cellStyle name="Followed Hyperlink" xfId="6003" builtinId="9" hidden="1"/>
    <cellStyle name="Followed Hyperlink" xfId="6005" builtinId="9" hidden="1"/>
    <cellStyle name="Followed Hyperlink" xfId="6007" builtinId="9" hidden="1"/>
    <cellStyle name="Followed Hyperlink" xfId="6009" builtinId="9" hidden="1"/>
    <cellStyle name="Followed Hyperlink" xfId="6011" builtinId="9" hidden="1"/>
    <cellStyle name="Followed Hyperlink" xfId="6013" builtinId="9" hidden="1"/>
    <cellStyle name="Followed Hyperlink" xfId="6015" builtinId="9" hidden="1"/>
    <cellStyle name="Followed Hyperlink" xfId="6017" builtinId="9" hidden="1"/>
    <cellStyle name="Followed Hyperlink" xfId="6019" builtinId="9" hidden="1"/>
    <cellStyle name="Followed Hyperlink" xfId="6021" builtinId="9" hidden="1"/>
    <cellStyle name="Followed Hyperlink" xfId="6023" builtinId="9" hidden="1"/>
    <cellStyle name="Followed Hyperlink" xfId="6025" builtinId="9" hidden="1"/>
    <cellStyle name="Followed Hyperlink" xfId="6027" builtinId="9" hidden="1"/>
    <cellStyle name="Followed Hyperlink" xfId="6029" builtinId="9" hidden="1"/>
    <cellStyle name="Followed Hyperlink" xfId="6031" builtinId="9" hidden="1"/>
    <cellStyle name="Followed Hyperlink" xfId="6033" builtinId="9" hidden="1"/>
    <cellStyle name="Followed Hyperlink" xfId="6035" builtinId="9" hidden="1"/>
    <cellStyle name="Followed Hyperlink" xfId="6037" builtinId="9" hidden="1"/>
    <cellStyle name="Followed Hyperlink" xfId="6039" builtinId="9" hidden="1"/>
    <cellStyle name="Followed Hyperlink" xfId="6041" builtinId="9" hidden="1"/>
    <cellStyle name="Followed Hyperlink" xfId="6043" builtinId="9" hidden="1"/>
    <cellStyle name="Followed Hyperlink" xfId="6045" builtinId="9" hidden="1"/>
    <cellStyle name="Followed Hyperlink" xfId="6047" builtinId="9" hidden="1"/>
    <cellStyle name="Followed Hyperlink" xfId="6049" builtinId="9" hidden="1"/>
    <cellStyle name="Followed Hyperlink" xfId="6051" builtinId="9" hidden="1"/>
    <cellStyle name="Followed Hyperlink" xfId="6053" builtinId="9" hidden="1"/>
    <cellStyle name="Followed Hyperlink" xfId="6055" builtinId="9" hidden="1"/>
    <cellStyle name="Followed Hyperlink" xfId="6057" builtinId="9" hidden="1"/>
    <cellStyle name="Followed Hyperlink" xfId="6059" builtinId="9" hidden="1"/>
    <cellStyle name="Followed Hyperlink" xfId="6061" builtinId="9" hidden="1"/>
    <cellStyle name="Followed Hyperlink" xfId="6063" builtinId="9" hidden="1"/>
    <cellStyle name="Followed Hyperlink" xfId="6065" builtinId="9" hidden="1"/>
    <cellStyle name="Followed Hyperlink" xfId="6067" builtinId="9" hidden="1"/>
    <cellStyle name="Followed Hyperlink" xfId="6069" builtinId="9" hidden="1"/>
    <cellStyle name="Followed Hyperlink" xfId="6071" builtinId="9" hidden="1"/>
    <cellStyle name="Followed Hyperlink" xfId="6073" builtinId="9" hidden="1"/>
    <cellStyle name="Followed Hyperlink" xfId="6075" builtinId="9" hidden="1"/>
    <cellStyle name="Followed Hyperlink" xfId="6077" builtinId="9" hidden="1"/>
    <cellStyle name="Followed Hyperlink" xfId="6079" builtinId="9" hidden="1"/>
    <cellStyle name="Followed Hyperlink" xfId="6081" builtinId="9" hidden="1"/>
    <cellStyle name="Followed Hyperlink" xfId="6083" builtinId="9" hidden="1"/>
    <cellStyle name="Followed Hyperlink" xfId="6085" builtinId="9" hidden="1"/>
    <cellStyle name="Followed Hyperlink" xfId="6087" builtinId="9" hidden="1"/>
    <cellStyle name="Followed Hyperlink" xfId="6089" builtinId="9" hidden="1"/>
    <cellStyle name="Followed Hyperlink" xfId="6091" builtinId="9" hidden="1"/>
    <cellStyle name="Followed Hyperlink" xfId="6093" builtinId="9" hidden="1"/>
    <cellStyle name="Followed Hyperlink" xfId="6095" builtinId="9" hidden="1"/>
    <cellStyle name="Followed Hyperlink" xfId="6097" builtinId="9" hidden="1"/>
    <cellStyle name="Followed Hyperlink" xfId="6099" builtinId="9" hidden="1"/>
    <cellStyle name="Followed Hyperlink" xfId="6101" builtinId="9" hidden="1"/>
    <cellStyle name="Followed Hyperlink" xfId="6103" builtinId="9" hidden="1"/>
    <cellStyle name="Followed Hyperlink" xfId="6105" builtinId="9" hidden="1"/>
    <cellStyle name="Followed Hyperlink" xfId="6107" builtinId="9" hidden="1"/>
    <cellStyle name="Followed Hyperlink" xfId="6109" builtinId="9" hidden="1"/>
    <cellStyle name="Followed Hyperlink" xfId="6111" builtinId="9" hidden="1"/>
    <cellStyle name="Followed Hyperlink" xfId="6113" builtinId="9" hidden="1"/>
    <cellStyle name="Followed Hyperlink" xfId="6115" builtinId="9" hidden="1"/>
    <cellStyle name="Followed Hyperlink" xfId="6117" builtinId="9" hidden="1"/>
    <cellStyle name="Followed Hyperlink" xfId="6119" builtinId="9" hidden="1"/>
    <cellStyle name="Followed Hyperlink" xfId="6121" builtinId="9" hidden="1"/>
    <cellStyle name="Followed Hyperlink" xfId="6123" builtinId="9" hidden="1"/>
    <cellStyle name="Followed Hyperlink" xfId="6125" builtinId="9" hidden="1"/>
    <cellStyle name="Followed Hyperlink" xfId="6127" builtinId="9" hidden="1"/>
    <cellStyle name="Followed Hyperlink" xfId="6129" builtinId="9" hidden="1"/>
    <cellStyle name="Followed Hyperlink" xfId="6131" builtinId="9" hidden="1"/>
    <cellStyle name="Followed Hyperlink" xfId="6133" builtinId="9" hidden="1"/>
    <cellStyle name="Followed Hyperlink" xfId="6135" builtinId="9" hidden="1"/>
    <cellStyle name="Followed Hyperlink" xfId="6137" builtinId="9" hidden="1"/>
    <cellStyle name="Followed Hyperlink" xfId="6139" builtinId="9" hidden="1"/>
    <cellStyle name="Followed Hyperlink" xfId="6141" builtinId="9" hidden="1"/>
    <cellStyle name="Followed Hyperlink" xfId="6143" builtinId="9" hidden="1"/>
    <cellStyle name="Followed Hyperlink" xfId="6145" builtinId="9" hidden="1"/>
    <cellStyle name="Followed Hyperlink" xfId="6147" builtinId="9" hidden="1"/>
    <cellStyle name="Followed Hyperlink" xfId="6149" builtinId="9" hidden="1"/>
    <cellStyle name="Followed Hyperlink" xfId="6151" builtinId="9" hidden="1"/>
    <cellStyle name="Followed Hyperlink" xfId="6153" builtinId="9" hidden="1"/>
    <cellStyle name="Followed Hyperlink" xfId="6155" builtinId="9" hidden="1"/>
    <cellStyle name="Followed Hyperlink" xfId="6157" builtinId="9" hidden="1"/>
    <cellStyle name="Followed Hyperlink" xfId="6159" builtinId="9" hidden="1"/>
    <cellStyle name="Followed Hyperlink" xfId="6161" builtinId="9" hidden="1"/>
    <cellStyle name="Followed Hyperlink" xfId="6163" builtinId="9" hidden="1"/>
    <cellStyle name="Followed Hyperlink" xfId="6165" builtinId="9" hidden="1"/>
    <cellStyle name="Followed Hyperlink" xfId="6167" builtinId="9" hidden="1"/>
    <cellStyle name="Followed Hyperlink" xfId="6169" builtinId="9" hidden="1"/>
    <cellStyle name="Followed Hyperlink" xfId="6171" builtinId="9" hidden="1"/>
    <cellStyle name="Followed Hyperlink" xfId="6173" builtinId="9" hidden="1"/>
    <cellStyle name="Followed Hyperlink" xfId="6175" builtinId="9" hidden="1"/>
    <cellStyle name="Followed Hyperlink" xfId="6177" builtinId="9" hidden="1"/>
    <cellStyle name="Followed Hyperlink" xfId="6179" builtinId="9" hidden="1"/>
    <cellStyle name="Followed Hyperlink" xfId="6181" builtinId="9" hidden="1"/>
    <cellStyle name="Followed Hyperlink" xfId="6183" builtinId="9" hidden="1"/>
    <cellStyle name="Followed Hyperlink" xfId="6185" builtinId="9" hidden="1"/>
    <cellStyle name="Followed Hyperlink" xfId="6187" builtinId="9" hidden="1"/>
    <cellStyle name="Followed Hyperlink" xfId="6189" builtinId="9" hidden="1"/>
    <cellStyle name="Followed Hyperlink" xfId="6191" builtinId="9" hidden="1"/>
    <cellStyle name="Followed Hyperlink" xfId="6193" builtinId="9" hidden="1"/>
    <cellStyle name="Followed Hyperlink" xfId="6195" builtinId="9" hidden="1"/>
    <cellStyle name="Followed Hyperlink" xfId="6197" builtinId="9" hidden="1"/>
    <cellStyle name="Followed Hyperlink" xfId="6199" builtinId="9" hidden="1"/>
    <cellStyle name="Followed Hyperlink" xfId="6201" builtinId="9" hidden="1"/>
    <cellStyle name="Followed Hyperlink" xfId="6203" builtinId="9" hidden="1"/>
    <cellStyle name="Followed Hyperlink" xfId="6205" builtinId="9" hidden="1"/>
    <cellStyle name="Followed Hyperlink" xfId="6207" builtinId="9" hidden="1"/>
    <cellStyle name="Followed Hyperlink" xfId="6209" builtinId="9" hidden="1"/>
    <cellStyle name="Followed Hyperlink" xfId="6211" builtinId="9" hidden="1"/>
    <cellStyle name="Followed Hyperlink" xfId="6213" builtinId="9" hidden="1"/>
    <cellStyle name="Followed Hyperlink" xfId="6215" builtinId="9" hidden="1"/>
    <cellStyle name="Followed Hyperlink" xfId="6217" builtinId="9" hidden="1"/>
    <cellStyle name="Followed Hyperlink" xfId="6219" builtinId="9" hidden="1"/>
    <cellStyle name="Followed Hyperlink" xfId="6221" builtinId="9" hidden="1"/>
    <cellStyle name="Followed Hyperlink" xfId="6223" builtinId="9" hidden="1"/>
    <cellStyle name="Followed Hyperlink" xfId="6225" builtinId="9" hidden="1"/>
    <cellStyle name="Followed Hyperlink" xfId="6227" builtinId="9" hidden="1"/>
    <cellStyle name="Followed Hyperlink" xfId="6229" builtinId="9" hidden="1"/>
    <cellStyle name="Followed Hyperlink" xfId="6231" builtinId="9" hidden="1"/>
    <cellStyle name="Followed Hyperlink" xfId="6233" builtinId="9" hidden="1"/>
    <cellStyle name="Followed Hyperlink" xfId="6235" builtinId="9" hidden="1"/>
    <cellStyle name="Followed Hyperlink" xfId="6237" builtinId="9" hidden="1"/>
    <cellStyle name="Followed Hyperlink" xfId="6239" builtinId="9" hidden="1"/>
    <cellStyle name="Followed Hyperlink" xfId="6241" builtinId="9" hidden="1"/>
    <cellStyle name="Followed Hyperlink" xfId="6243" builtinId="9" hidden="1"/>
    <cellStyle name="Followed Hyperlink" xfId="6245" builtinId="9" hidden="1"/>
    <cellStyle name="Followed Hyperlink" xfId="6247" builtinId="9" hidden="1"/>
    <cellStyle name="Followed Hyperlink" xfId="6249" builtinId="9" hidden="1"/>
    <cellStyle name="Followed Hyperlink" xfId="6251" builtinId="9" hidden="1"/>
    <cellStyle name="Followed Hyperlink" xfId="6253" builtinId="9" hidden="1"/>
    <cellStyle name="Followed Hyperlink" xfId="6255" builtinId="9" hidden="1"/>
    <cellStyle name="Followed Hyperlink" xfId="6257" builtinId="9" hidden="1"/>
    <cellStyle name="Followed Hyperlink" xfId="6259" builtinId="9" hidden="1"/>
    <cellStyle name="Followed Hyperlink" xfId="6261" builtinId="9" hidden="1"/>
    <cellStyle name="Followed Hyperlink" xfId="6263" builtinId="9" hidden="1"/>
    <cellStyle name="Followed Hyperlink" xfId="6265" builtinId="9" hidden="1"/>
    <cellStyle name="Followed Hyperlink" xfId="6267" builtinId="9" hidden="1"/>
    <cellStyle name="Followed Hyperlink" xfId="6269" builtinId="9" hidden="1"/>
    <cellStyle name="Followed Hyperlink" xfId="6271" builtinId="9" hidden="1"/>
    <cellStyle name="Followed Hyperlink" xfId="6273" builtinId="9" hidden="1"/>
    <cellStyle name="Followed Hyperlink" xfId="6275" builtinId="9" hidden="1"/>
    <cellStyle name="Followed Hyperlink" xfId="6277" builtinId="9" hidden="1"/>
    <cellStyle name="Followed Hyperlink" xfId="6279" builtinId="9" hidden="1"/>
    <cellStyle name="Followed Hyperlink" xfId="6281" builtinId="9" hidden="1"/>
    <cellStyle name="Followed Hyperlink" xfId="6283" builtinId="9" hidden="1"/>
    <cellStyle name="Followed Hyperlink" xfId="6285" builtinId="9" hidden="1"/>
    <cellStyle name="Followed Hyperlink" xfId="6287" builtinId="9" hidden="1"/>
    <cellStyle name="Followed Hyperlink" xfId="6289" builtinId="9" hidden="1"/>
    <cellStyle name="Followed Hyperlink" xfId="6291" builtinId="9" hidden="1"/>
    <cellStyle name="Followed Hyperlink" xfId="6293" builtinId="9" hidden="1"/>
    <cellStyle name="Followed Hyperlink" xfId="6295" builtinId="9" hidden="1"/>
    <cellStyle name="Followed Hyperlink" xfId="6297" builtinId="9" hidden="1"/>
    <cellStyle name="Followed Hyperlink" xfId="6299" builtinId="9" hidden="1"/>
    <cellStyle name="Followed Hyperlink" xfId="6301" builtinId="9" hidden="1"/>
    <cellStyle name="Followed Hyperlink" xfId="6303" builtinId="9" hidden="1"/>
    <cellStyle name="Followed Hyperlink" xfId="6305" builtinId="9" hidden="1"/>
    <cellStyle name="Followed Hyperlink" xfId="6307" builtinId="9" hidden="1"/>
    <cellStyle name="Followed Hyperlink" xfId="6309" builtinId="9" hidden="1"/>
    <cellStyle name="Followed Hyperlink" xfId="6311" builtinId="9" hidden="1"/>
    <cellStyle name="Followed Hyperlink" xfId="6313" builtinId="9" hidden="1"/>
    <cellStyle name="Followed Hyperlink" xfId="6315" builtinId="9" hidden="1"/>
    <cellStyle name="Followed Hyperlink" xfId="6317" builtinId="9" hidden="1"/>
    <cellStyle name="Followed Hyperlink" xfId="6319" builtinId="9" hidden="1"/>
    <cellStyle name="Followed Hyperlink" xfId="6321" builtinId="9" hidden="1"/>
    <cellStyle name="Followed Hyperlink" xfId="6323" builtinId="9" hidden="1"/>
    <cellStyle name="Followed Hyperlink" xfId="6325" builtinId="9" hidden="1"/>
    <cellStyle name="Followed Hyperlink" xfId="6327" builtinId="9" hidden="1"/>
    <cellStyle name="Followed Hyperlink" xfId="6329" builtinId="9" hidden="1"/>
    <cellStyle name="Followed Hyperlink" xfId="6331" builtinId="9" hidden="1"/>
    <cellStyle name="Followed Hyperlink" xfId="6333" builtinId="9" hidden="1"/>
    <cellStyle name="Followed Hyperlink" xfId="6335" builtinId="9" hidden="1"/>
    <cellStyle name="Followed Hyperlink" xfId="6337" builtinId="9" hidden="1"/>
    <cellStyle name="Followed Hyperlink" xfId="6339" builtinId="9" hidden="1"/>
    <cellStyle name="Followed Hyperlink" xfId="6341" builtinId="9" hidden="1"/>
    <cellStyle name="Followed Hyperlink" xfId="6343" builtinId="9" hidden="1"/>
    <cellStyle name="Followed Hyperlink" xfId="6345" builtinId="9" hidden="1"/>
    <cellStyle name="Followed Hyperlink" xfId="6347" builtinId="9" hidden="1"/>
    <cellStyle name="Followed Hyperlink" xfId="6349" builtinId="9" hidden="1"/>
    <cellStyle name="Followed Hyperlink" xfId="6351" builtinId="9" hidden="1"/>
    <cellStyle name="Followed Hyperlink" xfId="6353" builtinId="9" hidden="1"/>
    <cellStyle name="Followed Hyperlink" xfId="6355" builtinId="9" hidden="1"/>
    <cellStyle name="Followed Hyperlink" xfId="6357" builtinId="9" hidden="1"/>
    <cellStyle name="Followed Hyperlink" xfId="6359" builtinId="9" hidden="1"/>
    <cellStyle name="Followed Hyperlink" xfId="6361" builtinId="9" hidden="1"/>
    <cellStyle name="Followed Hyperlink" xfId="6363" builtinId="9" hidden="1"/>
    <cellStyle name="Followed Hyperlink" xfId="6365" builtinId="9" hidden="1"/>
    <cellStyle name="Followed Hyperlink" xfId="6367" builtinId="9" hidden="1"/>
    <cellStyle name="Followed Hyperlink" xfId="6369" builtinId="9" hidden="1"/>
    <cellStyle name="Followed Hyperlink" xfId="6371" builtinId="9" hidden="1"/>
    <cellStyle name="Followed Hyperlink" xfId="6373" builtinId="9" hidden="1"/>
    <cellStyle name="Followed Hyperlink" xfId="6375" builtinId="9" hidden="1"/>
    <cellStyle name="Followed Hyperlink" xfId="6377" builtinId="9" hidden="1"/>
    <cellStyle name="Followed Hyperlink" xfId="6379" builtinId="9" hidden="1"/>
    <cellStyle name="Followed Hyperlink" xfId="6381" builtinId="9" hidden="1"/>
    <cellStyle name="Followed Hyperlink" xfId="6383" builtinId="9" hidden="1"/>
    <cellStyle name="Followed Hyperlink" xfId="6385" builtinId="9" hidden="1"/>
    <cellStyle name="Followed Hyperlink" xfId="6387" builtinId="9" hidden="1"/>
    <cellStyle name="Followed Hyperlink" xfId="6389" builtinId="9" hidden="1"/>
    <cellStyle name="Followed Hyperlink" xfId="6391" builtinId="9" hidden="1"/>
    <cellStyle name="Followed Hyperlink" xfId="6393" builtinId="9" hidden="1"/>
    <cellStyle name="Followed Hyperlink" xfId="6395" builtinId="9" hidden="1"/>
    <cellStyle name="Followed Hyperlink" xfId="6397" builtinId="9" hidden="1"/>
    <cellStyle name="Followed Hyperlink" xfId="6399" builtinId="9" hidden="1"/>
    <cellStyle name="Followed Hyperlink" xfId="6401" builtinId="9" hidden="1"/>
    <cellStyle name="Followed Hyperlink" xfId="6403" builtinId="9" hidden="1"/>
    <cellStyle name="Followed Hyperlink" xfId="6405" builtinId="9" hidden="1"/>
    <cellStyle name="Followed Hyperlink" xfId="6407" builtinId="9" hidden="1"/>
    <cellStyle name="Followed Hyperlink" xfId="6409" builtinId="9" hidden="1"/>
    <cellStyle name="Followed Hyperlink" xfId="6411" builtinId="9" hidden="1"/>
    <cellStyle name="Followed Hyperlink" xfId="6413" builtinId="9" hidden="1"/>
    <cellStyle name="Followed Hyperlink" xfId="6415" builtinId="9" hidden="1"/>
    <cellStyle name="Followed Hyperlink" xfId="6417" builtinId="9" hidden="1"/>
    <cellStyle name="Followed Hyperlink" xfId="6419" builtinId="9" hidden="1"/>
    <cellStyle name="Followed Hyperlink" xfId="6421" builtinId="9" hidden="1"/>
    <cellStyle name="Followed Hyperlink" xfId="6423" builtinId="9" hidden="1"/>
    <cellStyle name="Followed Hyperlink" xfId="6425" builtinId="9" hidden="1"/>
    <cellStyle name="Followed Hyperlink" xfId="6427" builtinId="9" hidden="1"/>
    <cellStyle name="Followed Hyperlink" xfId="6429" builtinId="9" hidden="1"/>
    <cellStyle name="Followed Hyperlink" xfId="6431" builtinId="9" hidden="1"/>
    <cellStyle name="Followed Hyperlink" xfId="6433" builtinId="9" hidden="1"/>
    <cellStyle name="Followed Hyperlink" xfId="6435" builtinId="9" hidden="1"/>
    <cellStyle name="Followed Hyperlink" xfId="6437" builtinId="9" hidden="1"/>
    <cellStyle name="Followed Hyperlink" xfId="6439" builtinId="9" hidden="1"/>
    <cellStyle name="Followed Hyperlink" xfId="6441" builtinId="9" hidden="1"/>
    <cellStyle name="Followed Hyperlink" xfId="6443" builtinId="9" hidden="1"/>
    <cellStyle name="Followed Hyperlink" xfId="6445" builtinId="9" hidden="1"/>
    <cellStyle name="Followed Hyperlink" xfId="6447" builtinId="9" hidden="1"/>
    <cellStyle name="Followed Hyperlink" xfId="6449" builtinId="9" hidden="1"/>
    <cellStyle name="Followed Hyperlink" xfId="6451" builtinId="9" hidden="1"/>
    <cellStyle name="Followed Hyperlink" xfId="6453" builtinId="9" hidden="1"/>
    <cellStyle name="Followed Hyperlink" xfId="6455" builtinId="9" hidden="1"/>
    <cellStyle name="Followed Hyperlink" xfId="6457" builtinId="9" hidden="1"/>
    <cellStyle name="Followed Hyperlink" xfId="6459" builtinId="9" hidden="1"/>
    <cellStyle name="Followed Hyperlink" xfId="6461" builtinId="9" hidden="1"/>
    <cellStyle name="Followed Hyperlink" xfId="6463" builtinId="9" hidden="1"/>
    <cellStyle name="Followed Hyperlink" xfId="6465" builtinId="9" hidden="1"/>
    <cellStyle name="Followed Hyperlink" xfId="6467" builtinId="9" hidden="1"/>
    <cellStyle name="Followed Hyperlink" xfId="6469" builtinId="9" hidden="1"/>
    <cellStyle name="Followed Hyperlink" xfId="6471" builtinId="9" hidden="1"/>
    <cellStyle name="Followed Hyperlink" xfId="6473" builtinId="9" hidden="1"/>
    <cellStyle name="Followed Hyperlink" xfId="6475" builtinId="9" hidden="1"/>
    <cellStyle name="Followed Hyperlink" xfId="6477" builtinId="9" hidden="1"/>
    <cellStyle name="Followed Hyperlink" xfId="6479" builtinId="9" hidden="1"/>
    <cellStyle name="Followed Hyperlink" xfId="6481" builtinId="9" hidden="1"/>
    <cellStyle name="Followed Hyperlink" xfId="6483" builtinId="9" hidden="1"/>
    <cellStyle name="Followed Hyperlink" xfId="6485" builtinId="9" hidden="1"/>
    <cellStyle name="Followed Hyperlink" xfId="6487" builtinId="9" hidden="1"/>
    <cellStyle name="Followed Hyperlink" xfId="6489" builtinId="9" hidden="1"/>
    <cellStyle name="Followed Hyperlink" xfId="6491" builtinId="9" hidden="1"/>
    <cellStyle name="Followed Hyperlink" xfId="6493" builtinId="9" hidden="1"/>
    <cellStyle name="Followed Hyperlink" xfId="6495" builtinId="9" hidden="1"/>
    <cellStyle name="Followed Hyperlink" xfId="6497" builtinId="9" hidden="1"/>
    <cellStyle name="Followed Hyperlink" xfId="6499" builtinId="9" hidden="1"/>
    <cellStyle name="Followed Hyperlink" xfId="6501" builtinId="9" hidden="1"/>
    <cellStyle name="Followed Hyperlink" xfId="6503" builtinId="9" hidden="1"/>
    <cellStyle name="Followed Hyperlink" xfId="6505" builtinId="9" hidden="1"/>
    <cellStyle name="Followed Hyperlink" xfId="6507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1" builtinId="8" hidden="1"/>
    <cellStyle name="Hyperlink" xfId="2513" builtinId="8" hidden="1"/>
    <cellStyle name="Hyperlink" xfId="2515" builtinId="8" hidden="1"/>
    <cellStyle name="Hyperlink" xfId="2517" builtinId="8" hidden="1"/>
    <cellStyle name="Hyperlink" xfId="2519" builtinId="8" hidden="1"/>
    <cellStyle name="Hyperlink" xfId="2521" builtinId="8" hidden="1"/>
    <cellStyle name="Hyperlink" xfId="2523" builtinId="8" hidden="1"/>
    <cellStyle name="Hyperlink" xfId="2525" builtinId="8" hidden="1"/>
    <cellStyle name="Hyperlink" xfId="2527" builtinId="8" hidden="1"/>
    <cellStyle name="Hyperlink" xfId="2529" builtinId="8" hidden="1"/>
    <cellStyle name="Hyperlink" xfId="2531" builtinId="8" hidden="1"/>
    <cellStyle name="Hyperlink" xfId="2533" builtinId="8" hidden="1"/>
    <cellStyle name="Hyperlink" xfId="2535" builtinId="8" hidden="1"/>
    <cellStyle name="Hyperlink" xfId="2537" builtinId="8" hidden="1"/>
    <cellStyle name="Hyperlink" xfId="2539" builtinId="8" hidden="1"/>
    <cellStyle name="Hyperlink" xfId="2541" builtinId="8" hidden="1"/>
    <cellStyle name="Hyperlink" xfId="2543" builtinId="8" hidden="1"/>
    <cellStyle name="Hyperlink" xfId="2545" builtinId="8" hidden="1"/>
    <cellStyle name="Hyperlink" xfId="2547" builtinId="8" hidden="1"/>
    <cellStyle name="Hyperlink" xfId="2549" builtinId="8" hidden="1"/>
    <cellStyle name="Hyperlink" xfId="2551" builtinId="8" hidden="1"/>
    <cellStyle name="Hyperlink" xfId="2553" builtinId="8" hidden="1"/>
    <cellStyle name="Hyperlink" xfId="2555" builtinId="8" hidden="1"/>
    <cellStyle name="Hyperlink" xfId="2557" builtinId="8" hidden="1"/>
    <cellStyle name="Hyperlink" xfId="2559" builtinId="8" hidden="1"/>
    <cellStyle name="Hyperlink" xfId="2561" builtinId="8" hidden="1"/>
    <cellStyle name="Hyperlink" xfId="2563" builtinId="8" hidden="1"/>
    <cellStyle name="Hyperlink" xfId="2565" builtinId="8" hidden="1"/>
    <cellStyle name="Hyperlink" xfId="2567" builtinId="8" hidden="1"/>
    <cellStyle name="Hyperlink" xfId="2569" builtinId="8" hidden="1"/>
    <cellStyle name="Hyperlink" xfId="2571" builtinId="8" hidden="1"/>
    <cellStyle name="Hyperlink" xfId="2573" builtinId="8" hidden="1"/>
    <cellStyle name="Hyperlink" xfId="2575" builtinId="8" hidden="1"/>
    <cellStyle name="Hyperlink" xfId="2577" builtinId="8" hidden="1"/>
    <cellStyle name="Hyperlink" xfId="2579" builtinId="8" hidden="1"/>
    <cellStyle name="Hyperlink" xfId="2581" builtinId="8" hidden="1"/>
    <cellStyle name="Hyperlink" xfId="2583" builtinId="8" hidden="1"/>
    <cellStyle name="Hyperlink" xfId="2585" builtinId="8" hidden="1"/>
    <cellStyle name="Hyperlink" xfId="2587" builtinId="8" hidden="1"/>
    <cellStyle name="Hyperlink" xfId="2589" builtinId="8" hidden="1"/>
    <cellStyle name="Hyperlink" xfId="2591" builtinId="8" hidden="1"/>
    <cellStyle name="Hyperlink" xfId="2593" builtinId="8" hidden="1"/>
    <cellStyle name="Hyperlink" xfId="2595" builtinId="8" hidden="1"/>
    <cellStyle name="Hyperlink" xfId="2597" builtinId="8" hidden="1"/>
    <cellStyle name="Hyperlink" xfId="2599" builtinId="8" hidden="1"/>
    <cellStyle name="Hyperlink" xfId="2601" builtinId="8" hidden="1"/>
    <cellStyle name="Hyperlink" xfId="2603" builtinId="8" hidden="1"/>
    <cellStyle name="Hyperlink" xfId="2605" builtinId="8" hidden="1"/>
    <cellStyle name="Hyperlink" xfId="2607" builtinId="8" hidden="1"/>
    <cellStyle name="Hyperlink" xfId="2609" builtinId="8" hidden="1"/>
    <cellStyle name="Hyperlink" xfId="2611" builtinId="8" hidden="1"/>
    <cellStyle name="Hyperlink" xfId="2613" builtinId="8" hidden="1"/>
    <cellStyle name="Hyperlink" xfId="2615" builtinId="8" hidden="1"/>
    <cellStyle name="Hyperlink" xfId="2617" builtinId="8" hidden="1"/>
    <cellStyle name="Hyperlink" xfId="2619" builtinId="8" hidden="1"/>
    <cellStyle name="Hyperlink" xfId="2621" builtinId="8" hidden="1"/>
    <cellStyle name="Hyperlink" xfId="2623" builtinId="8" hidden="1"/>
    <cellStyle name="Hyperlink" xfId="2625" builtinId="8" hidden="1"/>
    <cellStyle name="Hyperlink" xfId="2627" builtinId="8" hidden="1"/>
    <cellStyle name="Hyperlink" xfId="2629" builtinId="8" hidden="1"/>
    <cellStyle name="Hyperlink" xfId="2631" builtinId="8" hidden="1"/>
    <cellStyle name="Hyperlink" xfId="2633" builtinId="8" hidden="1"/>
    <cellStyle name="Hyperlink" xfId="2635" builtinId="8" hidden="1"/>
    <cellStyle name="Hyperlink" xfId="2637" builtinId="8" hidden="1"/>
    <cellStyle name="Hyperlink" xfId="2639" builtinId="8" hidden="1"/>
    <cellStyle name="Hyperlink" xfId="2641" builtinId="8" hidden="1"/>
    <cellStyle name="Hyperlink" xfId="2643" builtinId="8" hidden="1"/>
    <cellStyle name="Hyperlink" xfId="2645" builtinId="8" hidden="1"/>
    <cellStyle name="Hyperlink" xfId="2647" builtinId="8" hidden="1"/>
    <cellStyle name="Hyperlink" xfId="2649" builtinId="8" hidden="1"/>
    <cellStyle name="Hyperlink" xfId="2651" builtinId="8" hidden="1"/>
    <cellStyle name="Hyperlink" xfId="2653" builtinId="8" hidden="1"/>
    <cellStyle name="Hyperlink" xfId="2655" builtinId="8" hidden="1"/>
    <cellStyle name="Hyperlink" xfId="2657" builtinId="8" hidden="1"/>
    <cellStyle name="Hyperlink" xfId="2659" builtinId="8" hidden="1"/>
    <cellStyle name="Hyperlink" xfId="2661" builtinId="8" hidden="1"/>
    <cellStyle name="Hyperlink" xfId="2663" builtinId="8" hidden="1"/>
    <cellStyle name="Hyperlink" xfId="2665" builtinId="8" hidden="1"/>
    <cellStyle name="Hyperlink" xfId="2667" builtinId="8" hidden="1"/>
    <cellStyle name="Hyperlink" xfId="2669" builtinId="8" hidden="1"/>
    <cellStyle name="Hyperlink" xfId="2671" builtinId="8" hidden="1"/>
    <cellStyle name="Hyperlink" xfId="2673" builtinId="8" hidden="1"/>
    <cellStyle name="Hyperlink" xfId="2675" builtinId="8" hidden="1"/>
    <cellStyle name="Hyperlink" xfId="2677" builtinId="8" hidden="1"/>
    <cellStyle name="Hyperlink" xfId="2679" builtinId="8" hidden="1"/>
    <cellStyle name="Hyperlink" xfId="2681" builtinId="8" hidden="1"/>
    <cellStyle name="Hyperlink" xfId="2683" builtinId="8" hidden="1"/>
    <cellStyle name="Hyperlink" xfId="2685" builtinId="8" hidden="1"/>
    <cellStyle name="Hyperlink" xfId="2687" builtinId="8" hidden="1"/>
    <cellStyle name="Hyperlink" xfId="2689" builtinId="8" hidden="1"/>
    <cellStyle name="Hyperlink" xfId="2691" builtinId="8" hidden="1"/>
    <cellStyle name="Hyperlink" xfId="2693" builtinId="8" hidden="1"/>
    <cellStyle name="Hyperlink" xfId="2695" builtinId="8" hidden="1"/>
    <cellStyle name="Hyperlink" xfId="2697" builtinId="8" hidden="1"/>
    <cellStyle name="Hyperlink" xfId="2699" builtinId="8" hidden="1"/>
    <cellStyle name="Hyperlink" xfId="2701" builtinId="8" hidden="1"/>
    <cellStyle name="Hyperlink" xfId="2703" builtinId="8" hidden="1"/>
    <cellStyle name="Hyperlink" xfId="2705" builtinId="8" hidden="1"/>
    <cellStyle name="Hyperlink" xfId="2707" builtinId="8" hidden="1"/>
    <cellStyle name="Hyperlink" xfId="2709" builtinId="8" hidden="1"/>
    <cellStyle name="Hyperlink" xfId="2711" builtinId="8" hidden="1"/>
    <cellStyle name="Hyperlink" xfId="2713" builtinId="8" hidden="1"/>
    <cellStyle name="Hyperlink" xfId="2715" builtinId="8" hidden="1"/>
    <cellStyle name="Hyperlink" xfId="2717" builtinId="8" hidden="1"/>
    <cellStyle name="Hyperlink" xfId="2719" builtinId="8" hidden="1"/>
    <cellStyle name="Hyperlink" xfId="2721" builtinId="8" hidden="1"/>
    <cellStyle name="Hyperlink" xfId="2723" builtinId="8" hidden="1"/>
    <cellStyle name="Hyperlink" xfId="2725" builtinId="8" hidden="1"/>
    <cellStyle name="Hyperlink" xfId="2727" builtinId="8" hidden="1"/>
    <cellStyle name="Hyperlink" xfId="2729" builtinId="8" hidden="1"/>
    <cellStyle name="Hyperlink" xfId="2731" builtinId="8" hidden="1"/>
    <cellStyle name="Hyperlink" xfId="2733" builtinId="8" hidden="1"/>
    <cellStyle name="Hyperlink" xfId="2735" builtinId="8" hidden="1"/>
    <cellStyle name="Hyperlink" xfId="2737" builtinId="8" hidden="1"/>
    <cellStyle name="Hyperlink" xfId="2739" builtinId="8" hidden="1"/>
    <cellStyle name="Hyperlink" xfId="2741" builtinId="8" hidden="1"/>
    <cellStyle name="Hyperlink" xfId="2743" builtinId="8" hidden="1"/>
    <cellStyle name="Hyperlink" xfId="2745" builtinId="8" hidden="1"/>
    <cellStyle name="Hyperlink" xfId="2747" builtinId="8" hidden="1"/>
    <cellStyle name="Hyperlink" xfId="2749" builtinId="8" hidden="1"/>
    <cellStyle name="Hyperlink" xfId="2751" builtinId="8" hidden="1"/>
    <cellStyle name="Hyperlink" xfId="2753" builtinId="8" hidden="1"/>
    <cellStyle name="Hyperlink" xfId="2755" builtinId="8" hidden="1"/>
    <cellStyle name="Hyperlink" xfId="2757" builtinId="8" hidden="1"/>
    <cellStyle name="Hyperlink" xfId="2759" builtinId="8" hidden="1"/>
    <cellStyle name="Hyperlink" xfId="2761" builtinId="8" hidden="1"/>
    <cellStyle name="Hyperlink" xfId="2763" builtinId="8" hidden="1"/>
    <cellStyle name="Hyperlink" xfId="2765" builtinId="8" hidden="1"/>
    <cellStyle name="Hyperlink" xfId="2767" builtinId="8" hidden="1"/>
    <cellStyle name="Hyperlink" xfId="2769" builtinId="8" hidden="1"/>
    <cellStyle name="Hyperlink" xfId="2771" builtinId="8" hidden="1"/>
    <cellStyle name="Hyperlink" xfId="2773" builtinId="8" hidden="1"/>
    <cellStyle name="Hyperlink" xfId="2775" builtinId="8" hidden="1"/>
    <cellStyle name="Hyperlink" xfId="2777" builtinId="8" hidden="1"/>
    <cellStyle name="Hyperlink" xfId="2779" builtinId="8" hidden="1"/>
    <cellStyle name="Hyperlink" xfId="2781" builtinId="8" hidden="1"/>
    <cellStyle name="Hyperlink" xfId="2783" builtinId="8" hidden="1"/>
    <cellStyle name="Hyperlink" xfId="2785" builtinId="8" hidden="1"/>
    <cellStyle name="Hyperlink" xfId="2787" builtinId="8" hidden="1"/>
    <cellStyle name="Hyperlink" xfId="2789" builtinId="8" hidden="1"/>
    <cellStyle name="Hyperlink" xfId="2791" builtinId="8" hidden="1"/>
    <cellStyle name="Hyperlink" xfId="2793" builtinId="8" hidden="1"/>
    <cellStyle name="Hyperlink" xfId="2795" builtinId="8" hidden="1"/>
    <cellStyle name="Hyperlink" xfId="2797" builtinId="8" hidden="1"/>
    <cellStyle name="Hyperlink" xfId="2799" builtinId="8" hidden="1"/>
    <cellStyle name="Hyperlink" xfId="2801" builtinId="8" hidden="1"/>
    <cellStyle name="Hyperlink" xfId="2803" builtinId="8" hidden="1"/>
    <cellStyle name="Hyperlink" xfId="2805" builtinId="8" hidden="1"/>
    <cellStyle name="Hyperlink" xfId="2807" builtinId="8" hidden="1"/>
    <cellStyle name="Hyperlink" xfId="2809" builtinId="8" hidden="1"/>
    <cellStyle name="Hyperlink" xfId="2811" builtinId="8" hidden="1"/>
    <cellStyle name="Hyperlink" xfId="2813" builtinId="8" hidden="1"/>
    <cellStyle name="Hyperlink" xfId="2815" builtinId="8" hidden="1"/>
    <cellStyle name="Hyperlink" xfId="2817" builtinId="8" hidden="1"/>
    <cellStyle name="Hyperlink" xfId="2819" builtinId="8" hidden="1"/>
    <cellStyle name="Hyperlink" xfId="2821" builtinId="8" hidden="1"/>
    <cellStyle name="Hyperlink" xfId="2823" builtinId="8" hidden="1"/>
    <cellStyle name="Hyperlink" xfId="2825" builtinId="8" hidden="1"/>
    <cellStyle name="Hyperlink" xfId="2827" builtinId="8" hidden="1"/>
    <cellStyle name="Hyperlink" xfId="2829" builtinId="8" hidden="1"/>
    <cellStyle name="Hyperlink" xfId="2831" builtinId="8" hidden="1"/>
    <cellStyle name="Hyperlink" xfId="2833" builtinId="8" hidden="1"/>
    <cellStyle name="Hyperlink" xfId="2835" builtinId="8" hidden="1"/>
    <cellStyle name="Hyperlink" xfId="2837" builtinId="8" hidden="1"/>
    <cellStyle name="Hyperlink" xfId="2839" builtinId="8" hidden="1"/>
    <cellStyle name="Hyperlink" xfId="2841" builtinId="8" hidden="1"/>
    <cellStyle name="Hyperlink" xfId="2843" builtinId="8" hidden="1"/>
    <cellStyle name="Hyperlink" xfId="2845" builtinId="8" hidden="1"/>
    <cellStyle name="Hyperlink" xfId="2847" builtinId="8" hidden="1"/>
    <cellStyle name="Hyperlink" xfId="2849" builtinId="8" hidden="1"/>
    <cellStyle name="Hyperlink" xfId="2851" builtinId="8" hidden="1"/>
    <cellStyle name="Hyperlink" xfId="2853" builtinId="8" hidden="1"/>
    <cellStyle name="Hyperlink" xfId="2855" builtinId="8" hidden="1"/>
    <cellStyle name="Hyperlink" xfId="2857" builtinId="8" hidden="1"/>
    <cellStyle name="Hyperlink" xfId="2859" builtinId="8" hidden="1"/>
    <cellStyle name="Hyperlink" xfId="2861" builtinId="8" hidden="1"/>
    <cellStyle name="Hyperlink" xfId="2863" builtinId="8" hidden="1"/>
    <cellStyle name="Hyperlink" xfId="2865" builtinId="8" hidden="1"/>
    <cellStyle name="Hyperlink" xfId="2867" builtinId="8" hidden="1"/>
    <cellStyle name="Hyperlink" xfId="2869" builtinId="8" hidden="1"/>
    <cellStyle name="Hyperlink" xfId="2871" builtinId="8" hidden="1"/>
    <cellStyle name="Hyperlink" xfId="2873" builtinId="8" hidden="1"/>
    <cellStyle name="Hyperlink" xfId="2875" builtinId="8" hidden="1"/>
    <cellStyle name="Hyperlink" xfId="2877" builtinId="8" hidden="1"/>
    <cellStyle name="Hyperlink" xfId="2879" builtinId="8" hidden="1"/>
    <cellStyle name="Hyperlink" xfId="2881" builtinId="8" hidden="1"/>
    <cellStyle name="Hyperlink" xfId="2883" builtinId="8" hidden="1"/>
    <cellStyle name="Hyperlink" xfId="2885" builtinId="8" hidden="1"/>
    <cellStyle name="Hyperlink" xfId="2887" builtinId="8" hidden="1"/>
    <cellStyle name="Hyperlink" xfId="2889" builtinId="8" hidden="1"/>
    <cellStyle name="Hyperlink" xfId="2891" builtinId="8" hidden="1"/>
    <cellStyle name="Hyperlink" xfId="2893" builtinId="8" hidden="1"/>
    <cellStyle name="Hyperlink" xfId="2895" builtinId="8" hidden="1"/>
    <cellStyle name="Hyperlink" xfId="2897" builtinId="8" hidden="1"/>
    <cellStyle name="Hyperlink" xfId="2899" builtinId="8" hidden="1"/>
    <cellStyle name="Hyperlink" xfId="2901" builtinId="8" hidden="1"/>
    <cellStyle name="Hyperlink" xfId="2903" builtinId="8" hidden="1"/>
    <cellStyle name="Hyperlink" xfId="2905" builtinId="8" hidden="1"/>
    <cellStyle name="Hyperlink" xfId="2907" builtinId="8" hidden="1"/>
    <cellStyle name="Hyperlink" xfId="2909" builtinId="8" hidden="1"/>
    <cellStyle name="Hyperlink" xfId="2911" builtinId="8" hidden="1"/>
    <cellStyle name="Hyperlink" xfId="2913" builtinId="8" hidden="1"/>
    <cellStyle name="Hyperlink" xfId="2915" builtinId="8" hidden="1"/>
    <cellStyle name="Hyperlink" xfId="2917" builtinId="8" hidden="1"/>
    <cellStyle name="Hyperlink" xfId="2919" builtinId="8" hidden="1"/>
    <cellStyle name="Hyperlink" xfId="2921" builtinId="8" hidden="1"/>
    <cellStyle name="Hyperlink" xfId="2923" builtinId="8" hidden="1"/>
    <cellStyle name="Hyperlink" xfId="2925" builtinId="8" hidden="1"/>
    <cellStyle name="Hyperlink" xfId="2927" builtinId="8" hidden="1"/>
    <cellStyle name="Hyperlink" xfId="2929" builtinId="8" hidden="1"/>
    <cellStyle name="Hyperlink" xfId="2931" builtinId="8" hidden="1"/>
    <cellStyle name="Hyperlink" xfId="2933" builtinId="8" hidden="1"/>
    <cellStyle name="Hyperlink" xfId="2935" builtinId="8" hidden="1"/>
    <cellStyle name="Hyperlink" xfId="2937" builtinId="8" hidden="1"/>
    <cellStyle name="Hyperlink" xfId="2939" builtinId="8" hidden="1"/>
    <cellStyle name="Hyperlink" xfId="2941" builtinId="8" hidden="1"/>
    <cellStyle name="Hyperlink" xfId="2943" builtinId="8" hidden="1"/>
    <cellStyle name="Hyperlink" xfId="2945" builtinId="8" hidden="1"/>
    <cellStyle name="Hyperlink" xfId="2947" builtinId="8" hidden="1"/>
    <cellStyle name="Hyperlink" xfId="2949" builtinId="8" hidden="1"/>
    <cellStyle name="Hyperlink" xfId="2951" builtinId="8" hidden="1"/>
    <cellStyle name="Hyperlink" xfId="2953" builtinId="8" hidden="1"/>
    <cellStyle name="Hyperlink" xfId="2955" builtinId="8" hidden="1"/>
    <cellStyle name="Hyperlink" xfId="2957" builtinId="8" hidden="1"/>
    <cellStyle name="Hyperlink" xfId="2959" builtinId="8" hidden="1"/>
    <cellStyle name="Hyperlink" xfId="2961" builtinId="8" hidden="1"/>
    <cellStyle name="Hyperlink" xfId="2963" builtinId="8" hidden="1"/>
    <cellStyle name="Hyperlink" xfId="2965" builtinId="8" hidden="1"/>
    <cellStyle name="Hyperlink" xfId="2967" builtinId="8" hidden="1"/>
    <cellStyle name="Hyperlink" xfId="2969" builtinId="8" hidden="1"/>
    <cellStyle name="Hyperlink" xfId="2971" builtinId="8" hidden="1"/>
    <cellStyle name="Hyperlink" xfId="2973" builtinId="8" hidden="1"/>
    <cellStyle name="Hyperlink" xfId="2975" builtinId="8" hidden="1"/>
    <cellStyle name="Hyperlink" xfId="2977" builtinId="8" hidden="1"/>
    <cellStyle name="Hyperlink" xfId="2979" builtinId="8" hidden="1"/>
    <cellStyle name="Hyperlink" xfId="2981" builtinId="8" hidden="1"/>
    <cellStyle name="Hyperlink" xfId="2983" builtinId="8" hidden="1"/>
    <cellStyle name="Hyperlink" xfId="2985" builtinId="8" hidden="1"/>
    <cellStyle name="Hyperlink" xfId="2987" builtinId="8" hidden="1"/>
    <cellStyle name="Hyperlink" xfId="2989" builtinId="8" hidden="1"/>
    <cellStyle name="Hyperlink" xfId="2991" builtinId="8" hidden="1"/>
    <cellStyle name="Hyperlink" xfId="2993" builtinId="8" hidden="1"/>
    <cellStyle name="Hyperlink" xfId="2995" builtinId="8" hidden="1"/>
    <cellStyle name="Hyperlink" xfId="2997" builtinId="8" hidden="1"/>
    <cellStyle name="Hyperlink" xfId="2999" builtinId="8" hidden="1"/>
    <cellStyle name="Hyperlink" xfId="3001" builtinId="8" hidden="1"/>
    <cellStyle name="Hyperlink" xfId="3003" builtinId="8" hidden="1"/>
    <cellStyle name="Hyperlink" xfId="3005" builtinId="8" hidden="1"/>
    <cellStyle name="Hyperlink" xfId="3007" builtinId="8" hidden="1"/>
    <cellStyle name="Hyperlink" xfId="3009" builtinId="8" hidden="1"/>
    <cellStyle name="Hyperlink" xfId="3011" builtinId="8" hidden="1"/>
    <cellStyle name="Hyperlink" xfId="3013" builtinId="8" hidden="1"/>
    <cellStyle name="Hyperlink" xfId="3015" builtinId="8" hidden="1"/>
    <cellStyle name="Hyperlink" xfId="3017" builtinId="8" hidden="1"/>
    <cellStyle name="Hyperlink" xfId="3019" builtinId="8" hidden="1"/>
    <cellStyle name="Hyperlink" xfId="3021" builtinId="8" hidden="1"/>
    <cellStyle name="Hyperlink" xfId="3023" builtinId="8" hidden="1"/>
    <cellStyle name="Hyperlink" xfId="3025" builtinId="8" hidden="1"/>
    <cellStyle name="Hyperlink" xfId="3027" builtinId="8" hidden="1"/>
    <cellStyle name="Hyperlink" xfId="3029" builtinId="8" hidden="1"/>
    <cellStyle name="Hyperlink" xfId="3031" builtinId="8" hidden="1"/>
    <cellStyle name="Hyperlink" xfId="3033" builtinId="8" hidden="1"/>
    <cellStyle name="Hyperlink" xfId="3035" builtinId="8" hidden="1"/>
    <cellStyle name="Hyperlink" xfId="3037" builtinId="8" hidden="1"/>
    <cellStyle name="Hyperlink" xfId="3039" builtinId="8" hidden="1"/>
    <cellStyle name="Hyperlink" xfId="3041" builtinId="8" hidden="1"/>
    <cellStyle name="Hyperlink" xfId="3043" builtinId="8" hidden="1"/>
    <cellStyle name="Hyperlink" xfId="3045" builtinId="8" hidden="1"/>
    <cellStyle name="Hyperlink" xfId="3047" builtinId="8" hidden="1"/>
    <cellStyle name="Hyperlink" xfId="3049" builtinId="8" hidden="1"/>
    <cellStyle name="Hyperlink" xfId="3051" builtinId="8" hidden="1"/>
    <cellStyle name="Hyperlink" xfId="3053" builtinId="8" hidden="1"/>
    <cellStyle name="Hyperlink" xfId="3055" builtinId="8" hidden="1"/>
    <cellStyle name="Hyperlink" xfId="3057" builtinId="8" hidden="1"/>
    <cellStyle name="Hyperlink" xfId="3059" builtinId="8" hidden="1"/>
    <cellStyle name="Hyperlink" xfId="3061" builtinId="8" hidden="1"/>
    <cellStyle name="Hyperlink" xfId="3063" builtinId="8" hidden="1"/>
    <cellStyle name="Hyperlink" xfId="3065" builtinId="8" hidden="1"/>
    <cellStyle name="Hyperlink" xfId="3067" builtinId="8" hidden="1"/>
    <cellStyle name="Hyperlink" xfId="3069" builtinId="8" hidden="1"/>
    <cellStyle name="Hyperlink" xfId="3071" builtinId="8" hidden="1"/>
    <cellStyle name="Hyperlink" xfId="3073" builtinId="8" hidden="1"/>
    <cellStyle name="Hyperlink" xfId="3075" builtinId="8" hidden="1"/>
    <cellStyle name="Hyperlink" xfId="3077" builtinId="8" hidden="1"/>
    <cellStyle name="Hyperlink" xfId="3079" builtinId="8" hidden="1"/>
    <cellStyle name="Hyperlink" xfId="3081" builtinId="8" hidden="1"/>
    <cellStyle name="Hyperlink" xfId="3083" builtinId="8" hidden="1"/>
    <cellStyle name="Hyperlink" xfId="3085" builtinId="8" hidden="1"/>
    <cellStyle name="Hyperlink" xfId="3087" builtinId="8" hidden="1"/>
    <cellStyle name="Hyperlink" xfId="3089" builtinId="8" hidden="1"/>
    <cellStyle name="Hyperlink" xfId="3091" builtinId="8" hidden="1"/>
    <cellStyle name="Hyperlink" xfId="3093" builtinId="8" hidden="1"/>
    <cellStyle name="Hyperlink" xfId="3095" builtinId="8" hidden="1"/>
    <cellStyle name="Hyperlink" xfId="3097" builtinId="8" hidden="1"/>
    <cellStyle name="Hyperlink" xfId="3099" builtinId="8" hidden="1"/>
    <cellStyle name="Hyperlink" xfId="3101" builtinId="8" hidden="1"/>
    <cellStyle name="Hyperlink" xfId="3103" builtinId="8" hidden="1"/>
    <cellStyle name="Hyperlink" xfId="3105" builtinId="8" hidden="1"/>
    <cellStyle name="Hyperlink" xfId="3107" builtinId="8" hidden="1"/>
    <cellStyle name="Hyperlink" xfId="3109" builtinId="8" hidden="1"/>
    <cellStyle name="Hyperlink" xfId="3111" builtinId="8" hidden="1"/>
    <cellStyle name="Hyperlink" xfId="3113" builtinId="8" hidden="1"/>
    <cellStyle name="Hyperlink" xfId="3115" builtinId="8" hidden="1"/>
    <cellStyle name="Hyperlink" xfId="3117" builtinId="8" hidden="1"/>
    <cellStyle name="Hyperlink" xfId="3119" builtinId="8" hidden="1"/>
    <cellStyle name="Hyperlink" xfId="3121" builtinId="8" hidden="1"/>
    <cellStyle name="Hyperlink" xfId="3123" builtinId="8" hidden="1"/>
    <cellStyle name="Hyperlink" xfId="3125" builtinId="8" hidden="1"/>
    <cellStyle name="Hyperlink" xfId="3127" builtinId="8" hidden="1"/>
    <cellStyle name="Hyperlink" xfId="3129" builtinId="8" hidden="1"/>
    <cellStyle name="Hyperlink" xfId="3131" builtinId="8" hidden="1"/>
    <cellStyle name="Hyperlink" xfId="3133" builtinId="8" hidden="1"/>
    <cellStyle name="Hyperlink" xfId="3135" builtinId="8" hidden="1"/>
    <cellStyle name="Hyperlink" xfId="3137" builtinId="8" hidden="1"/>
    <cellStyle name="Hyperlink" xfId="3139" builtinId="8" hidden="1"/>
    <cellStyle name="Hyperlink" xfId="3141" builtinId="8" hidden="1"/>
    <cellStyle name="Hyperlink" xfId="3143" builtinId="8" hidden="1"/>
    <cellStyle name="Hyperlink" xfId="3145" builtinId="8" hidden="1"/>
    <cellStyle name="Hyperlink" xfId="3147" builtinId="8" hidden="1"/>
    <cellStyle name="Hyperlink" xfId="3149" builtinId="8" hidden="1"/>
    <cellStyle name="Hyperlink" xfId="3151" builtinId="8" hidden="1"/>
    <cellStyle name="Hyperlink" xfId="3153" builtinId="8" hidden="1"/>
    <cellStyle name="Hyperlink" xfId="3155" builtinId="8" hidden="1"/>
    <cellStyle name="Hyperlink" xfId="3157" builtinId="8" hidden="1"/>
    <cellStyle name="Hyperlink" xfId="3159" builtinId="8" hidden="1"/>
    <cellStyle name="Hyperlink" xfId="3161" builtinId="8" hidden="1"/>
    <cellStyle name="Hyperlink" xfId="3163" builtinId="8" hidden="1"/>
    <cellStyle name="Hyperlink" xfId="3165" builtinId="8" hidden="1"/>
    <cellStyle name="Hyperlink" xfId="3167" builtinId="8" hidden="1"/>
    <cellStyle name="Hyperlink" xfId="3169" builtinId="8" hidden="1"/>
    <cellStyle name="Hyperlink" xfId="3171" builtinId="8" hidden="1"/>
    <cellStyle name="Hyperlink" xfId="3173" builtinId="8" hidden="1"/>
    <cellStyle name="Hyperlink" xfId="3175" builtinId="8" hidden="1"/>
    <cellStyle name="Hyperlink" xfId="3365" builtinId="8" hidden="1"/>
    <cellStyle name="Hyperlink" xfId="3367" builtinId="8" hidden="1"/>
    <cellStyle name="Hyperlink" xfId="3369" builtinId="8" hidden="1"/>
    <cellStyle name="Hyperlink" xfId="3371" builtinId="8" hidden="1"/>
    <cellStyle name="Hyperlink" xfId="3373" builtinId="8" hidden="1"/>
    <cellStyle name="Hyperlink" xfId="3375" builtinId="8" hidden="1"/>
    <cellStyle name="Hyperlink" xfId="3377" builtinId="8" hidden="1"/>
    <cellStyle name="Hyperlink" xfId="3379" builtinId="8" hidden="1"/>
    <cellStyle name="Hyperlink" xfId="3381" builtinId="8" hidden="1"/>
    <cellStyle name="Hyperlink" xfId="3383" builtinId="8" hidden="1"/>
    <cellStyle name="Hyperlink" xfId="3385" builtinId="8" hidden="1"/>
    <cellStyle name="Hyperlink" xfId="3387" builtinId="8" hidden="1"/>
    <cellStyle name="Hyperlink" xfId="3389" builtinId="8" hidden="1"/>
    <cellStyle name="Hyperlink" xfId="3391" builtinId="8" hidden="1"/>
    <cellStyle name="Hyperlink" xfId="3393" builtinId="8" hidden="1"/>
    <cellStyle name="Hyperlink" xfId="3395" builtinId="8" hidden="1"/>
    <cellStyle name="Hyperlink" xfId="3397" builtinId="8" hidden="1"/>
    <cellStyle name="Hyperlink" xfId="3399" builtinId="8" hidden="1"/>
    <cellStyle name="Hyperlink" xfId="3401" builtinId="8" hidden="1"/>
    <cellStyle name="Hyperlink" xfId="3403" builtinId="8" hidden="1"/>
    <cellStyle name="Hyperlink" xfId="3405" builtinId="8" hidden="1"/>
    <cellStyle name="Hyperlink" xfId="3407" builtinId="8" hidden="1"/>
    <cellStyle name="Hyperlink" xfId="3409" builtinId="8" hidden="1"/>
    <cellStyle name="Hyperlink" xfId="3411" builtinId="8" hidden="1"/>
    <cellStyle name="Hyperlink" xfId="3413" builtinId="8" hidden="1"/>
    <cellStyle name="Hyperlink" xfId="3415" builtinId="8" hidden="1"/>
    <cellStyle name="Hyperlink" xfId="3417" builtinId="8" hidden="1"/>
    <cellStyle name="Hyperlink" xfId="3419" builtinId="8" hidden="1"/>
    <cellStyle name="Hyperlink" xfId="3421" builtinId="8" hidden="1"/>
    <cellStyle name="Hyperlink" xfId="3423" builtinId="8" hidden="1"/>
    <cellStyle name="Hyperlink" xfId="3425" builtinId="8" hidden="1"/>
    <cellStyle name="Hyperlink" xfId="3427" builtinId="8" hidden="1"/>
    <cellStyle name="Hyperlink" xfId="3429" builtinId="8" hidden="1"/>
    <cellStyle name="Hyperlink" xfId="3431" builtinId="8" hidden="1"/>
    <cellStyle name="Hyperlink" xfId="3433" builtinId="8" hidden="1"/>
    <cellStyle name="Hyperlink" xfId="3435" builtinId="8" hidden="1"/>
    <cellStyle name="Hyperlink" xfId="3437" builtinId="8" hidden="1"/>
    <cellStyle name="Hyperlink" xfId="3439" builtinId="8" hidden="1"/>
    <cellStyle name="Hyperlink" xfId="3441" builtinId="8" hidden="1"/>
    <cellStyle name="Hyperlink" xfId="3443" builtinId="8" hidden="1"/>
    <cellStyle name="Hyperlink" xfId="3445" builtinId="8" hidden="1"/>
    <cellStyle name="Hyperlink" xfId="3447" builtinId="8" hidden="1"/>
    <cellStyle name="Hyperlink" xfId="3449" builtinId="8" hidden="1"/>
    <cellStyle name="Hyperlink" xfId="3451" builtinId="8" hidden="1"/>
    <cellStyle name="Hyperlink" xfId="3453" builtinId="8" hidden="1"/>
    <cellStyle name="Hyperlink" xfId="3455" builtinId="8" hidden="1"/>
    <cellStyle name="Hyperlink" xfId="3457" builtinId="8" hidden="1"/>
    <cellStyle name="Hyperlink" xfId="3459" builtinId="8" hidden="1"/>
    <cellStyle name="Hyperlink" xfId="3461" builtinId="8" hidden="1"/>
    <cellStyle name="Hyperlink" xfId="3463" builtinId="8" hidden="1"/>
    <cellStyle name="Hyperlink" xfId="3465" builtinId="8" hidden="1"/>
    <cellStyle name="Hyperlink" xfId="3467" builtinId="8" hidden="1"/>
    <cellStyle name="Hyperlink" xfId="3469" builtinId="8" hidden="1"/>
    <cellStyle name="Hyperlink" xfId="3471" builtinId="8" hidden="1"/>
    <cellStyle name="Hyperlink" xfId="3473" builtinId="8" hidden="1"/>
    <cellStyle name="Hyperlink" xfId="3475" builtinId="8" hidden="1"/>
    <cellStyle name="Hyperlink" xfId="3477" builtinId="8" hidden="1"/>
    <cellStyle name="Hyperlink" xfId="3479" builtinId="8" hidden="1"/>
    <cellStyle name="Hyperlink" xfId="3481" builtinId="8" hidden="1"/>
    <cellStyle name="Hyperlink" xfId="3483" builtinId="8" hidden="1"/>
    <cellStyle name="Hyperlink" xfId="3485" builtinId="8" hidden="1"/>
    <cellStyle name="Hyperlink" xfId="3487" builtinId="8" hidden="1"/>
    <cellStyle name="Hyperlink" xfId="3489" builtinId="8" hidden="1"/>
    <cellStyle name="Hyperlink" xfId="3491" builtinId="8" hidden="1"/>
    <cellStyle name="Hyperlink" xfId="3493" builtinId="8" hidden="1"/>
    <cellStyle name="Hyperlink" xfId="3495" builtinId="8" hidden="1"/>
    <cellStyle name="Hyperlink" xfId="3497" builtinId="8" hidden="1"/>
    <cellStyle name="Hyperlink" xfId="3499" builtinId="8" hidden="1"/>
    <cellStyle name="Hyperlink" xfId="3501" builtinId="8" hidden="1"/>
    <cellStyle name="Hyperlink" xfId="3503" builtinId="8" hidden="1"/>
    <cellStyle name="Hyperlink" xfId="3505" builtinId="8" hidden="1"/>
    <cellStyle name="Hyperlink" xfId="3507" builtinId="8" hidden="1"/>
    <cellStyle name="Hyperlink" xfId="3509" builtinId="8" hidden="1"/>
    <cellStyle name="Hyperlink" xfId="3511" builtinId="8" hidden="1"/>
    <cellStyle name="Hyperlink" xfId="3513" builtinId="8" hidden="1"/>
    <cellStyle name="Hyperlink" xfId="3515" builtinId="8" hidden="1"/>
    <cellStyle name="Hyperlink" xfId="3517" builtinId="8" hidden="1"/>
    <cellStyle name="Hyperlink" xfId="3519" builtinId="8" hidden="1"/>
    <cellStyle name="Hyperlink" xfId="3521" builtinId="8" hidden="1"/>
    <cellStyle name="Hyperlink" xfId="3523" builtinId="8" hidden="1"/>
    <cellStyle name="Hyperlink" xfId="3525" builtinId="8" hidden="1"/>
    <cellStyle name="Hyperlink" xfId="3527" builtinId="8" hidden="1"/>
    <cellStyle name="Hyperlink" xfId="3529" builtinId="8" hidden="1"/>
    <cellStyle name="Hyperlink" xfId="3531" builtinId="8" hidden="1"/>
    <cellStyle name="Hyperlink" xfId="3533" builtinId="8" hidden="1"/>
    <cellStyle name="Hyperlink" xfId="3535" builtinId="8" hidden="1"/>
    <cellStyle name="Hyperlink" xfId="3537" builtinId="8" hidden="1"/>
    <cellStyle name="Hyperlink" xfId="3539" builtinId="8" hidden="1"/>
    <cellStyle name="Hyperlink" xfId="3541" builtinId="8" hidden="1"/>
    <cellStyle name="Hyperlink" xfId="3543" builtinId="8" hidden="1"/>
    <cellStyle name="Hyperlink" xfId="3545" builtinId="8" hidden="1"/>
    <cellStyle name="Hyperlink" xfId="3547" builtinId="8" hidden="1"/>
    <cellStyle name="Hyperlink" xfId="3549" builtinId="8" hidden="1"/>
    <cellStyle name="Hyperlink" xfId="3551" builtinId="8" hidden="1"/>
    <cellStyle name="Hyperlink" xfId="3553" builtinId="8" hidden="1"/>
    <cellStyle name="Hyperlink" xfId="3555" builtinId="8" hidden="1"/>
    <cellStyle name="Hyperlink" xfId="3557" builtinId="8" hidden="1"/>
    <cellStyle name="Hyperlink" xfId="3559" builtinId="8" hidden="1"/>
    <cellStyle name="Hyperlink" xfId="3561" builtinId="8" hidden="1"/>
    <cellStyle name="Hyperlink" xfId="3563" builtinId="8" hidden="1"/>
    <cellStyle name="Hyperlink" xfId="3565" builtinId="8" hidden="1"/>
    <cellStyle name="Hyperlink" xfId="3567" builtinId="8" hidden="1"/>
    <cellStyle name="Hyperlink" xfId="3569" builtinId="8" hidden="1"/>
    <cellStyle name="Hyperlink" xfId="3571" builtinId="8" hidden="1"/>
    <cellStyle name="Hyperlink" xfId="3573" builtinId="8" hidden="1"/>
    <cellStyle name="Hyperlink" xfId="3575" builtinId="8" hidden="1"/>
    <cellStyle name="Hyperlink" xfId="3577" builtinId="8" hidden="1"/>
    <cellStyle name="Hyperlink" xfId="3579" builtinId="8" hidden="1"/>
    <cellStyle name="Hyperlink" xfId="3581" builtinId="8" hidden="1"/>
    <cellStyle name="Hyperlink" xfId="3583" builtinId="8" hidden="1"/>
    <cellStyle name="Hyperlink" xfId="3585" builtinId="8" hidden="1"/>
    <cellStyle name="Hyperlink" xfId="3587" builtinId="8" hidden="1"/>
    <cellStyle name="Hyperlink" xfId="3589" builtinId="8" hidden="1"/>
    <cellStyle name="Hyperlink" xfId="3591" builtinId="8" hidden="1"/>
    <cellStyle name="Hyperlink" xfId="3593" builtinId="8" hidden="1"/>
    <cellStyle name="Hyperlink" xfId="3595" builtinId="8" hidden="1"/>
    <cellStyle name="Hyperlink" xfId="3597" builtinId="8" hidden="1"/>
    <cellStyle name="Hyperlink" xfId="3599" builtinId="8" hidden="1"/>
    <cellStyle name="Hyperlink" xfId="3601" builtinId="8" hidden="1"/>
    <cellStyle name="Hyperlink" xfId="3603" builtinId="8" hidden="1"/>
    <cellStyle name="Hyperlink" xfId="3605" builtinId="8" hidden="1"/>
    <cellStyle name="Hyperlink" xfId="3607" builtinId="8" hidden="1"/>
    <cellStyle name="Hyperlink" xfId="3609" builtinId="8" hidden="1"/>
    <cellStyle name="Hyperlink" xfId="3611" builtinId="8" hidden="1"/>
    <cellStyle name="Hyperlink" xfId="3613" builtinId="8" hidden="1"/>
    <cellStyle name="Hyperlink" xfId="3615" builtinId="8" hidden="1"/>
    <cellStyle name="Hyperlink" xfId="3617" builtinId="8" hidden="1"/>
    <cellStyle name="Hyperlink" xfId="3619" builtinId="8" hidden="1"/>
    <cellStyle name="Hyperlink" xfId="3621" builtinId="8" hidden="1"/>
    <cellStyle name="Hyperlink" xfId="3623" builtinId="8" hidden="1"/>
    <cellStyle name="Hyperlink" xfId="3625" builtinId="8" hidden="1"/>
    <cellStyle name="Hyperlink" xfId="3627" builtinId="8" hidden="1"/>
    <cellStyle name="Hyperlink" xfId="3629" builtinId="8" hidden="1"/>
    <cellStyle name="Hyperlink" xfId="3631" builtinId="8" hidden="1"/>
    <cellStyle name="Hyperlink" xfId="3633" builtinId="8" hidden="1"/>
    <cellStyle name="Hyperlink" xfId="3635" builtinId="8" hidden="1"/>
    <cellStyle name="Hyperlink" xfId="3637" builtinId="8" hidden="1"/>
    <cellStyle name="Hyperlink" xfId="3639" builtinId="8" hidden="1"/>
    <cellStyle name="Hyperlink" xfId="3641" builtinId="8" hidden="1"/>
    <cellStyle name="Hyperlink" xfId="3643" builtinId="8" hidden="1"/>
    <cellStyle name="Hyperlink" xfId="3645" builtinId="8" hidden="1"/>
    <cellStyle name="Hyperlink" xfId="3647" builtinId="8" hidden="1"/>
    <cellStyle name="Hyperlink" xfId="3649" builtinId="8" hidden="1"/>
    <cellStyle name="Hyperlink" xfId="3651" builtinId="8" hidden="1"/>
    <cellStyle name="Hyperlink" xfId="3653" builtinId="8" hidden="1"/>
    <cellStyle name="Hyperlink" xfId="3655" builtinId="8" hidden="1"/>
    <cellStyle name="Hyperlink" xfId="3657" builtinId="8" hidden="1"/>
    <cellStyle name="Hyperlink" xfId="3659" builtinId="8" hidden="1"/>
    <cellStyle name="Hyperlink" xfId="3661" builtinId="8" hidden="1"/>
    <cellStyle name="Hyperlink" xfId="3663" builtinId="8" hidden="1"/>
    <cellStyle name="Hyperlink" xfId="3665" builtinId="8" hidden="1"/>
    <cellStyle name="Hyperlink" xfId="3667" builtinId="8" hidden="1"/>
    <cellStyle name="Hyperlink" xfId="3669" builtinId="8" hidden="1"/>
    <cellStyle name="Hyperlink" xfId="3671" builtinId="8" hidden="1"/>
    <cellStyle name="Hyperlink" xfId="3673" builtinId="8" hidden="1"/>
    <cellStyle name="Hyperlink" xfId="3675" builtinId="8" hidden="1"/>
    <cellStyle name="Hyperlink" xfId="3677" builtinId="8" hidden="1"/>
    <cellStyle name="Hyperlink" xfId="3679" builtinId="8" hidden="1"/>
    <cellStyle name="Hyperlink" xfId="3681" builtinId="8" hidden="1"/>
    <cellStyle name="Hyperlink" xfId="3683" builtinId="8" hidden="1"/>
    <cellStyle name="Hyperlink" xfId="3685" builtinId="8" hidden="1"/>
    <cellStyle name="Hyperlink" xfId="3687" builtinId="8" hidden="1"/>
    <cellStyle name="Hyperlink" xfId="3689" builtinId="8" hidden="1"/>
    <cellStyle name="Hyperlink" xfId="3691" builtinId="8" hidden="1"/>
    <cellStyle name="Hyperlink" xfId="3693" builtinId="8" hidden="1"/>
    <cellStyle name="Hyperlink" xfId="3695" builtinId="8" hidden="1"/>
    <cellStyle name="Hyperlink" xfId="3697" builtinId="8" hidden="1"/>
    <cellStyle name="Hyperlink" xfId="3699" builtinId="8" hidden="1"/>
    <cellStyle name="Hyperlink" xfId="3701" builtinId="8" hidden="1"/>
    <cellStyle name="Hyperlink" xfId="3703" builtinId="8" hidden="1"/>
    <cellStyle name="Hyperlink" xfId="3705" builtinId="8" hidden="1"/>
    <cellStyle name="Hyperlink" xfId="3707" builtinId="8" hidden="1"/>
    <cellStyle name="Hyperlink" xfId="3709" builtinId="8" hidden="1"/>
    <cellStyle name="Hyperlink" xfId="3711" builtinId="8" hidden="1"/>
    <cellStyle name="Hyperlink" xfId="3713" builtinId="8" hidden="1"/>
    <cellStyle name="Hyperlink" xfId="3715" builtinId="8" hidden="1"/>
    <cellStyle name="Hyperlink" xfId="3717" builtinId="8" hidden="1"/>
    <cellStyle name="Hyperlink" xfId="3719" builtinId="8" hidden="1"/>
    <cellStyle name="Hyperlink" xfId="3721" builtinId="8" hidden="1"/>
    <cellStyle name="Hyperlink" xfId="3723" builtinId="8" hidden="1"/>
    <cellStyle name="Hyperlink" xfId="3725" builtinId="8" hidden="1"/>
    <cellStyle name="Hyperlink" xfId="3727" builtinId="8" hidden="1"/>
    <cellStyle name="Hyperlink" xfId="3729" builtinId="8" hidden="1"/>
    <cellStyle name="Hyperlink" xfId="3731" builtinId="8" hidden="1"/>
    <cellStyle name="Hyperlink" xfId="3733" builtinId="8" hidden="1"/>
    <cellStyle name="Hyperlink" xfId="3735" builtinId="8" hidden="1"/>
    <cellStyle name="Hyperlink" xfId="3737" builtinId="8" hidden="1"/>
    <cellStyle name="Hyperlink" xfId="3739" builtinId="8" hidden="1"/>
    <cellStyle name="Hyperlink" xfId="3741" builtinId="8" hidden="1"/>
    <cellStyle name="Hyperlink" xfId="3743" builtinId="8" hidden="1"/>
    <cellStyle name="Hyperlink" xfId="3745" builtinId="8" hidden="1"/>
    <cellStyle name="Hyperlink" xfId="3747" builtinId="8" hidden="1"/>
    <cellStyle name="Hyperlink" xfId="3749" builtinId="8" hidden="1"/>
    <cellStyle name="Hyperlink" xfId="3751" builtinId="8" hidden="1"/>
    <cellStyle name="Hyperlink" xfId="3753" builtinId="8" hidden="1"/>
    <cellStyle name="Hyperlink" xfId="3755" builtinId="8" hidden="1"/>
    <cellStyle name="Hyperlink" xfId="3757" builtinId="8" hidden="1"/>
    <cellStyle name="Hyperlink" xfId="3759" builtinId="8" hidden="1"/>
    <cellStyle name="Hyperlink" xfId="3761" builtinId="8" hidden="1"/>
    <cellStyle name="Hyperlink" xfId="3763" builtinId="8" hidden="1"/>
    <cellStyle name="Hyperlink" xfId="3765" builtinId="8" hidden="1"/>
    <cellStyle name="Hyperlink" xfId="3767" builtinId="8" hidden="1"/>
    <cellStyle name="Hyperlink" xfId="3769" builtinId="8" hidden="1"/>
    <cellStyle name="Hyperlink" xfId="3771" builtinId="8" hidden="1"/>
    <cellStyle name="Hyperlink" xfId="3773" builtinId="8" hidden="1"/>
    <cellStyle name="Hyperlink" xfId="3775" builtinId="8" hidden="1"/>
    <cellStyle name="Hyperlink" xfId="3777" builtinId="8" hidden="1"/>
    <cellStyle name="Hyperlink" xfId="3779" builtinId="8" hidden="1"/>
    <cellStyle name="Hyperlink" xfId="3781" builtinId="8" hidden="1"/>
    <cellStyle name="Hyperlink" xfId="3783" builtinId="8" hidden="1"/>
    <cellStyle name="Hyperlink" xfId="3785" builtinId="8" hidden="1"/>
    <cellStyle name="Hyperlink" xfId="3787" builtinId="8" hidden="1"/>
    <cellStyle name="Hyperlink" xfId="3789" builtinId="8" hidden="1"/>
    <cellStyle name="Hyperlink" xfId="3791" builtinId="8" hidden="1"/>
    <cellStyle name="Hyperlink" xfId="3793" builtinId="8" hidden="1"/>
    <cellStyle name="Hyperlink" xfId="3795" builtinId="8" hidden="1"/>
    <cellStyle name="Hyperlink" xfId="3797" builtinId="8" hidden="1"/>
    <cellStyle name="Hyperlink" xfId="3799" builtinId="8" hidden="1"/>
    <cellStyle name="Hyperlink" xfId="3801" builtinId="8" hidden="1"/>
    <cellStyle name="Hyperlink" xfId="3803" builtinId="8" hidden="1"/>
    <cellStyle name="Hyperlink" xfId="3805" builtinId="8" hidden="1"/>
    <cellStyle name="Hyperlink" xfId="3807" builtinId="8" hidden="1"/>
    <cellStyle name="Hyperlink" xfId="3809" builtinId="8" hidden="1"/>
    <cellStyle name="Hyperlink" xfId="3811" builtinId="8" hidden="1"/>
    <cellStyle name="Hyperlink" xfId="3813" builtinId="8" hidden="1"/>
    <cellStyle name="Hyperlink" xfId="3815" builtinId="8" hidden="1"/>
    <cellStyle name="Hyperlink" xfId="3817" builtinId="8" hidden="1"/>
    <cellStyle name="Hyperlink" xfId="3819" builtinId="8" hidden="1"/>
    <cellStyle name="Hyperlink" xfId="3821" builtinId="8" hidden="1"/>
    <cellStyle name="Hyperlink" xfId="3823" builtinId="8" hidden="1"/>
    <cellStyle name="Hyperlink" xfId="3825" builtinId="8" hidden="1"/>
    <cellStyle name="Hyperlink" xfId="3827" builtinId="8" hidden="1"/>
    <cellStyle name="Hyperlink" xfId="3829" builtinId="8" hidden="1"/>
    <cellStyle name="Hyperlink" xfId="3831" builtinId="8" hidden="1"/>
    <cellStyle name="Hyperlink" xfId="3833" builtinId="8" hidden="1"/>
    <cellStyle name="Hyperlink" xfId="3835" builtinId="8" hidden="1"/>
    <cellStyle name="Hyperlink" xfId="3837" builtinId="8" hidden="1"/>
    <cellStyle name="Hyperlink" xfId="3839" builtinId="8" hidden="1"/>
    <cellStyle name="Hyperlink" xfId="3841" builtinId="8" hidden="1"/>
    <cellStyle name="Hyperlink" xfId="3843" builtinId="8" hidden="1"/>
    <cellStyle name="Hyperlink" xfId="3845" builtinId="8" hidden="1"/>
    <cellStyle name="Hyperlink" xfId="3847" builtinId="8" hidden="1"/>
    <cellStyle name="Hyperlink" xfId="3849" builtinId="8" hidden="1"/>
    <cellStyle name="Hyperlink" xfId="3851" builtinId="8" hidden="1"/>
    <cellStyle name="Hyperlink" xfId="3853" builtinId="8" hidden="1"/>
    <cellStyle name="Hyperlink" xfId="3855" builtinId="8" hidden="1"/>
    <cellStyle name="Hyperlink" xfId="3857" builtinId="8" hidden="1"/>
    <cellStyle name="Hyperlink" xfId="3859" builtinId="8" hidden="1"/>
    <cellStyle name="Hyperlink" xfId="3861" builtinId="8" hidden="1"/>
    <cellStyle name="Hyperlink" xfId="3863" builtinId="8" hidden="1"/>
    <cellStyle name="Hyperlink" xfId="3865" builtinId="8" hidden="1"/>
    <cellStyle name="Hyperlink" xfId="3867" builtinId="8" hidden="1"/>
    <cellStyle name="Hyperlink" xfId="3869" builtinId="8" hidden="1"/>
    <cellStyle name="Hyperlink" xfId="3871" builtinId="8" hidden="1"/>
    <cellStyle name="Hyperlink" xfId="3873" builtinId="8" hidden="1"/>
    <cellStyle name="Hyperlink" xfId="3875" builtinId="8" hidden="1"/>
    <cellStyle name="Hyperlink" xfId="3877" builtinId="8" hidden="1"/>
    <cellStyle name="Hyperlink" xfId="3879" builtinId="8" hidden="1"/>
    <cellStyle name="Hyperlink" xfId="3881" builtinId="8" hidden="1"/>
    <cellStyle name="Hyperlink" xfId="3883" builtinId="8" hidden="1"/>
    <cellStyle name="Hyperlink" xfId="3885" builtinId="8" hidden="1"/>
    <cellStyle name="Hyperlink" xfId="3887" builtinId="8" hidden="1"/>
    <cellStyle name="Hyperlink" xfId="3889" builtinId="8" hidden="1"/>
    <cellStyle name="Hyperlink" xfId="3891" builtinId="8" hidden="1"/>
    <cellStyle name="Hyperlink" xfId="3893" builtinId="8" hidden="1"/>
    <cellStyle name="Hyperlink" xfId="3895" builtinId="8" hidden="1"/>
    <cellStyle name="Hyperlink" xfId="3897" builtinId="8" hidden="1"/>
    <cellStyle name="Hyperlink" xfId="3899" builtinId="8" hidden="1"/>
    <cellStyle name="Hyperlink" xfId="3901" builtinId="8" hidden="1"/>
    <cellStyle name="Hyperlink" xfId="3903" builtinId="8" hidden="1"/>
    <cellStyle name="Hyperlink" xfId="3905" builtinId="8" hidden="1"/>
    <cellStyle name="Hyperlink" xfId="3907" builtinId="8" hidden="1"/>
    <cellStyle name="Hyperlink" xfId="3909" builtinId="8" hidden="1"/>
    <cellStyle name="Hyperlink" xfId="3911" builtinId="8" hidden="1"/>
    <cellStyle name="Hyperlink" xfId="3913" builtinId="8" hidden="1"/>
    <cellStyle name="Hyperlink" xfId="3915" builtinId="8" hidden="1"/>
    <cellStyle name="Hyperlink" xfId="3917" builtinId="8" hidden="1"/>
    <cellStyle name="Hyperlink" xfId="3919" builtinId="8" hidden="1"/>
    <cellStyle name="Hyperlink" xfId="3921" builtinId="8" hidden="1"/>
    <cellStyle name="Hyperlink" xfId="3923" builtinId="8" hidden="1"/>
    <cellStyle name="Hyperlink" xfId="3925" builtinId="8" hidden="1"/>
    <cellStyle name="Hyperlink" xfId="3927" builtinId="8" hidden="1"/>
    <cellStyle name="Hyperlink" xfId="3929" builtinId="8" hidden="1"/>
    <cellStyle name="Hyperlink" xfId="3931" builtinId="8" hidden="1"/>
    <cellStyle name="Hyperlink" xfId="3933" builtinId="8" hidden="1"/>
    <cellStyle name="Hyperlink" xfId="3935" builtinId="8" hidden="1"/>
    <cellStyle name="Hyperlink" xfId="3937" builtinId="8" hidden="1"/>
    <cellStyle name="Hyperlink" xfId="3939" builtinId="8" hidden="1"/>
    <cellStyle name="Hyperlink" xfId="3941" builtinId="8" hidden="1"/>
    <cellStyle name="Hyperlink" xfId="3943" builtinId="8" hidden="1"/>
    <cellStyle name="Hyperlink" xfId="3945" builtinId="8" hidden="1"/>
    <cellStyle name="Hyperlink" xfId="3947" builtinId="8" hidden="1"/>
    <cellStyle name="Hyperlink" xfId="3949" builtinId="8" hidden="1"/>
    <cellStyle name="Hyperlink" xfId="3951" builtinId="8" hidden="1"/>
    <cellStyle name="Hyperlink" xfId="3953" builtinId="8" hidden="1"/>
    <cellStyle name="Hyperlink" xfId="3955" builtinId="8" hidden="1"/>
    <cellStyle name="Hyperlink" xfId="3957" builtinId="8" hidden="1"/>
    <cellStyle name="Hyperlink" xfId="3959" builtinId="8" hidden="1"/>
    <cellStyle name="Hyperlink" xfId="3961" builtinId="8" hidden="1"/>
    <cellStyle name="Hyperlink" xfId="3963" builtinId="8" hidden="1"/>
    <cellStyle name="Hyperlink" xfId="3965" builtinId="8" hidden="1"/>
    <cellStyle name="Hyperlink" xfId="3967" builtinId="8" hidden="1"/>
    <cellStyle name="Hyperlink" xfId="3969" builtinId="8" hidden="1"/>
    <cellStyle name="Hyperlink" xfId="3971" builtinId="8" hidden="1"/>
    <cellStyle name="Hyperlink" xfId="3973" builtinId="8" hidden="1"/>
    <cellStyle name="Hyperlink" xfId="3975" builtinId="8" hidden="1"/>
    <cellStyle name="Hyperlink" xfId="3977" builtinId="8" hidden="1"/>
    <cellStyle name="Hyperlink" xfId="3979" builtinId="8" hidden="1"/>
    <cellStyle name="Hyperlink" xfId="3981" builtinId="8" hidden="1"/>
    <cellStyle name="Hyperlink" xfId="3983" builtinId="8" hidden="1"/>
    <cellStyle name="Hyperlink" xfId="3985" builtinId="8" hidden="1"/>
    <cellStyle name="Hyperlink" xfId="3987" builtinId="8" hidden="1"/>
    <cellStyle name="Hyperlink" xfId="3989" builtinId="8" hidden="1"/>
    <cellStyle name="Hyperlink" xfId="3991" builtinId="8" hidden="1"/>
    <cellStyle name="Hyperlink" xfId="3993" builtinId="8" hidden="1"/>
    <cellStyle name="Hyperlink" xfId="3995" builtinId="8" hidden="1"/>
    <cellStyle name="Hyperlink" xfId="3997" builtinId="8" hidden="1"/>
    <cellStyle name="Hyperlink" xfId="3999" builtinId="8" hidden="1"/>
    <cellStyle name="Hyperlink" xfId="4001" builtinId="8" hidden="1"/>
    <cellStyle name="Hyperlink" xfId="4003" builtinId="8" hidden="1"/>
    <cellStyle name="Hyperlink" xfId="4005" builtinId="8" hidden="1"/>
    <cellStyle name="Hyperlink" xfId="4007" builtinId="8" hidden="1"/>
    <cellStyle name="Hyperlink" xfId="4009" builtinId="8" hidden="1"/>
    <cellStyle name="Hyperlink" xfId="4011" builtinId="8" hidden="1"/>
    <cellStyle name="Hyperlink" xfId="4013" builtinId="8" hidden="1"/>
    <cellStyle name="Hyperlink" xfId="4015" builtinId="8" hidden="1"/>
    <cellStyle name="Hyperlink" xfId="4017" builtinId="8" hidden="1"/>
    <cellStyle name="Hyperlink" xfId="4019" builtinId="8" hidden="1"/>
    <cellStyle name="Hyperlink" xfId="4021" builtinId="8" hidden="1"/>
    <cellStyle name="Hyperlink" xfId="4023" builtinId="8" hidden="1"/>
    <cellStyle name="Hyperlink" xfId="4025" builtinId="8" hidden="1"/>
    <cellStyle name="Hyperlink" xfId="4027" builtinId="8" hidden="1"/>
    <cellStyle name="Hyperlink" xfId="4029" builtinId="8" hidden="1"/>
    <cellStyle name="Hyperlink" xfId="4031" builtinId="8" hidden="1"/>
    <cellStyle name="Hyperlink" xfId="4033" builtinId="8" hidden="1"/>
    <cellStyle name="Hyperlink" xfId="4035" builtinId="8" hidden="1"/>
    <cellStyle name="Hyperlink" xfId="4037" builtinId="8" hidden="1"/>
    <cellStyle name="Hyperlink" xfId="4039" builtinId="8" hidden="1"/>
    <cellStyle name="Hyperlink" xfId="4041" builtinId="8" hidden="1"/>
    <cellStyle name="Hyperlink" xfId="4043" builtinId="8" hidden="1"/>
    <cellStyle name="Hyperlink" xfId="4045" builtinId="8" hidden="1"/>
    <cellStyle name="Hyperlink" xfId="4047" builtinId="8" hidden="1"/>
    <cellStyle name="Hyperlink" xfId="4049" builtinId="8" hidden="1"/>
    <cellStyle name="Hyperlink" xfId="4051" builtinId="8" hidden="1"/>
    <cellStyle name="Hyperlink" xfId="4053" builtinId="8" hidden="1"/>
    <cellStyle name="Hyperlink" xfId="4055" builtinId="8" hidden="1"/>
    <cellStyle name="Hyperlink" xfId="4057" builtinId="8" hidden="1"/>
    <cellStyle name="Hyperlink" xfId="4059" builtinId="8" hidden="1"/>
    <cellStyle name="Hyperlink" xfId="4061" builtinId="8" hidden="1"/>
    <cellStyle name="Hyperlink" xfId="4063" builtinId="8" hidden="1"/>
    <cellStyle name="Hyperlink" xfId="4065" builtinId="8" hidden="1"/>
    <cellStyle name="Hyperlink" xfId="4067" builtinId="8" hidden="1"/>
    <cellStyle name="Hyperlink" xfId="4069" builtinId="8" hidden="1"/>
    <cellStyle name="Hyperlink" xfId="4071" builtinId="8" hidden="1"/>
    <cellStyle name="Hyperlink" xfId="4073" builtinId="8" hidden="1"/>
    <cellStyle name="Hyperlink" xfId="4075" builtinId="8" hidden="1"/>
    <cellStyle name="Hyperlink" xfId="4077" builtinId="8" hidden="1"/>
    <cellStyle name="Hyperlink" xfId="4079" builtinId="8" hidden="1"/>
    <cellStyle name="Hyperlink" xfId="4081" builtinId="8" hidden="1"/>
    <cellStyle name="Hyperlink" xfId="4083" builtinId="8" hidden="1"/>
    <cellStyle name="Hyperlink" xfId="4085" builtinId="8" hidden="1"/>
    <cellStyle name="Hyperlink" xfId="4087" builtinId="8" hidden="1"/>
    <cellStyle name="Hyperlink" xfId="4089" builtinId="8" hidden="1"/>
    <cellStyle name="Hyperlink" xfId="4091" builtinId="8" hidden="1"/>
    <cellStyle name="Hyperlink" xfId="4093" builtinId="8" hidden="1"/>
    <cellStyle name="Hyperlink" xfId="4095" builtinId="8" hidden="1"/>
    <cellStyle name="Hyperlink" xfId="4097" builtinId="8" hidden="1"/>
    <cellStyle name="Hyperlink" xfId="4099" builtinId="8" hidden="1"/>
    <cellStyle name="Hyperlink" xfId="4101" builtinId="8" hidden="1"/>
    <cellStyle name="Hyperlink" xfId="4103" builtinId="8" hidden="1"/>
    <cellStyle name="Hyperlink" xfId="4105" builtinId="8" hidden="1"/>
    <cellStyle name="Hyperlink" xfId="4107" builtinId="8" hidden="1"/>
    <cellStyle name="Hyperlink" xfId="4109" builtinId="8" hidden="1"/>
    <cellStyle name="Hyperlink" xfId="4111" builtinId="8" hidden="1"/>
    <cellStyle name="Hyperlink" xfId="4113" builtinId="8" hidden="1"/>
    <cellStyle name="Hyperlink" xfId="4115" builtinId="8" hidden="1"/>
    <cellStyle name="Hyperlink" xfId="4117" builtinId="8" hidden="1"/>
    <cellStyle name="Hyperlink" xfId="4119" builtinId="8" hidden="1"/>
    <cellStyle name="Hyperlink" xfId="4121" builtinId="8" hidden="1"/>
    <cellStyle name="Hyperlink" xfId="4123" builtinId="8" hidden="1"/>
    <cellStyle name="Hyperlink" xfId="4125" builtinId="8" hidden="1"/>
    <cellStyle name="Hyperlink" xfId="4127" builtinId="8" hidden="1"/>
    <cellStyle name="Hyperlink" xfId="4129" builtinId="8" hidden="1"/>
    <cellStyle name="Hyperlink" xfId="4131" builtinId="8" hidden="1"/>
    <cellStyle name="Hyperlink" xfId="4133" builtinId="8" hidden="1"/>
    <cellStyle name="Hyperlink" xfId="4135" builtinId="8" hidden="1"/>
    <cellStyle name="Hyperlink" xfId="4137" builtinId="8" hidden="1"/>
    <cellStyle name="Hyperlink" xfId="4139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" xfId="4195" builtinId="8" hidden="1"/>
    <cellStyle name="Hyperlink" xfId="4197" builtinId="8" hidden="1"/>
    <cellStyle name="Hyperlink" xfId="4199" builtinId="8" hidden="1"/>
    <cellStyle name="Hyperlink" xfId="4201" builtinId="8" hidden="1"/>
    <cellStyle name="Hyperlink" xfId="4203" builtinId="8" hidden="1"/>
    <cellStyle name="Hyperlink" xfId="4205" builtinId="8" hidden="1"/>
    <cellStyle name="Hyperlink" xfId="4207" builtinId="8" hidden="1"/>
    <cellStyle name="Hyperlink" xfId="4209" builtinId="8" hidden="1"/>
    <cellStyle name="Hyperlink" xfId="4211" builtinId="8" hidden="1"/>
    <cellStyle name="Hyperlink" xfId="4213" builtinId="8" hidden="1"/>
    <cellStyle name="Hyperlink" xfId="4215" builtinId="8" hidden="1"/>
    <cellStyle name="Hyperlink" xfId="4217" builtinId="8" hidden="1"/>
    <cellStyle name="Hyperlink" xfId="4219" builtinId="8" hidden="1"/>
    <cellStyle name="Hyperlink" xfId="4221" builtinId="8" hidden="1"/>
    <cellStyle name="Hyperlink" xfId="4223" builtinId="8" hidden="1"/>
    <cellStyle name="Hyperlink" xfId="4225" builtinId="8" hidden="1"/>
    <cellStyle name="Hyperlink" xfId="4227" builtinId="8" hidden="1"/>
    <cellStyle name="Hyperlink" xfId="4229" builtinId="8" hidden="1"/>
    <cellStyle name="Hyperlink" xfId="4231" builtinId="8" hidden="1"/>
    <cellStyle name="Hyperlink" xfId="4233" builtinId="8" hidden="1"/>
    <cellStyle name="Hyperlink" xfId="4235" builtinId="8" hidden="1"/>
    <cellStyle name="Hyperlink" xfId="4237" builtinId="8" hidden="1"/>
    <cellStyle name="Hyperlink" xfId="4239" builtinId="8" hidden="1"/>
    <cellStyle name="Hyperlink" xfId="4241" builtinId="8" hidden="1"/>
    <cellStyle name="Hyperlink" xfId="4243" builtinId="8" hidden="1"/>
    <cellStyle name="Hyperlink" xfId="4245" builtinId="8" hidden="1"/>
    <cellStyle name="Hyperlink" xfId="4247" builtinId="8" hidden="1"/>
    <cellStyle name="Hyperlink" xfId="4249" builtinId="8" hidden="1"/>
    <cellStyle name="Hyperlink" xfId="4251" builtinId="8" hidden="1"/>
    <cellStyle name="Hyperlink" xfId="4253" builtinId="8" hidden="1"/>
    <cellStyle name="Hyperlink" xfId="4255" builtinId="8" hidden="1"/>
    <cellStyle name="Hyperlink" xfId="4257" builtinId="8" hidden="1"/>
    <cellStyle name="Hyperlink" xfId="4259" builtinId="8" hidden="1"/>
    <cellStyle name="Hyperlink" xfId="4261" builtinId="8" hidden="1"/>
    <cellStyle name="Hyperlink" xfId="4263" builtinId="8" hidden="1"/>
    <cellStyle name="Hyperlink" xfId="4265" builtinId="8" hidden="1"/>
    <cellStyle name="Hyperlink" xfId="4267" builtinId="8" hidden="1"/>
    <cellStyle name="Hyperlink" xfId="4269" builtinId="8" hidden="1"/>
    <cellStyle name="Hyperlink" xfId="4271" builtinId="8" hidden="1"/>
    <cellStyle name="Hyperlink" xfId="4273" builtinId="8" hidden="1"/>
    <cellStyle name="Hyperlink" xfId="4275" builtinId="8" hidden="1"/>
    <cellStyle name="Hyperlink" xfId="4277" builtinId="8" hidden="1"/>
    <cellStyle name="Hyperlink" xfId="4279" builtinId="8" hidden="1"/>
    <cellStyle name="Hyperlink" xfId="4281" builtinId="8" hidden="1"/>
    <cellStyle name="Hyperlink" xfId="4283" builtinId="8" hidden="1"/>
    <cellStyle name="Hyperlink" xfId="4285" builtinId="8" hidden="1"/>
    <cellStyle name="Hyperlink" xfId="4287" builtinId="8" hidden="1"/>
    <cellStyle name="Hyperlink" xfId="4289" builtinId="8" hidden="1"/>
    <cellStyle name="Hyperlink" xfId="4291" builtinId="8" hidden="1"/>
    <cellStyle name="Hyperlink" xfId="4293" builtinId="8" hidden="1"/>
    <cellStyle name="Hyperlink" xfId="4295" builtinId="8" hidden="1"/>
    <cellStyle name="Hyperlink" xfId="4297" builtinId="8" hidden="1"/>
    <cellStyle name="Hyperlink" xfId="4299" builtinId="8" hidden="1"/>
    <cellStyle name="Hyperlink" xfId="4301" builtinId="8" hidden="1"/>
    <cellStyle name="Hyperlink" xfId="4303" builtinId="8" hidden="1"/>
    <cellStyle name="Hyperlink" xfId="4305" builtinId="8" hidden="1"/>
    <cellStyle name="Hyperlink" xfId="4307" builtinId="8" hidden="1"/>
    <cellStyle name="Hyperlink" xfId="4309" builtinId="8" hidden="1"/>
    <cellStyle name="Hyperlink" xfId="4311" builtinId="8" hidden="1"/>
    <cellStyle name="Hyperlink" xfId="4313" builtinId="8" hidden="1"/>
    <cellStyle name="Hyperlink" xfId="4315" builtinId="8" hidden="1"/>
    <cellStyle name="Hyperlink" xfId="4317" builtinId="8" hidden="1"/>
    <cellStyle name="Hyperlink" xfId="4319" builtinId="8" hidden="1"/>
    <cellStyle name="Hyperlink" xfId="4321" builtinId="8" hidden="1"/>
    <cellStyle name="Hyperlink" xfId="4323" builtinId="8" hidden="1"/>
    <cellStyle name="Hyperlink" xfId="4325" builtinId="8" hidden="1"/>
    <cellStyle name="Hyperlink" xfId="4327" builtinId="8" hidden="1"/>
    <cellStyle name="Hyperlink" xfId="4329" builtinId="8" hidden="1"/>
    <cellStyle name="Hyperlink" xfId="4331" builtinId="8" hidden="1"/>
    <cellStyle name="Hyperlink" xfId="4333" builtinId="8" hidden="1"/>
    <cellStyle name="Hyperlink" xfId="4335" builtinId="8" hidden="1"/>
    <cellStyle name="Hyperlink" xfId="4337" builtinId="8" hidden="1"/>
    <cellStyle name="Hyperlink" xfId="4339" builtinId="8" hidden="1"/>
    <cellStyle name="Hyperlink" xfId="4341" builtinId="8" hidden="1"/>
    <cellStyle name="Hyperlink" xfId="4343" builtinId="8" hidden="1"/>
    <cellStyle name="Hyperlink" xfId="4345" builtinId="8" hidden="1"/>
    <cellStyle name="Hyperlink" xfId="4347" builtinId="8" hidden="1"/>
    <cellStyle name="Hyperlink" xfId="4349" builtinId="8" hidden="1"/>
    <cellStyle name="Hyperlink" xfId="4351" builtinId="8" hidden="1"/>
    <cellStyle name="Hyperlink" xfId="4353" builtinId="8" hidden="1"/>
    <cellStyle name="Hyperlink" xfId="4355" builtinId="8" hidden="1"/>
    <cellStyle name="Hyperlink" xfId="4357" builtinId="8" hidden="1"/>
    <cellStyle name="Hyperlink" xfId="4359" builtinId="8" hidden="1"/>
    <cellStyle name="Hyperlink" xfId="4361" builtinId="8" hidden="1"/>
    <cellStyle name="Hyperlink" xfId="4363" builtinId="8" hidden="1"/>
    <cellStyle name="Hyperlink" xfId="4365" builtinId="8" hidden="1"/>
    <cellStyle name="Hyperlink" xfId="4367" builtinId="8" hidden="1"/>
    <cellStyle name="Hyperlink" xfId="4369" builtinId="8" hidden="1"/>
    <cellStyle name="Hyperlink" xfId="4371" builtinId="8" hidden="1"/>
    <cellStyle name="Hyperlink" xfId="4373" builtinId="8" hidden="1"/>
    <cellStyle name="Hyperlink" xfId="4375" builtinId="8" hidden="1"/>
    <cellStyle name="Hyperlink" xfId="4377" builtinId="8" hidden="1"/>
    <cellStyle name="Hyperlink" xfId="4379" builtinId="8" hidden="1"/>
    <cellStyle name="Hyperlink" xfId="4381" builtinId="8" hidden="1"/>
    <cellStyle name="Hyperlink" xfId="4383" builtinId="8" hidden="1"/>
    <cellStyle name="Hyperlink" xfId="4385" builtinId="8" hidden="1"/>
    <cellStyle name="Hyperlink" xfId="4387" builtinId="8" hidden="1"/>
    <cellStyle name="Hyperlink" xfId="4389" builtinId="8" hidden="1"/>
    <cellStyle name="Hyperlink" xfId="4391" builtinId="8" hidden="1"/>
    <cellStyle name="Hyperlink" xfId="4393" builtinId="8" hidden="1"/>
    <cellStyle name="Hyperlink" xfId="4395" builtinId="8" hidden="1"/>
    <cellStyle name="Hyperlink" xfId="4397" builtinId="8" hidden="1"/>
    <cellStyle name="Hyperlink" xfId="4399" builtinId="8" hidden="1"/>
    <cellStyle name="Hyperlink" xfId="4401" builtinId="8" hidden="1"/>
    <cellStyle name="Hyperlink" xfId="4403" builtinId="8" hidden="1"/>
    <cellStyle name="Hyperlink" xfId="4405" builtinId="8" hidden="1"/>
    <cellStyle name="Hyperlink" xfId="4407" builtinId="8" hidden="1"/>
    <cellStyle name="Hyperlink" xfId="4409" builtinId="8" hidden="1"/>
    <cellStyle name="Hyperlink" xfId="4411" builtinId="8" hidden="1"/>
    <cellStyle name="Hyperlink" xfId="4413" builtinId="8" hidden="1"/>
    <cellStyle name="Hyperlink" xfId="4415" builtinId="8" hidden="1"/>
    <cellStyle name="Hyperlink" xfId="4417" builtinId="8" hidden="1"/>
    <cellStyle name="Hyperlink" xfId="4419" builtinId="8" hidden="1"/>
    <cellStyle name="Hyperlink" xfId="4421" builtinId="8" hidden="1"/>
    <cellStyle name="Hyperlink" xfId="4423" builtinId="8" hidden="1"/>
    <cellStyle name="Hyperlink" xfId="4425" builtinId="8" hidden="1"/>
    <cellStyle name="Hyperlink" xfId="4427" builtinId="8" hidden="1"/>
    <cellStyle name="Hyperlink" xfId="4429" builtinId="8" hidden="1"/>
    <cellStyle name="Hyperlink" xfId="4431" builtinId="8" hidden="1"/>
    <cellStyle name="Hyperlink" xfId="4433" builtinId="8" hidden="1"/>
    <cellStyle name="Hyperlink" xfId="4435" builtinId="8" hidden="1"/>
    <cellStyle name="Hyperlink" xfId="4437" builtinId="8" hidden="1"/>
    <cellStyle name="Hyperlink" xfId="4439" builtinId="8" hidden="1"/>
    <cellStyle name="Hyperlink" xfId="4441" builtinId="8" hidden="1"/>
    <cellStyle name="Hyperlink" xfId="4443" builtinId="8" hidden="1"/>
    <cellStyle name="Hyperlink" xfId="4445" builtinId="8" hidden="1"/>
    <cellStyle name="Hyperlink" xfId="4447" builtinId="8" hidden="1"/>
    <cellStyle name="Hyperlink" xfId="4449" builtinId="8" hidden="1"/>
    <cellStyle name="Hyperlink" xfId="4451" builtinId="8" hidden="1"/>
    <cellStyle name="Hyperlink" xfId="4453" builtinId="8" hidden="1"/>
    <cellStyle name="Hyperlink" xfId="4455" builtinId="8" hidden="1"/>
    <cellStyle name="Hyperlink" xfId="4457" builtinId="8" hidden="1"/>
    <cellStyle name="Hyperlink" xfId="4459" builtinId="8" hidden="1"/>
    <cellStyle name="Hyperlink" xfId="4461" builtinId="8" hidden="1"/>
    <cellStyle name="Hyperlink" xfId="4463" builtinId="8" hidden="1"/>
    <cellStyle name="Hyperlink" xfId="4465" builtinId="8" hidden="1"/>
    <cellStyle name="Hyperlink" xfId="4467" builtinId="8" hidden="1"/>
    <cellStyle name="Hyperlink" xfId="4469" builtinId="8" hidden="1"/>
    <cellStyle name="Hyperlink" xfId="4471" builtinId="8" hidden="1"/>
    <cellStyle name="Hyperlink" xfId="4473" builtinId="8" hidden="1"/>
    <cellStyle name="Hyperlink" xfId="4475" builtinId="8" hidden="1"/>
    <cellStyle name="Hyperlink" xfId="4477" builtinId="8" hidden="1"/>
    <cellStyle name="Hyperlink" xfId="4479" builtinId="8" hidden="1"/>
    <cellStyle name="Hyperlink" xfId="4481" builtinId="8" hidden="1"/>
    <cellStyle name="Hyperlink" xfId="4483" builtinId="8" hidden="1"/>
    <cellStyle name="Hyperlink" xfId="4485" builtinId="8" hidden="1"/>
    <cellStyle name="Hyperlink" xfId="4487" builtinId="8" hidden="1"/>
    <cellStyle name="Hyperlink" xfId="4489" builtinId="8" hidden="1"/>
    <cellStyle name="Hyperlink" xfId="4491" builtinId="8" hidden="1"/>
    <cellStyle name="Hyperlink" xfId="4493" builtinId="8" hidden="1"/>
    <cellStyle name="Hyperlink" xfId="4495" builtinId="8" hidden="1"/>
    <cellStyle name="Hyperlink" xfId="4497" builtinId="8" hidden="1"/>
    <cellStyle name="Hyperlink" xfId="4499" builtinId="8" hidden="1"/>
    <cellStyle name="Hyperlink" xfId="4501" builtinId="8" hidden="1"/>
    <cellStyle name="Hyperlink" xfId="4503" builtinId="8" hidden="1"/>
    <cellStyle name="Hyperlink" xfId="4505" builtinId="8" hidden="1"/>
    <cellStyle name="Hyperlink" xfId="4507" builtinId="8" hidden="1"/>
    <cellStyle name="Hyperlink" xfId="4509" builtinId="8" hidden="1"/>
    <cellStyle name="Hyperlink" xfId="4511" builtinId="8" hidden="1"/>
    <cellStyle name="Hyperlink" xfId="4513" builtinId="8" hidden="1"/>
    <cellStyle name="Hyperlink" xfId="4515" builtinId="8" hidden="1"/>
    <cellStyle name="Hyperlink" xfId="4517" builtinId="8" hidden="1"/>
    <cellStyle name="Hyperlink" xfId="4519" builtinId="8" hidden="1"/>
    <cellStyle name="Hyperlink" xfId="4521" builtinId="8" hidden="1"/>
    <cellStyle name="Hyperlink" xfId="4523" builtinId="8" hidden="1"/>
    <cellStyle name="Hyperlink" xfId="4525" builtinId="8" hidden="1"/>
    <cellStyle name="Hyperlink" xfId="4527" builtinId="8" hidden="1"/>
    <cellStyle name="Hyperlink" xfId="4529" builtinId="8" hidden="1"/>
    <cellStyle name="Hyperlink" xfId="4531" builtinId="8" hidden="1"/>
    <cellStyle name="Hyperlink" xfId="4533" builtinId="8" hidden="1"/>
    <cellStyle name="Hyperlink" xfId="4535" builtinId="8" hidden="1"/>
    <cellStyle name="Hyperlink" xfId="4537" builtinId="8" hidden="1"/>
    <cellStyle name="Hyperlink" xfId="4539" builtinId="8" hidden="1"/>
    <cellStyle name="Hyperlink" xfId="4541" builtinId="8" hidden="1"/>
    <cellStyle name="Hyperlink" xfId="4543" builtinId="8" hidden="1"/>
    <cellStyle name="Hyperlink" xfId="4545" builtinId="8" hidden="1"/>
    <cellStyle name="Hyperlink" xfId="4547" builtinId="8" hidden="1"/>
    <cellStyle name="Hyperlink" xfId="4549" builtinId="8" hidden="1"/>
    <cellStyle name="Hyperlink" xfId="4551" builtinId="8" hidden="1"/>
    <cellStyle name="Hyperlink" xfId="4553" builtinId="8" hidden="1"/>
    <cellStyle name="Hyperlink" xfId="4555" builtinId="8" hidden="1"/>
    <cellStyle name="Hyperlink" xfId="4557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Hyperlink" xfId="4690" builtinId="8" hidden="1"/>
    <cellStyle name="Hyperlink" xfId="4692" builtinId="8" hidden="1"/>
    <cellStyle name="Hyperlink" xfId="4694" builtinId="8" hidden="1"/>
    <cellStyle name="Hyperlink" xfId="4696" builtinId="8" hidden="1"/>
    <cellStyle name="Hyperlink" xfId="4698" builtinId="8" hidden="1"/>
    <cellStyle name="Hyperlink" xfId="4700" builtinId="8" hidden="1"/>
    <cellStyle name="Hyperlink" xfId="4702" builtinId="8" hidden="1"/>
    <cellStyle name="Hyperlink" xfId="4704" builtinId="8" hidden="1"/>
    <cellStyle name="Hyperlink" xfId="4706" builtinId="8" hidden="1"/>
    <cellStyle name="Hyperlink" xfId="4708" builtinId="8" hidden="1"/>
    <cellStyle name="Hyperlink" xfId="4710" builtinId="8" hidden="1"/>
    <cellStyle name="Hyperlink" xfId="4712" builtinId="8" hidden="1"/>
    <cellStyle name="Hyperlink" xfId="4714" builtinId="8" hidden="1"/>
    <cellStyle name="Hyperlink" xfId="4716" builtinId="8" hidden="1"/>
    <cellStyle name="Hyperlink" xfId="4718" builtinId="8" hidden="1"/>
    <cellStyle name="Hyperlink" xfId="4720" builtinId="8" hidden="1"/>
    <cellStyle name="Hyperlink" xfId="4722" builtinId="8" hidden="1"/>
    <cellStyle name="Hyperlink" xfId="4724" builtinId="8" hidden="1"/>
    <cellStyle name="Hyperlink" xfId="472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34" builtinId="8" hidden="1"/>
    <cellStyle name="Hyperlink" xfId="4736" builtinId="8" hidden="1"/>
    <cellStyle name="Hyperlink" xfId="4738" builtinId="8" hidden="1"/>
    <cellStyle name="Hyperlink" xfId="4740" builtinId="8" hidden="1"/>
    <cellStyle name="Hyperlink" xfId="4742" builtinId="8" hidden="1"/>
    <cellStyle name="Hyperlink" xfId="4744" builtinId="8" hidden="1"/>
    <cellStyle name="Hyperlink" xfId="4746" builtinId="8" hidden="1"/>
    <cellStyle name="Hyperlink" xfId="4748" builtinId="8" hidden="1"/>
    <cellStyle name="Hyperlink" xfId="4750" builtinId="8" hidden="1"/>
    <cellStyle name="Hyperlink" xfId="4752" builtinId="8" hidden="1"/>
    <cellStyle name="Hyperlink" xfId="4754" builtinId="8" hidden="1"/>
    <cellStyle name="Hyperlink" xfId="4756" builtinId="8" hidden="1"/>
    <cellStyle name="Hyperlink" xfId="4758" builtinId="8" hidden="1"/>
    <cellStyle name="Hyperlink" xfId="4760" builtinId="8" hidden="1"/>
    <cellStyle name="Hyperlink" xfId="4762" builtinId="8" hidden="1"/>
    <cellStyle name="Hyperlink" xfId="4764" builtinId="8" hidden="1"/>
    <cellStyle name="Hyperlink" xfId="4766" builtinId="8" hidden="1"/>
    <cellStyle name="Hyperlink" xfId="4768" builtinId="8" hidden="1"/>
    <cellStyle name="Hyperlink" xfId="4770" builtinId="8" hidden="1"/>
    <cellStyle name="Hyperlink" xfId="4772" builtinId="8" hidden="1"/>
    <cellStyle name="Hyperlink" xfId="4774" builtinId="8" hidden="1"/>
    <cellStyle name="Hyperlink" xfId="4776" builtinId="8" hidden="1"/>
    <cellStyle name="Hyperlink" xfId="4778" builtinId="8" hidden="1"/>
    <cellStyle name="Hyperlink" xfId="4780" builtinId="8" hidden="1"/>
    <cellStyle name="Hyperlink" xfId="4782" builtinId="8" hidden="1"/>
    <cellStyle name="Hyperlink" xfId="4784" builtinId="8" hidden="1"/>
    <cellStyle name="Hyperlink" xfId="4786" builtinId="8" hidden="1"/>
    <cellStyle name="Hyperlink" xfId="4788" builtinId="8" hidden="1"/>
    <cellStyle name="Hyperlink" xfId="4790" builtinId="8" hidden="1"/>
    <cellStyle name="Hyperlink" xfId="4792" builtinId="8" hidden="1"/>
    <cellStyle name="Hyperlink" xfId="4794" builtinId="8" hidden="1"/>
    <cellStyle name="Hyperlink" xfId="4796" builtinId="8" hidden="1"/>
    <cellStyle name="Hyperlink" xfId="4798" builtinId="8" hidden="1"/>
    <cellStyle name="Hyperlink" xfId="4800" builtinId="8" hidden="1"/>
    <cellStyle name="Hyperlink" xfId="4802" builtinId="8" hidden="1"/>
    <cellStyle name="Hyperlink" xfId="4804" builtinId="8" hidden="1"/>
    <cellStyle name="Hyperlink" xfId="4806" builtinId="8" hidden="1"/>
    <cellStyle name="Hyperlink" xfId="4808" builtinId="8" hidden="1"/>
    <cellStyle name="Hyperlink" xfId="4810" builtinId="8" hidden="1"/>
    <cellStyle name="Hyperlink" xfId="4812" builtinId="8" hidden="1"/>
    <cellStyle name="Hyperlink" xfId="4814" builtinId="8" hidden="1"/>
    <cellStyle name="Hyperlink" xfId="4816" builtinId="8" hidden="1"/>
    <cellStyle name="Hyperlink" xfId="4818" builtinId="8" hidden="1"/>
    <cellStyle name="Hyperlink" xfId="4820" builtinId="8" hidden="1"/>
    <cellStyle name="Hyperlink" xfId="4822" builtinId="8" hidden="1"/>
    <cellStyle name="Hyperlink" xfId="4824" builtinId="8" hidden="1"/>
    <cellStyle name="Hyperlink" xfId="4826" builtinId="8" hidden="1"/>
    <cellStyle name="Hyperlink" xfId="4828" builtinId="8" hidden="1"/>
    <cellStyle name="Hyperlink" xfId="4830" builtinId="8" hidden="1"/>
    <cellStyle name="Hyperlink" xfId="4832" builtinId="8" hidden="1"/>
    <cellStyle name="Hyperlink" xfId="4834" builtinId="8" hidden="1"/>
    <cellStyle name="Hyperlink" xfId="4836" builtinId="8" hidden="1"/>
    <cellStyle name="Hyperlink" xfId="4838" builtinId="8" hidden="1"/>
    <cellStyle name="Hyperlink" xfId="4840" builtinId="8" hidden="1"/>
    <cellStyle name="Hyperlink" xfId="4842" builtinId="8" hidden="1"/>
    <cellStyle name="Hyperlink" xfId="4844" builtinId="8" hidden="1"/>
    <cellStyle name="Hyperlink" xfId="4846" builtinId="8" hidden="1"/>
    <cellStyle name="Hyperlink" xfId="4848" builtinId="8" hidden="1"/>
    <cellStyle name="Hyperlink" xfId="4850" builtinId="8" hidden="1"/>
    <cellStyle name="Hyperlink" xfId="4852" builtinId="8" hidden="1"/>
    <cellStyle name="Hyperlink" xfId="4854" builtinId="8" hidden="1"/>
    <cellStyle name="Hyperlink" xfId="4856" builtinId="8" hidden="1"/>
    <cellStyle name="Hyperlink" xfId="4858" builtinId="8" hidden="1"/>
    <cellStyle name="Hyperlink" xfId="4860" builtinId="8" hidden="1"/>
    <cellStyle name="Hyperlink" xfId="4862" builtinId="8" hidden="1"/>
    <cellStyle name="Hyperlink" xfId="4864" builtinId="8" hidden="1"/>
    <cellStyle name="Hyperlink" xfId="4866" builtinId="8" hidden="1"/>
    <cellStyle name="Hyperlink" xfId="4868" builtinId="8" hidden="1"/>
    <cellStyle name="Hyperlink" xfId="4870" builtinId="8" hidden="1"/>
    <cellStyle name="Hyperlink" xfId="4872" builtinId="8" hidden="1"/>
    <cellStyle name="Hyperlink" xfId="4874" builtinId="8" hidden="1"/>
    <cellStyle name="Hyperlink" xfId="4876" builtinId="8" hidden="1"/>
    <cellStyle name="Hyperlink" xfId="4878" builtinId="8" hidden="1"/>
    <cellStyle name="Hyperlink" xfId="4880" builtinId="8" hidden="1"/>
    <cellStyle name="Hyperlink" xfId="4882" builtinId="8" hidden="1"/>
    <cellStyle name="Hyperlink" xfId="4884" builtinId="8" hidden="1"/>
    <cellStyle name="Hyperlink" xfId="4886" builtinId="8" hidden="1"/>
    <cellStyle name="Hyperlink" xfId="4888" builtinId="8" hidden="1"/>
    <cellStyle name="Hyperlink" xfId="4890" builtinId="8" hidden="1"/>
    <cellStyle name="Hyperlink" xfId="4892" builtinId="8" hidden="1"/>
    <cellStyle name="Hyperlink" xfId="4894" builtinId="8" hidden="1"/>
    <cellStyle name="Hyperlink" xfId="4896" builtinId="8" hidden="1"/>
    <cellStyle name="Hyperlink" xfId="4898" builtinId="8" hidden="1"/>
    <cellStyle name="Hyperlink" xfId="4900" builtinId="8" hidden="1"/>
    <cellStyle name="Hyperlink" xfId="4902" builtinId="8" hidden="1"/>
    <cellStyle name="Hyperlink" xfId="4904" builtinId="8" hidden="1"/>
    <cellStyle name="Hyperlink" xfId="4906" builtinId="8" hidden="1"/>
    <cellStyle name="Hyperlink" xfId="4908" builtinId="8" hidden="1"/>
    <cellStyle name="Hyperlink" xfId="4910" builtinId="8" hidden="1"/>
    <cellStyle name="Hyperlink" xfId="4912" builtinId="8" hidden="1"/>
    <cellStyle name="Hyperlink" xfId="4914" builtinId="8" hidden="1"/>
    <cellStyle name="Hyperlink" xfId="4916" builtinId="8" hidden="1"/>
    <cellStyle name="Hyperlink" xfId="4918" builtinId="8" hidden="1"/>
    <cellStyle name="Hyperlink" xfId="4920" builtinId="8" hidden="1"/>
    <cellStyle name="Hyperlink" xfId="4922" builtinId="8" hidden="1"/>
    <cellStyle name="Hyperlink" xfId="4924" builtinId="8" hidden="1"/>
    <cellStyle name="Hyperlink" xfId="4926" builtinId="8" hidden="1"/>
    <cellStyle name="Hyperlink" xfId="4928" builtinId="8" hidden="1"/>
    <cellStyle name="Hyperlink" xfId="4930" builtinId="8" hidden="1"/>
    <cellStyle name="Hyperlink" xfId="4932" builtinId="8" hidden="1"/>
    <cellStyle name="Hyperlink" xfId="4934" builtinId="8" hidden="1"/>
    <cellStyle name="Hyperlink" xfId="4936" builtinId="8" hidden="1"/>
    <cellStyle name="Hyperlink" xfId="4938" builtinId="8" hidden="1"/>
    <cellStyle name="Hyperlink" xfId="4940" builtinId="8" hidden="1"/>
    <cellStyle name="Hyperlink" xfId="4942" builtinId="8" hidden="1"/>
    <cellStyle name="Hyperlink" xfId="4944" builtinId="8" hidden="1"/>
    <cellStyle name="Hyperlink" xfId="4946" builtinId="8" hidden="1"/>
    <cellStyle name="Hyperlink" xfId="4948" builtinId="8" hidden="1"/>
    <cellStyle name="Hyperlink" xfId="4950" builtinId="8" hidden="1"/>
    <cellStyle name="Hyperlink" xfId="4952" builtinId="8" hidden="1"/>
    <cellStyle name="Hyperlink" xfId="4954" builtinId="8" hidden="1"/>
    <cellStyle name="Hyperlink" xfId="4956" builtinId="8" hidden="1"/>
    <cellStyle name="Hyperlink" xfId="4958" builtinId="8" hidden="1"/>
    <cellStyle name="Hyperlink" xfId="4960" builtinId="8" hidden="1"/>
    <cellStyle name="Hyperlink" xfId="4962" builtinId="8" hidden="1"/>
    <cellStyle name="Hyperlink" xfId="4964" builtinId="8" hidden="1"/>
    <cellStyle name="Hyperlink" xfId="4966" builtinId="8" hidden="1"/>
    <cellStyle name="Hyperlink" xfId="4968" builtinId="8" hidden="1"/>
    <cellStyle name="Hyperlink" xfId="4970" builtinId="8" hidden="1"/>
    <cellStyle name="Hyperlink" xfId="4972" builtinId="8" hidden="1"/>
    <cellStyle name="Hyperlink" xfId="4974" builtinId="8" hidden="1"/>
    <cellStyle name="Hyperlink" xfId="4976" builtinId="8" hidden="1"/>
    <cellStyle name="Hyperlink" xfId="4978" builtinId="8" hidden="1"/>
    <cellStyle name="Hyperlink" xfId="4980" builtinId="8" hidden="1"/>
    <cellStyle name="Hyperlink" xfId="4982" builtinId="8" hidden="1"/>
    <cellStyle name="Hyperlink" xfId="4984" builtinId="8" hidden="1"/>
    <cellStyle name="Hyperlink" xfId="4986" builtinId="8" hidden="1"/>
    <cellStyle name="Hyperlink" xfId="4988" builtinId="8" hidden="1"/>
    <cellStyle name="Hyperlink" xfId="4990" builtinId="8" hidden="1"/>
    <cellStyle name="Hyperlink" xfId="4992" builtinId="8" hidden="1"/>
    <cellStyle name="Hyperlink" xfId="4994" builtinId="8" hidden="1"/>
    <cellStyle name="Hyperlink" xfId="4996" builtinId="8" hidden="1"/>
    <cellStyle name="Hyperlink" xfId="4998" builtinId="8" hidden="1"/>
    <cellStyle name="Hyperlink" xfId="5000" builtinId="8" hidden="1"/>
    <cellStyle name="Hyperlink" xfId="5002" builtinId="8" hidden="1"/>
    <cellStyle name="Hyperlink" xfId="5004" builtinId="8" hidden="1"/>
    <cellStyle name="Hyperlink" xfId="5006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14" builtinId="8" hidden="1"/>
    <cellStyle name="Hyperlink" xfId="5016" builtinId="8" hidden="1"/>
    <cellStyle name="Hyperlink" xfId="5018" builtinId="8" hidden="1"/>
    <cellStyle name="Hyperlink" xfId="5020" builtinId="8" hidden="1"/>
    <cellStyle name="Hyperlink" xfId="5022" builtinId="8" hidden="1"/>
    <cellStyle name="Hyperlink" xfId="502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2" builtinId="8" hidden="1"/>
    <cellStyle name="Hyperlink" xfId="5034" builtinId="8" hidden="1"/>
    <cellStyle name="Hyperlink" xfId="5036" builtinId="8" hidden="1"/>
    <cellStyle name="Hyperlink" xfId="5038" builtinId="8" hidden="1"/>
    <cellStyle name="Hyperlink" xfId="5040" builtinId="8" hidden="1"/>
    <cellStyle name="Hyperlink" xfId="5042" builtinId="8" hidden="1"/>
    <cellStyle name="Hyperlink" xfId="5044" builtinId="8" hidden="1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Hyperlink" xfId="5076" builtinId="8" hidden="1"/>
    <cellStyle name="Hyperlink" xfId="5078" builtinId="8" hidden="1"/>
    <cellStyle name="Hyperlink" xfId="5080" builtinId="8" hidden="1"/>
    <cellStyle name="Hyperlink" xfId="5082" builtinId="8" hidden="1"/>
    <cellStyle name="Hyperlink" xfId="5084" builtinId="8" hidden="1"/>
    <cellStyle name="Hyperlink" xfId="5086" builtinId="8" hidden="1"/>
    <cellStyle name="Hyperlink" xfId="5088" builtinId="8" hidden="1"/>
    <cellStyle name="Hyperlink" xfId="5090" builtinId="8" hidden="1"/>
    <cellStyle name="Hyperlink" xfId="5092" builtinId="8" hidden="1"/>
    <cellStyle name="Hyperlink" xfId="5094" builtinId="8" hidden="1"/>
    <cellStyle name="Hyperlink" xfId="5096" builtinId="8" hidden="1"/>
    <cellStyle name="Hyperlink" xfId="5098" builtinId="8" hidden="1"/>
    <cellStyle name="Hyperlink" xfId="5100" builtinId="8" hidden="1"/>
    <cellStyle name="Hyperlink" xfId="5102" builtinId="8" hidden="1"/>
    <cellStyle name="Hyperlink" xfId="5104" builtinId="8" hidden="1"/>
    <cellStyle name="Hyperlink" xfId="5106" builtinId="8" hidden="1"/>
    <cellStyle name="Hyperlink" xfId="5108" builtinId="8" hidden="1"/>
    <cellStyle name="Hyperlink" xfId="5110" builtinId="8" hidden="1"/>
    <cellStyle name="Hyperlink" xfId="5112" builtinId="8" hidden="1"/>
    <cellStyle name="Hyperlink" xfId="5114" builtinId="8" hidden="1"/>
    <cellStyle name="Hyperlink" xfId="5116" builtinId="8" hidden="1"/>
    <cellStyle name="Hyperlink" xfId="5118" builtinId="8" hidden="1"/>
    <cellStyle name="Hyperlink" xfId="5120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28" builtinId="8" hidden="1"/>
    <cellStyle name="Hyperlink" xfId="5130" builtinId="8" hidden="1"/>
    <cellStyle name="Hyperlink" xfId="5132" builtinId="8" hidden="1"/>
    <cellStyle name="Hyperlink" xfId="5134" builtinId="8" hidden="1"/>
    <cellStyle name="Hyperlink" xfId="5136" builtinId="8" hidden="1"/>
    <cellStyle name="Hyperlink" xfId="5138" builtinId="8" hidden="1"/>
    <cellStyle name="Hyperlink" xfId="5140" builtinId="8" hidden="1"/>
    <cellStyle name="Hyperlink" xfId="5142" builtinId="8" hidden="1"/>
    <cellStyle name="Hyperlink" xfId="5144" builtinId="8" hidden="1"/>
    <cellStyle name="Hyperlink" xfId="5146" builtinId="8" hidden="1"/>
    <cellStyle name="Hyperlink" xfId="5148" builtinId="8" hidden="1"/>
    <cellStyle name="Hyperlink" xfId="5150" builtinId="8" hidden="1"/>
    <cellStyle name="Hyperlink" xfId="5152" builtinId="8" hidden="1"/>
    <cellStyle name="Hyperlink" xfId="5154" builtinId="8" hidden="1"/>
    <cellStyle name="Hyperlink" xfId="5156" builtinId="8" hidden="1"/>
    <cellStyle name="Hyperlink" xfId="5158" builtinId="8" hidden="1"/>
    <cellStyle name="Hyperlink" xfId="5160" builtinId="8" hidden="1"/>
    <cellStyle name="Hyperlink" xfId="5162" builtinId="8" hidden="1"/>
    <cellStyle name="Hyperlink" xfId="5164" builtinId="8" hidden="1"/>
    <cellStyle name="Hyperlink" xfId="5166" builtinId="8" hidden="1"/>
    <cellStyle name="Hyperlink" xfId="5168" builtinId="8" hidden="1"/>
    <cellStyle name="Hyperlink" xfId="5170" builtinId="8" hidden="1"/>
    <cellStyle name="Hyperlink" xfId="5172" builtinId="8" hidden="1"/>
    <cellStyle name="Hyperlink" xfId="5174" builtinId="8" hidden="1"/>
    <cellStyle name="Hyperlink" xfId="5176" builtinId="8" hidden="1"/>
    <cellStyle name="Hyperlink" xfId="5178" builtinId="8" hidden="1"/>
    <cellStyle name="Hyperlink" xfId="5180" builtinId="8" hidden="1"/>
    <cellStyle name="Hyperlink" xfId="5182" builtinId="8" hidden="1"/>
    <cellStyle name="Hyperlink" xfId="5184" builtinId="8" hidden="1"/>
    <cellStyle name="Hyperlink" xfId="5186" builtinId="8" hidden="1"/>
    <cellStyle name="Hyperlink" xfId="5188" builtinId="8" hidden="1"/>
    <cellStyle name="Hyperlink" xfId="5190" builtinId="8" hidden="1"/>
    <cellStyle name="Hyperlink" xfId="5192" builtinId="8" hidden="1"/>
    <cellStyle name="Hyperlink" xfId="5194" builtinId="8" hidden="1"/>
    <cellStyle name="Hyperlink" xfId="5196" builtinId="8" hidden="1"/>
    <cellStyle name="Hyperlink" xfId="5198" builtinId="8" hidden="1"/>
    <cellStyle name="Hyperlink" xfId="5200" builtinId="8" hidden="1"/>
    <cellStyle name="Hyperlink" xfId="5202" builtinId="8" hidden="1"/>
    <cellStyle name="Hyperlink" xfId="5204" builtinId="8" hidden="1"/>
    <cellStyle name="Hyperlink" xfId="5206" builtinId="8" hidden="1"/>
    <cellStyle name="Hyperlink" xfId="5208" builtinId="8" hidden="1"/>
    <cellStyle name="Hyperlink" xfId="5210" builtinId="8" hidden="1"/>
    <cellStyle name="Hyperlink" xfId="5212" builtinId="8" hidden="1"/>
    <cellStyle name="Hyperlink" xfId="5214" builtinId="8" hidden="1"/>
    <cellStyle name="Hyperlink" xfId="5216" builtinId="8" hidden="1"/>
    <cellStyle name="Hyperlink" xfId="5218" builtinId="8" hidden="1"/>
    <cellStyle name="Hyperlink" xfId="5220" builtinId="8" hidden="1"/>
    <cellStyle name="Hyperlink" xfId="5222" builtinId="8" hidden="1"/>
    <cellStyle name="Hyperlink" xfId="5224" builtinId="8" hidden="1"/>
    <cellStyle name="Hyperlink" xfId="5226" builtinId="8" hidden="1"/>
    <cellStyle name="Hyperlink" xfId="5228" builtinId="8" hidden="1"/>
    <cellStyle name="Hyperlink" xfId="5230" builtinId="8" hidden="1"/>
    <cellStyle name="Hyperlink" xfId="5232" builtinId="8" hidden="1"/>
    <cellStyle name="Hyperlink" xfId="5234" builtinId="8" hidden="1"/>
    <cellStyle name="Hyperlink" xfId="5236" builtinId="8" hidden="1"/>
    <cellStyle name="Hyperlink" xfId="5238" builtinId="8" hidden="1"/>
    <cellStyle name="Hyperlink" xfId="5240" builtinId="8" hidden="1"/>
    <cellStyle name="Hyperlink" xfId="5242" builtinId="8" hidden="1"/>
    <cellStyle name="Hyperlink" xfId="5244" builtinId="8" hidden="1"/>
    <cellStyle name="Hyperlink" xfId="5246" builtinId="8" hidden="1"/>
    <cellStyle name="Hyperlink" xfId="5248" builtinId="8" hidden="1"/>
    <cellStyle name="Hyperlink" xfId="5250" builtinId="8" hidden="1"/>
    <cellStyle name="Hyperlink" xfId="5252" builtinId="8" hidden="1"/>
    <cellStyle name="Hyperlink" xfId="5254" builtinId="8" hidden="1"/>
    <cellStyle name="Hyperlink" xfId="5256" builtinId="8" hidden="1"/>
    <cellStyle name="Hyperlink" xfId="5258" builtinId="8" hidden="1"/>
    <cellStyle name="Hyperlink" xfId="5260" builtinId="8" hidden="1"/>
    <cellStyle name="Hyperlink" xfId="5262" builtinId="8" hidden="1"/>
    <cellStyle name="Hyperlink" xfId="5264" builtinId="8" hidden="1"/>
    <cellStyle name="Hyperlink" xfId="5266" builtinId="8" hidden="1"/>
    <cellStyle name="Hyperlink" xfId="5268" builtinId="8" hidden="1"/>
    <cellStyle name="Hyperlink" xfId="5270" builtinId="8" hidden="1"/>
    <cellStyle name="Hyperlink" xfId="5272" builtinId="8" hidden="1"/>
    <cellStyle name="Hyperlink" xfId="5274" builtinId="8" hidden="1"/>
    <cellStyle name="Hyperlink" xfId="5276" builtinId="8" hidden="1"/>
    <cellStyle name="Hyperlink" xfId="5278" builtinId="8" hidden="1"/>
    <cellStyle name="Hyperlink" xfId="5280" builtinId="8" hidden="1"/>
    <cellStyle name="Hyperlink" xfId="5282" builtinId="8" hidden="1"/>
    <cellStyle name="Hyperlink" xfId="5284" builtinId="8" hidden="1"/>
    <cellStyle name="Hyperlink" xfId="5286" builtinId="8" hidden="1"/>
    <cellStyle name="Hyperlink" xfId="5288" builtinId="8" hidden="1"/>
    <cellStyle name="Hyperlink" xfId="5290" builtinId="8" hidden="1"/>
    <cellStyle name="Hyperlink" xfId="5292" builtinId="8" hidden="1"/>
    <cellStyle name="Hyperlink" xfId="5294" builtinId="8" hidden="1"/>
    <cellStyle name="Hyperlink" xfId="5296" builtinId="8" hidden="1"/>
    <cellStyle name="Hyperlink" xfId="5298" builtinId="8" hidden="1"/>
    <cellStyle name="Hyperlink" xfId="5300" builtinId="8" hidden="1"/>
    <cellStyle name="Hyperlink" xfId="5302" builtinId="8" hidden="1"/>
    <cellStyle name="Hyperlink" xfId="5304" builtinId="8" hidden="1"/>
    <cellStyle name="Hyperlink" xfId="5306" builtinId="8" hidden="1"/>
    <cellStyle name="Hyperlink" xfId="5308" builtinId="8" hidden="1"/>
    <cellStyle name="Hyperlink" xfId="5310" builtinId="8" hidden="1"/>
    <cellStyle name="Hyperlink" xfId="5312" builtinId="8" hidden="1"/>
    <cellStyle name="Hyperlink" xfId="5314" builtinId="8" hidden="1"/>
    <cellStyle name="Hyperlink" xfId="5316" builtinId="8" hidden="1"/>
    <cellStyle name="Hyperlink" xfId="5318" builtinId="8" hidden="1"/>
    <cellStyle name="Hyperlink" xfId="5320" builtinId="8" hidden="1"/>
    <cellStyle name="Hyperlink" xfId="5322" builtinId="8" hidden="1"/>
    <cellStyle name="Hyperlink" xfId="5324" builtinId="8" hidden="1"/>
    <cellStyle name="Hyperlink" xfId="5326" builtinId="8" hidden="1"/>
    <cellStyle name="Hyperlink" xfId="5328" builtinId="8" hidden="1"/>
    <cellStyle name="Hyperlink" xfId="5330" builtinId="8" hidden="1"/>
    <cellStyle name="Hyperlink" xfId="5332" builtinId="8" hidden="1"/>
    <cellStyle name="Hyperlink" xfId="5334" builtinId="8" hidden="1"/>
    <cellStyle name="Hyperlink" xfId="5336" builtinId="8" hidden="1"/>
    <cellStyle name="Hyperlink" xfId="5338" builtinId="8" hidden="1"/>
    <cellStyle name="Hyperlink" xfId="5340" builtinId="8" hidden="1"/>
    <cellStyle name="Hyperlink" xfId="5342" builtinId="8" hidden="1"/>
    <cellStyle name="Hyperlink" xfId="5344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52" builtinId="8" hidden="1"/>
    <cellStyle name="Hyperlink" xfId="5354" builtinId="8" hidden="1"/>
    <cellStyle name="Hyperlink" xfId="5356" builtinId="8" hidden="1"/>
    <cellStyle name="Hyperlink" xfId="5358" builtinId="8" hidden="1"/>
    <cellStyle name="Hyperlink" xfId="5360" builtinId="8" hidden="1"/>
    <cellStyle name="Hyperlink" xfId="5362" builtinId="8" hidden="1"/>
    <cellStyle name="Hyperlink" xfId="5364" builtinId="8" hidden="1"/>
    <cellStyle name="Hyperlink" xfId="5366" builtinId="8" hidden="1"/>
    <cellStyle name="Hyperlink" xfId="5368" builtinId="8" hidden="1"/>
    <cellStyle name="Hyperlink" xfId="5370" builtinId="8" hidden="1"/>
    <cellStyle name="Hyperlink" xfId="5372" builtinId="8" hidden="1"/>
    <cellStyle name="Hyperlink" xfId="5374" builtinId="8" hidden="1"/>
    <cellStyle name="Hyperlink" xfId="5376" builtinId="8" hidden="1"/>
    <cellStyle name="Hyperlink" xfId="5378" builtinId="8" hidden="1"/>
    <cellStyle name="Hyperlink" xfId="5380" builtinId="8" hidden="1"/>
    <cellStyle name="Hyperlink" xfId="5382" builtinId="8" hidden="1"/>
    <cellStyle name="Hyperlink" xfId="5384" builtinId="8" hidden="1"/>
    <cellStyle name="Hyperlink" xfId="5386" builtinId="8" hidden="1"/>
    <cellStyle name="Hyperlink" xfId="5388" builtinId="8" hidden="1"/>
    <cellStyle name="Hyperlink" xfId="5390" builtinId="8" hidden="1"/>
    <cellStyle name="Hyperlink" xfId="5392" builtinId="8" hidden="1"/>
    <cellStyle name="Hyperlink" xfId="5394" builtinId="8" hidden="1"/>
    <cellStyle name="Hyperlink" xfId="5396" builtinId="8" hidden="1"/>
    <cellStyle name="Hyperlink" xfId="5398" builtinId="8" hidden="1"/>
    <cellStyle name="Hyperlink" xfId="5400" builtinId="8" hidden="1"/>
    <cellStyle name="Hyperlink" xfId="5402" builtinId="8" hidden="1"/>
    <cellStyle name="Hyperlink" xfId="5404" builtinId="8" hidden="1"/>
    <cellStyle name="Hyperlink" xfId="5406" builtinId="8" hidden="1"/>
    <cellStyle name="Hyperlink" xfId="5408" builtinId="8" hidden="1"/>
    <cellStyle name="Hyperlink" xfId="5410" builtinId="8" hidden="1"/>
    <cellStyle name="Hyperlink" xfId="5412" builtinId="8" hidden="1"/>
    <cellStyle name="Hyperlink" xfId="5414" builtinId="8" hidden="1"/>
    <cellStyle name="Hyperlink" xfId="5416" builtinId="8" hidden="1"/>
    <cellStyle name="Hyperlink" xfId="5418" builtinId="8" hidden="1"/>
    <cellStyle name="Hyperlink" xfId="5420" builtinId="8" hidden="1"/>
    <cellStyle name="Hyperlink" xfId="5422" builtinId="8" hidden="1"/>
    <cellStyle name="Hyperlink" xfId="5424" builtinId="8" hidden="1"/>
    <cellStyle name="Hyperlink" xfId="5426" builtinId="8" hidden="1"/>
    <cellStyle name="Hyperlink" xfId="5428" builtinId="8" hidden="1"/>
    <cellStyle name="Hyperlink" xfId="5430" builtinId="8" hidden="1"/>
    <cellStyle name="Hyperlink" xfId="5432" builtinId="8" hidden="1"/>
    <cellStyle name="Hyperlink" xfId="5434" builtinId="8" hidden="1"/>
    <cellStyle name="Hyperlink" xfId="5436" builtinId="8" hidden="1"/>
    <cellStyle name="Hyperlink" xfId="5438" builtinId="8" hidden="1"/>
    <cellStyle name="Hyperlink" xfId="5440" builtinId="8" hidden="1"/>
    <cellStyle name="Hyperlink" xfId="5442" builtinId="8" hidden="1"/>
    <cellStyle name="Hyperlink" xfId="5444" builtinId="8" hidden="1"/>
    <cellStyle name="Hyperlink" xfId="5446" builtinId="8" hidden="1"/>
    <cellStyle name="Hyperlink" xfId="5448" builtinId="8" hidden="1"/>
    <cellStyle name="Hyperlink" xfId="5450" builtinId="8" hidden="1"/>
    <cellStyle name="Hyperlink" xfId="5452" builtinId="8" hidden="1"/>
    <cellStyle name="Hyperlink" xfId="5454" builtinId="8" hidden="1"/>
    <cellStyle name="Hyperlink" xfId="5456" builtinId="8" hidden="1"/>
    <cellStyle name="Hyperlink" xfId="5458" builtinId="8" hidden="1"/>
    <cellStyle name="Hyperlink" xfId="5460" builtinId="8" hidden="1"/>
    <cellStyle name="Hyperlink" xfId="5462" builtinId="8" hidden="1"/>
    <cellStyle name="Hyperlink" xfId="5464" builtinId="8" hidden="1"/>
    <cellStyle name="Hyperlink" xfId="5466" builtinId="8" hidden="1"/>
    <cellStyle name="Hyperlink" xfId="5468" builtinId="8" hidden="1"/>
    <cellStyle name="Hyperlink" xfId="547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78" builtinId="8" hidden="1"/>
    <cellStyle name="Hyperlink" xfId="5480" builtinId="8" hidden="1"/>
    <cellStyle name="Hyperlink" xfId="5482" builtinId="8" hidden="1"/>
    <cellStyle name="Hyperlink" xfId="5484" builtinId="8" hidden="1"/>
    <cellStyle name="Hyperlink" xfId="5486" builtinId="8" hidden="1"/>
    <cellStyle name="Hyperlink" xfId="5488" builtinId="8" hidden="1"/>
    <cellStyle name="Hyperlink" xfId="5490" builtinId="8" hidden="1"/>
    <cellStyle name="Hyperlink" xfId="5492" builtinId="8" hidden="1"/>
    <cellStyle name="Hyperlink" xfId="5494" builtinId="8" hidden="1"/>
    <cellStyle name="Hyperlink" xfId="5496" builtinId="8" hidden="1"/>
    <cellStyle name="Hyperlink" xfId="5498" builtinId="8" hidden="1"/>
    <cellStyle name="Hyperlink" xfId="5500" builtinId="8" hidden="1"/>
    <cellStyle name="Hyperlink" xfId="5502" builtinId="8" hidden="1"/>
    <cellStyle name="Hyperlink" xfId="5504" builtinId="8" hidden="1"/>
    <cellStyle name="Hyperlink" xfId="5506" builtinId="8" hidden="1"/>
    <cellStyle name="Hyperlink" xfId="5508" builtinId="8" hidden="1"/>
    <cellStyle name="Hyperlink" xfId="5510" builtinId="8" hidden="1"/>
    <cellStyle name="Hyperlink" xfId="5512" builtinId="8" hidden="1"/>
    <cellStyle name="Hyperlink" xfId="5514" builtinId="8" hidden="1"/>
    <cellStyle name="Hyperlink" xfId="5516" builtinId="8" hidden="1"/>
    <cellStyle name="Hyperlink" xfId="5518" builtinId="8" hidden="1"/>
    <cellStyle name="Hyperlink" xfId="5520" builtinId="8" hidden="1"/>
    <cellStyle name="Hyperlink" xfId="5522" builtinId="8" hidden="1"/>
    <cellStyle name="Hyperlink" xfId="5524" builtinId="8" hidden="1"/>
    <cellStyle name="Hyperlink" xfId="5526" builtinId="8" hidden="1"/>
    <cellStyle name="Hyperlink" xfId="5528" builtinId="8" hidden="1"/>
    <cellStyle name="Hyperlink" xfId="5530" builtinId="8" hidden="1"/>
    <cellStyle name="Hyperlink" xfId="5532" builtinId="8" hidden="1"/>
    <cellStyle name="Hyperlink" xfId="5534" builtinId="8" hidden="1"/>
    <cellStyle name="Hyperlink" xfId="5536" builtinId="8" hidden="1"/>
    <cellStyle name="Hyperlink" xfId="5538" builtinId="8" hidden="1"/>
    <cellStyle name="Hyperlink" xfId="5540" builtinId="8" hidden="1"/>
    <cellStyle name="Hyperlink" xfId="5542" builtinId="8" hidden="1"/>
    <cellStyle name="Hyperlink" xfId="5544" builtinId="8" hidden="1"/>
    <cellStyle name="Hyperlink" xfId="5546" builtinId="8" hidden="1"/>
    <cellStyle name="Hyperlink" xfId="5548" builtinId="8" hidden="1"/>
    <cellStyle name="Hyperlink" xfId="5550" builtinId="8" hidden="1"/>
    <cellStyle name="Hyperlink" xfId="5552" builtinId="8" hidden="1"/>
    <cellStyle name="Hyperlink" xfId="5554" builtinId="8" hidden="1"/>
    <cellStyle name="Hyperlink" xfId="5556" builtinId="8" hidden="1"/>
    <cellStyle name="Hyperlink" xfId="5558" builtinId="8" hidden="1"/>
    <cellStyle name="Hyperlink" xfId="5560" builtinId="8" hidden="1"/>
    <cellStyle name="Hyperlink" xfId="5562" builtinId="8" hidden="1"/>
    <cellStyle name="Hyperlink" xfId="5564" builtinId="8" hidden="1"/>
    <cellStyle name="Hyperlink" xfId="5566" builtinId="8" hidden="1"/>
    <cellStyle name="Hyperlink" xfId="5568" builtinId="8" hidden="1"/>
    <cellStyle name="Hyperlink" xfId="5570" builtinId="8" hidden="1"/>
    <cellStyle name="Hyperlink" xfId="5572" builtinId="8" hidden="1"/>
    <cellStyle name="Hyperlink" xfId="5574" builtinId="8" hidden="1"/>
    <cellStyle name="Hyperlink" xfId="5576" builtinId="8" hidden="1"/>
    <cellStyle name="Hyperlink" xfId="5578" builtinId="8" hidden="1"/>
    <cellStyle name="Hyperlink" xfId="5580" builtinId="8" hidden="1"/>
    <cellStyle name="Hyperlink" xfId="5582" builtinId="8" hidden="1"/>
    <cellStyle name="Hyperlink" xfId="5584" builtinId="8" hidden="1"/>
    <cellStyle name="Hyperlink" xfId="5586" builtinId="8" hidden="1"/>
    <cellStyle name="Hyperlink" xfId="5588" builtinId="8" hidden="1"/>
    <cellStyle name="Hyperlink" xfId="5590" builtinId="8" hidden="1"/>
    <cellStyle name="Hyperlink" xfId="5592" builtinId="8" hidden="1"/>
    <cellStyle name="Hyperlink" xfId="5594" builtinId="8" hidden="1"/>
    <cellStyle name="Hyperlink" xfId="5596" builtinId="8" hidden="1"/>
    <cellStyle name="Hyperlink" xfId="5598" builtinId="8" hidden="1"/>
    <cellStyle name="Hyperlink" xfId="5600" builtinId="8" hidden="1"/>
    <cellStyle name="Hyperlink" xfId="5602" builtinId="8" hidden="1"/>
    <cellStyle name="Hyperlink" xfId="5604" builtinId="8" hidden="1"/>
    <cellStyle name="Hyperlink" xfId="5606" builtinId="8" hidden="1"/>
    <cellStyle name="Hyperlink" xfId="5608" builtinId="8" hidden="1"/>
    <cellStyle name="Hyperlink" xfId="5610" builtinId="8" hidden="1"/>
    <cellStyle name="Hyperlink" xfId="5612" builtinId="8" hidden="1"/>
    <cellStyle name="Hyperlink" xfId="5614" builtinId="8" hidden="1"/>
    <cellStyle name="Hyperlink" xfId="5616" builtinId="8" hidden="1"/>
    <cellStyle name="Hyperlink" xfId="5618" builtinId="8" hidden="1"/>
    <cellStyle name="Hyperlink" xfId="5620" builtinId="8" hidden="1"/>
    <cellStyle name="Hyperlink" xfId="5622" builtinId="8" hidden="1"/>
    <cellStyle name="Hyperlink" xfId="5624" builtinId="8" hidden="1"/>
    <cellStyle name="Hyperlink" xfId="5626" builtinId="8" hidden="1"/>
    <cellStyle name="Hyperlink" xfId="5628" builtinId="8" hidden="1"/>
    <cellStyle name="Hyperlink" xfId="5630" builtinId="8" hidden="1"/>
    <cellStyle name="Hyperlink" xfId="5632" builtinId="8" hidden="1"/>
    <cellStyle name="Hyperlink" xfId="5634" builtinId="8" hidden="1"/>
    <cellStyle name="Hyperlink" xfId="5636" builtinId="8" hidden="1"/>
    <cellStyle name="Hyperlink" xfId="5638" builtinId="8" hidden="1"/>
    <cellStyle name="Hyperlink" xfId="5640" builtinId="8" hidden="1"/>
    <cellStyle name="Hyperlink" xfId="5642" builtinId="8" hidden="1"/>
    <cellStyle name="Hyperlink" xfId="5644" builtinId="8" hidden="1"/>
    <cellStyle name="Hyperlink" xfId="5646" builtinId="8" hidden="1"/>
    <cellStyle name="Hyperlink" xfId="5648" builtinId="8" hidden="1"/>
    <cellStyle name="Hyperlink" xfId="5650" builtinId="8" hidden="1"/>
    <cellStyle name="Hyperlink" xfId="5652" builtinId="8" hidden="1"/>
    <cellStyle name="Hyperlink" xfId="5654" builtinId="8" hidden="1"/>
    <cellStyle name="Hyperlink" xfId="5656" builtinId="8" hidden="1"/>
    <cellStyle name="Hyperlink" xfId="5658" builtinId="8" hidden="1"/>
    <cellStyle name="Hyperlink" xfId="5660" builtinId="8" hidden="1"/>
    <cellStyle name="Hyperlink" xfId="5662" builtinId="8" hidden="1"/>
    <cellStyle name="Hyperlink" xfId="5664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72" builtinId="8" hidden="1"/>
    <cellStyle name="Hyperlink" xfId="5674" builtinId="8" hidden="1"/>
    <cellStyle name="Hyperlink" xfId="5676" builtinId="8" hidden="1"/>
    <cellStyle name="Hyperlink" xfId="5678" builtinId="8" hidden="1"/>
    <cellStyle name="Hyperlink" xfId="5680" builtinId="8" hidden="1"/>
    <cellStyle name="Hyperlink" xfId="5682" builtinId="8" hidden="1"/>
    <cellStyle name="Hyperlink" xfId="5684" builtinId="8" hidden="1"/>
    <cellStyle name="Hyperlink" xfId="5686" builtinId="8" hidden="1"/>
    <cellStyle name="Hyperlink" xfId="5688" builtinId="8" hidden="1"/>
    <cellStyle name="Hyperlink" xfId="5690" builtinId="8" hidden="1"/>
    <cellStyle name="Hyperlink" xfId="5692" builtinId="8" hidden="1"/>
    <cellStyle name="Hyperlink" xfId="5694" builtinId="8" hidden="1"/>
    <cellStyle name="Hyperlink" xfId="5696" builtinId="8" hidden="1"/>
    <cellStyle name="Hyperlink" xfId="5698" builtinId="8" hidden="1"/>
    <cellStyle name="Hyperlink" xfId="5700" builtinId="8" hidden="1"/>
    <cellStyle name="Hyperlink" xfId="5702" builtinId="8" hidden="1"/>
    <cellStyle name="Hyperlink" xfId="5704" builtinId="8" hidden="1"/>
    <cellStyle name="Hyperlink" xfId="5706" builtinId="8" hidden="1"/>
    <cellStyle name="Hyperlink" xfId="5708" builtinId="8" hidden="1"/>
    <cellStyle name="Hyperlink" xfId="5710" builtinId="8" hidden="1"/>
    <cellStyle name="Hyperlink" xfId="5712" builtinId="8" hidden="1"/>
    <cellStyle name="Hyperlink" xfId="5714" builtinId="8" hidden="1"/>
    <cellStyle name="Hyperlink" xfId="5716" builtinId="8" hidden="1"/>
    <cellStyle name="Hyperlink" xfId="5718" builtinId="8" hidden="1"/>
    <cellStyle name="Hyperlink" xfId="5720" builtinId="8" hidden="1"/>
    <cellStyle name="Hyperlink" xfId="5722" builtinId="8" hidden="1"/>
    <cellStyle name="Hyperlink" xfId="5724" builtinId="8" hidden="1"/>
    <cellStyle name="Hyperlink" xfId="5726" builtinId="8" hidden="1"/>
    <cellStyle name="Hyperlink" xfId="5728" builtinId="8" hidden="1"/>
    <cellStyle name="Hyperlink" xfId="5730" builtinId="8" hidden="1"/>
    <cellStyle name="Hyperlink" xfId="5732" builtinId="8" hidden="1"/>
    <cellStyle name="Hyperlink" xfId="5734" builtinId="8" hidden="1"/>
    <cellStyle name="Hyperlink" xfId="5736" builtinId="8" hidden="1"/>
    <cellStyle name="Hyperlink" xfId="5738" builtinId="8" hidden="1"/>
    <cellStyle name="Hyperlink" xfId="5740" builtinId="8" hidden="1"/>
    <cellStyle name="Hyperlink" xfId="5742" builtinId="8" hidden="1"/>
    <cellStyle name="Hyperlink" xfId="5744" builtinId="8" hidden="1"/>
    <cellStyle name="Hyperlink" xfId="5746" builtinId="8" hidden="1"/>
    <cellStyle name="Hyperlink" xfId="5748" builtinId="8" hidden="1"/>
    <cellStyle name="Hyperlink" xfId="5750" builtinId="8" hidden="1"/>
    <cellStyle name="Hyperlink" xfId="5752" builtinId="8" hidden="1"/>
    <cellStyle name="Hyperlink" xfId="5754" builtinId="8" hidden="1"/>
    <cellStyle name="Hyperlink" xfId="5756" builtinId="8" hidden="1"/>
    <cellStyle name="Hyperlink" xfId="5758" builtinId="8" hidden="1"/>
    <cellStyle name="Hyperlink" xfId="5760" builtinId="8" hidden="1"/>
    <cellStyle name="Hyperlink" xfId="5762" builtinId="8" hidden="1"/>
    <cellStyle name="Hyperlink" xfId="5764" builtinId="8" hidden="1"/>
    <cellStyle name="Hyperlink" xfId="5766" builtinId="8" hidden="1"/>
    <cellStyle name="Hyperlink" xfId="5768" builtinId="8" hidden="1"/>
    <cellStyle name="Hyperlink" xfId="5770" builtinId="8" hidden="1"/>
    <cellStyle name="Hyperlink" xfId="5772" builtinId="8" hidden="1"/>
    <cellStyle name="Hyperlink" xfId="5774" builtinId="8" hidden="1"/>
    <cellStyle name="Hyperlink" xfId="5776" builtinId="8" hidden="1"/>
    <cellStyle name="Hyperlink" xfId="5778" builtinId="8" hidden="1"/>
    <cellStyle name="Hyperlink" xfId="5780" builtinId="8" hidden="1"/>
    <cellStyle name="Hyperlink" xfId="5782" builtinId="8" hidden="1"/>
    <cellStyle name="Hyperlink" xfId="5784" builtinId="8" hidden="1"/>
    <cellStyle name="Hyperlink" xfId="5786" builtinId="8" hidden="1"/>
    <cellStyle name="Hyperlink" xfId="5788" builtinId="8" hidden="1"/>
    <cellStyle name="Hyperlink" xfId="5790" builtinId="8" hidden="1"/>
    <cellStyle name="Hyperlink" xfId="5792" builtinId="8" hidden="1"/>
    <cellStyle name="Hyperlink" xfId="5794" builtinId="8" hidden="1"/>
    <cellStyle name="Hyperlink" xfId="5796" builtinId="8" hidden="1"/>
    <cellStyle name="Hyperlink" xfId="5798" builtinId="8" hidden="1"/>
    <cellStyle name="Hyperlink" xfId="5800" builtinId="8" hidden="1"/>
    <cellStyle name="Hyperlink" xfId="5802" builtinId="8" hidden="1"/>
    <cellStyle name="Hyperlink" xfId="5804" builtinId="8" hidden="1"/>
    <cellStyle name="Hyperlink" xfId="5806" builtinId="8" hidden="1"/>
    <cellStyle name="Hyperlink" xfId="5808" builtinId="8" hidden="1"/>
    <cellStyle name="Hyperlink" xfId="5810" builtinId="8" hidden="1"/>
    <cellStyle name="Hyperlink" xfId="5812" builtinId="8" hidden="1"/>
    <cellStyle name="Hyperlink" xfId="5814" builtinId="8" hidden="1"/>
    <cellStyle name="Hyperlink" xfId="5816" builtinId="8" hidden="1"/>
    <cellStyle name="Hyperlink" xfId="5818" builtinId="8" hidden="1"/>
    <cellStyle name="Hyperlink" xfId="5820" builtinId="8" hidden="1"/>
    <cellStyle name="Hyperlink" xfId="5822" builtinId="8" hidden="1"/>
    <cellStyle name="Hyperlink" xfId="5824" builtinId="8" hidden="1"/>
    <cellStyle name="Hyperlink" xfId="5826" builtinId="8" hidden="1"/>
    <cellStyle name="Hyperlink" xfId="5828" builtinId="8" hidden="1"/>
    <cellStyle name="Hyperlink" xfId="5830" builtinId="8" hidden="1"/>
    <cellStyle name="Hyperlink" xfId="5832" builtinId="8" hidden="1"/>
    <cellStyle name="Hyperlink" xfId="5834" builtinId="8" hidden="1"/>
    <cellStyle name="Hyperlink" xfId="5836" builtinId="8" hidden="1"/>
    <cellStyle name="Hyperlink" xfId="5838" builtinId="8" hidden="1"/>
    <cellStyle name="Hyperlink" xfId="5840" builtinId="8" hidden="1"/>
    <cellStyle name="Hyperlink" xfId="5842" builtinId="8" hidden="1"/>
    <cellStyle name="Hyperlink" xfId="5844" builtinId="8" hidden="1"/>
    <cellStyle name="Hyperlink" xfId="5846" builtinId="8" hidden="1"/>
    <cellStyle name="Hyperlink" xfId="5848" builtinId="8" hidden="1"/>
    <cellStyle name="Hyperlink" xfId="5850" builtinId="8" hidden="1"/>
    <cellStyle name="Hyperlink" xfId="5852" builtinId="8" hidden="1"/>
    <cellStyle name="Hyperlink" xfId="585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862" builtinId="8" hidden="1"/>
    <cellStyle name="Hyperlink" xfId="5864" builtinId="8" hidden="1"/>
    <cellStyle name="Hyperlink" xfId="5866" builtinId="8" hidden="1"/>
    <cellStyle name="Hyperlink" xfId="5868" builtinId="8" hidden="1"/>
    <cellStyle name="Hyperlink" xfId="5870" builtinId="8" hidden="1"/>
    <cellStyle name="Hyperlink" xfId="5872" builtinId="8" hidden="1"/>
    <cellStyle name="Hyperlink" xfId="5874" builtinId="8" hidden="1"/>
    <cellStyle name="Hyperlink" xfId="5876" builtinId="8" hidden="1"/>
    <cellStyle name="Hyperlink" xfId="5878" builtinId="8" hidden="1"/>
    <cellStyle name="Hyperlink" xfId="5880" builtinId="8" hidden="1"/>
    <cellStyle name="Hyperlink" xfId="5882" builtinId="8" hidden="1"/>
    <cellStyle name="Hyperlink" xfId="5884" builtinId="8" hidden="1"/>
    <cellStyle name="Hyperlink" xfId="5886" builtinId="8" hidden="1"/>
    <cellStyle name="Hyperlink" xfId="5888" builtinId="8" hidden="1"/>
    <cellStyle name="Hyperlink" xfId="5890" builtinId="8" hidden="1"/>
    <cellStyle name="Hyperlink" xfId="5892" builtinId="8" hidden="1"/>
    <cellStyle name="Hyperlink" xfId="5894" builtinId="8" hidden="1"/>
    <cellStyle name="Hyperlink" xfId="5896" builtinId="8" hidden="1"/>
    <cellStyle name="Hyperlink" xfId="5898" builtinId="8" hidden="1"/>
    <cellStyle name="Hyperlink" xfId="5900" builtinId="8" hidden="1"/>
    <cellStyle name="Hyperlink" xfId="5902" builtinId="8" hidden="1"/>
    <cellStyle name="Hyperlink" xfId="5904" builtinId="8" hidden="1"/>
    <cellStyle name="Hyperlink" xfId="5906" builtinId="8" hidden="1"/>
    <cellStyle name="Hyperlink" xfId="5908" builtinId="8" hidden="1"/>
    <cellStyle name="Hyperlink" xfId="5910" builtinId="8" hidden="1"/>
    <cellStyle name="Hyperlink" xfId="5912" builtinId="8" hidden="1"/>
    <cellStyle name="Hyperlink" xfId="5914" builtinId="8" hidden="1"/>
    <cellStyle name="Hyperlink" xfId="5916" builtinId="8" hidden="1"/>
    <cellStyle name="Hyperlink" xfId="5918" builtinId="8" hidden="1"/>
    <cellStyle name="Hyperlink" xfId="5920" builtinId="8" hidden="1"/>
    <cellStyle name="Hyperlink" xfId="5922" builtinId="8" hidden="1"/>
    <cellStyle name="Hyperlink" xfId="5924" builtinId="8" hidden="1"/>
    <cellStyle name="Hyperlink" xfId="5926" builtinId="8" hidden="1"/>
    <cellStyle name="Hyperlink" xfId="5928" builtinId="8" hidden="1"/>
    <cellStyle name="Hyperlink" xfId="5930" builtinId="8" hidden="1"/>
    <cellStyle name="Hyperlink" xfId="5932" builtinId="8" hidden="1"/>
    <cellStyle name="Hyperlink" xfId="5934" builtinId="8" hidden="1"/>
    <cellStyle name="Hyperlink" xfId="5936" builtinId="8" hidden="1"/>
    <cellStyle name="Hyperlink" xfId="5938" builtinId="8" hidden="1"/>
    <cellStyle name="Hyperlink" xfId="5940" builtinId="8" hidden="1"/>
    <cellStyle name="Hyperlink" xfId="5942" builtinId="8" hidden="1"/>
    <cellStyle name="Hyperlink" xfId="5944" builtinId="8" hidden="1"/>
    <cellStyle name="Hyperlink" xfId="5946" builtinId="8" hidden="1"/>
    <cellStyle name="Hyperlink" xfId="5948" builtinId="8" hidden="1"/>
    <cellStyle name="Hyperlink" xfId="595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58" builtinId="8" hidden="1"/>
    <cellStyle name="Hyperlink" xfId="5960" builtinId="8" hidden="1"/>
    <cellStyle name="Hyperlink" xfId="5962" builtinId="8" hidden="1"/>
    <cellStyle name="Hyperlink" xfId="5964" builtinId="8" hidden="1"/>
    <cellStyle name="Hyperlink" xfId="5966" builtinId="8" hidden="1"/>
    <cellStyle name="Hyperlink" xfId="5968" builtinId="8" hidden="1"/>
    <cellStyle name="Hyperlink" xfId="5970" builtinId="8" hidden="1"/>
    <cellStyle name="Hyperlink" xfId="5972" builtinId="8" hidden="1"/>
    <cellStyle name="Hyperlink" xfId="5974" builtinId="8" hidden="1"/>
    <cellStyle name="Hyperlink" xfId="5976" builtinId="8" hidden="1"/>
    <cellStyle name="Hyperlink" xfId="5978" builtinId="8" hidden="1"/>
    <cellStyle name="Hyperlink" xfId="5980" builtinId="8" hidden="1"/>
    <cellStyle name="Hyperlink" xfId="5982" builtinId="8" hidden="1"/>
    <cellStyle name="Hyperlink" xfId="5984" builtinId="8" hidden="1"/>
    <cellStyle name="Hyperlink" xfId="5986" builtinId="8" hidden="1"/>
    <cellStyle name="Hyperlink" xfId="5988" builtinId="8" hidden="1"/>
    <cellStyle name="Hyperlink" xfId="5990" builtinId="8" hidden="1"/>
    <cellStyle name="Hyperlink" xfId="5992" builtinId="8" hidden="1"/>
    <cellStyle name="Hyperlink" xfId="5994" builtinId="8" hidden="1"/>
    <cellStyle name="Hyperlink" xfId="5996" builtinId="8" hidden="1"/>
    <cellStyle name="Hyperlink" xfId="5998" builtinId="8" hidden="1"/>
    <cellStyle name="Hyperlink" xfId="6000" builtinId="8" hidden="1"/>
    <cellStyle name="Hyperlink" xfId="6002" builtinId="8" hidden="1"/>
    <cellStyle name="Hyperlink" xfId="6004" builtinId="8" hidden="1"/>
    <cellStyle name="Hyperlink" xfId="6006" builtinId="8" hidden="1"/>
    <cellStyle name="Hyperlink" xfId="6008" builtinId="8" hidden="1"/>
    <cellStyle name="Hyperlink" xfId="6010" builtinId="8" hidden="1"/>
    <cellStyle name="Hyperlink" xfId="6012" builtinId="8" hidden="1"/>
    <cellStyle name="Hyperlink" xfId="6014" builtinId="8" hidden="1"/>
    <cellStyle name="Hyperlink" xfId="6016" builtinId="8" hidden="1"/>
    <cellStyle name="Hyperlink" xfId="6018" builtinId="8" hidden="1"/>
    <cellStyle name="Hyperlink" xfId="6020" builtinId="8" hidden="1"/>
    <cellStyle name="Hyperlink" xfId="6022" builtinId="8" hidden="1"/>
    <cellStyle name="Hyperlink" xfId="6024" builtinId="8" hidden="1"/>
    <cellStyle name="Hyperlink" xfId="6026" builtinId="8" hidden="1"/>
    <cellStyle name="Hyperlink" xfId="6028" builtinId="8" hidden="1"/>
    <cellStyle name="Hyperlink" xfId="6030" builtinId="8" hidden="1"/>
    <cellStyle name="Hyperlink" xfId="6032" builtinId="8" hidden="1"/>
    <cellStyle name="Hyperlink" xfId="6034" builtinId="8" hidden="1"/>
    <cellStyle name="Hyperlink" xfId="6036" builtinId="8" hidden="1"/>
    <cellStyle name="Hyperlink" xfId="6038" builtinId="8" hidden="1"/>
    <cellStyle name="Hyperlink" xfId="6040" builtinId="8" hidden="1"/>
    <cellStyle name="Hyperlink" xfId="6042" builtinId="8" hidden="1"/>
    <cellStyle name="Hyperlink" xfId="6044" builtinId="8" hidden="1"/>
    <cellStyle name="Hyperlink" xfId="6046" builtinId="8" hidden="1"/>
    <cellStyle name="Hyperlink" xfId="6048" builtinId="8" hidden="1"/>
    <cellStyle name="Hyperlink" xfId="6050" builtinId="8" hidden="1"/>
    <cellStyle name="Hyperlink" xfId="6052" builtinId="8" hidden="1"/>
    <cellStyle name="Hyperlink" xfId="6054" builtinId="8" hidden="1"/>
    <cellStyle name="Hyperlink" xfId="6056" builtinId="8" hidden="1"/>
    <cellStyle name="Hyperlink" xfId="6058" builtinId="8" hidden="1"/>
    <cellStyle name="Hyperlink" xfId="6060" builtinId="8" hidden="1"/>
    <cellStyle name="Hyperlink" xfId="6062" builtinId="8" hidden="1"/>
    <cellStyle name="Hyperlink" xfId="6064" builtinId="8" hidden="1"/>
    <cellStyle name="Hyperlink" xfId="6066" builtinId="8" hidden="1"/>
    <cellStyle name="Hyperlink" xfId="6068" builtinId="8" hidden="1"/>
    <cellStyle name="Hyperlink" xfId="6070" builtinId="8" hidden="1"/>
    <cellStyle name="Hyperlink" xfId="6072" builtinId="8" hidden="1"/>
    <cellStyle name="Hyperlink" xfId="6074" builtinId="8" hidden="1"/>
    <cellStyle name="Hyperlink" xfId="6076" builtinId="8" hidden="1"/>
    <cellStyle name="Hyperlink" xfId="6078" builtinId="8" hidden="1"/>
    <cellStyle name="Hyperlink" xfId="6080" builtinId="8" hidden="1"/>
    <cellStyle name="Hyperlink" xfId="6082" builtinId="8" hidden="1"/>
    <cellStyle name="Hyperlink" xfId="6084" builtinId="8" hidden="1"/>
    <cellStyle name="Hyperlink" xfId="6086" builtinId="8" hidden="1"/>
    <cellStyle name="Hyperlink" xfId="6088" builtinId="8" hidden="1"/>
    <cellStyle name="Hyperlink" xfId="6090" builtinId="8" hidden="1"/>
    <cellStyle name="Hyperlink" xfId="6092" builtinId="8" hidden="1"/>
    <cellStyle name="Hyperlink" xfId="6094" builtinId="8" hidden="1"/>
    <cellStyle name="Hyperlink" xfId="6096" builtinId="8" hidden="1"/>
    <cellStyle name="Hyperlink" xfId="6098" builtinId="8" hidden="1"/>
    <cellStyle name="Hyperlink" xfId="6100" builtinId="8" hidden="1"/>
    <cellStyle name="Hyperlink" xfId="6102" builtinId="8" hidden="1"/>
    <cellStyle name="Hyperlink" xfId="6104" builtinId="8" hidden="1"/>
    <cellStyle name="Hyperlink" xfId="6106" builtinId="8" hidden="1"/>
    <cellStyle name="Hyperlink" xfId="6108" builtinId="8" hidden="1"/>
    <cellStyle name="Hyperlink" xfId="6110" builtinId="8" hidden="1"/>
    <cellStyle name="Hyperlink" xfId="6112" builtinId="8" hidden="1"/>
    <cellStyle name="Hyperlink" xfId="6114" builtinId="8" hidden="1"/>
    <cellStyle name="Hyperlink" xfId="6116" builtinId="8" hidden="1"/>
    <cellStyle name="Hyperlink" xfId="6118" builtinId="8" hidden="1"/>
    <cellStyle name="Hyperlink" xfId="6120" builtinId="8" hidden="1"/>
    <cellStyle name="Hyperlink" xfId="6122" builtinId="8" hidden="1"/>
    <cellStyle name="Hyperlink" xfId="6124" builtinId="8" hidden="1"/>
    <cellStyle name="Hyperlink" xfId="6126" builtinId="8" hidden="1"/>
    <cellStyle name="Hyperlink" xfId="6128" builtinId="8" hidden="1"/>
    <cellStyle name="Hyperlink" xfId="6130" builtinId="8" hidden="1"/>
    <cellStyle name="Hyperlink" xfId="6132" builtinId="8" hidden="1"/>
    <cellStyle name="Hyperlink" xfId="6134" builtinId="8" hidden="1"/>
    <cellStyle name="Hyperlink" xfId="6136" builtinId="8" hidden="1"/>
    <cellStyle name="Hyperlink" xfId="6138" builtinId="8" hidden="1"/>
    <cellStyle name="Hyperlink" xfId="6140" builtinId="8" hidden="1"/>
    <cellStyle name="Hyperlink" xfId="6142" builtinId="8" hidden="1"/>
    <cellStyle name="Hyperlink" xfId="6144" builtinId="8" hidden="1"/>
    <cellStyle name="Hyperlink" xfId="6146" builtinId="8" hidden="1"/>
    <cellStyle name="Hyperlink" xfId="6148" builtinId="8" hidden="1"/>
    <cellStyle name="Hyperlink" xfId="6150" builtinId="8" hidden="1"/>
    <cellStyle name="Hyperlink" xfId="6152" builtinId="8" hidden="1"/>
    <cellStyle name="Hyperlink" xfId="6154" builtinId="8" hidden="1"/>
    <cellStyle name="Hyperlink" xfId="6156" builtinId="8" hidden="1"/>
    <cellStyle name="Hyperlink" xfId="6158" builtinId="8" hidden="1"/>
    <cellStyle name="Hyperlink" xfId="6160" builtinId="8" hidden="1"/>
    <cellStyle name="Hyperlink" xfId="6162" builtinId="8" hidden="1"/>
    <cellStyle name="Hyperlink" xfId="6164" builtinId="8" hidden="1"/>
    <cellStyle name="Hyperlink" xfId="6166" builtinId="8" hidden="1"/>
    <cellStyle name="Hyperlink" xfId="6168" builtinId="8" hidden="1"/>
    <cellStyle name="Hyperlink" xfId="6170" builtinId="8" hidden="1"/>
    <cellStyle name="Hyperlink" xfId="6172" builtinId="8" hidden="1"/>
    <cellStyle name="Hyperlink" xfId="6174" builtinId="8" hidden="1"/>
    <cellStyle name="Hyperlink" xfId="6176" builtinId="8" hidden="1"/>
    <cellStyle name="Hyperlink" xfId="6178" builtinId="8" hidden="1"/>
    <cellStyle name="Hyperlink" xfId="6180" builtinId="8" hidden="1"/>
    <cellStyle name="Hyperlink" xfId="6182" builtinId="8" hidden="1"/>
    <cellStyle name="Hyperlink" xfId="6184" builtinId="8" hidden="1"/>
    <cellStyle name="Hyperlink" xfId="6186" builtinId="8" hidden="1"/>
    <cellStyle name="Hyperlink" xfId="6188" builtinId="8" hidden="1"/>
    <cellStyle name="Hyperlink" xfId="6190" builtinId="8" hidden="1"/>
    <cellStyle name="Hyperlink" xfId="6192" builtinId="8" hidden="1"/>
    <cellStyle name="Hyperlink" xfId="6194" builtinId="8" hidden="1"/>
    <cellStyle name="Hyperlink" xfId="6196" builtinId="8" hidden="1"/>
    <cellStyle name="Hyperlink" xfId="6198" builtinId="8" hidden="1"/>
    <cellStyle name="Hyperlink" xfId="6200" builtinId="8" hidden="1"/>
    <cellStyle name="Hyperlink" xfId="6202" builtinId="8" hidden="1"/>
    <cellStyle name="Hyperlink" xfId="6204" builtinId="8" hidden="1"/>
    <cellStyle name="Hyperlink" xfId="6206" builtinId="8" hidden="1"/>
    <cellStyle name="Hyperlink" xfId="6208" builtinId="8" hidden="1"/>
    <cellStyle name="Hyperlink" xfId="6210" builtinId="8" hidden="1"/>
    <cellStyle name="Hyperlink" xfId="6212" builtinId="8" hidden="1"/>
    <cellStyle name="Hyperlink" xfId="6214" builtinId="8" hidden="1"/>
    <cellStyle name="Hyperlink" xfId="6216" builtinId="8" hidden="1"/>
    <cellStyle name="Hyperlink" xfId="6218" builtinId="8" hidden="1"/>
    <cellStyle name="Hyperlink" xfId="6220" builtinId="8" hidden="1"/>
    <cellStyle name="Hyperlink" xfId="6222" builtinId="8" hidden="1"/>
    <cellStyle name="Hyperlink" xfId="6224" builtinId="8" hidden="1"/>
    <cellStyle name="Hyperlink" xfId="6226" builtinId="8" hidden="1"/>
    <cellStyle name="Hyperlink" xfId="6228" builtinId="8" hidden="1"/>
    <cellStyle name="Hyperlink" xfId="6230" builtinId="8" hidden="1"/>
    <cellStyle name="Hyperlink" xfId="6232" builtinId="8" hidden="1"/>
    <cellStyle name="Hyperlink" xfId="6234" builtinId="8" hidden="1"/>
    <cellStyle name="Hyperlink" xfId="6236" builtinId="8" hidden="1"/>
    <cellStyle name="Hyperlink" xfId="6238" builtinId="8" hidden="1"/>
    <cellStyle name="Hyperlink" xfId="6240" builtinId="8" hidden="1"/>
    <cellStyle name="Hyperlink" xfId="6242" builtinId="8" hidden="1"/>
    <cellStyle name="Hyperlink" xfId="6244" builtinId="8" hidden="1"/>
    <cellStyle name="Hyperlink" xfId="6246" builtinId="8" hidden="1"/>
    <cellStyle name="Hyperlink" xfId="6248" builtinId="8" hidden="1"/>
    <cellStyle name="Hyperlink" xfId="6250" builtinId="8" hidden="1"/>
    <cellStyle name="Hyperlink" xfId="6252" builtinId="8" hidden="1"/>
    <cellStyle name="Hyperlink" xfId="6254" builtinId="8" hidden="1"/>
    <cellStyle name="Hyperlink" xfId="6256" builtinId="8" hidden="1"/>
    <cellStyle name="Hyperlink" xfId="6258" builtinId="8" hidden="1"/>
    <cellStyle name="Hyperlink" xfId="6260" builtinId="8" hidden="1"/>
    <cellStyle name="Hyperlink" xfId="6262" builtinId="8" hidden="1"/>
    <cellStyle name="Hyperlink" xfId="6264" builtinId="8" hidden="1"/>
    <cellStyle name="Hyperlink" xfId="6266" builtinId="8" hidden="1"/>
    <cellStyle name="Hyperlink" xfId="6268" builtinId="8" hidden="1"/>
    <cellStyle name="Hyperlink" xfId="6270" builtinId="8" hidden="1"/>
    <cellStyle name="Hyperlink" xfId="6272" builtinId="8" hidden="1"/>
    <cellStyle name="Hyperlink" xfId="6274" builtinId="8" hidden="1"/>
    <cellStyle name="Hyperlink" xfId="6276" builtinId="8" hidden="1"/>
    <cellStyle name="Hyperlink" xfId="6278" builtinId="8" hidden="1"/>
    <cellStyle name="Hyperlink" xfId="6280" builtinId="8" hidden="1"/>
    <cellStyle name="Hyperlink" xfId="6282" builtinId="8" hidden="1"/>
    <cellStyle name="Hyperlink" xfId="6284" builtinId="8" hidden="1"/>
    <cellStyle name="Hyperlink" xfId="6286" builtinId="8" hidden="1"/>
    <cellStyle name="Hyperlink" xfId="6288" builtinId="8" hidden="1"/>
    <cellStyle name="Hyperlink" xfId="6290" builtinId="8" hidden="1"/>
    <cellStyle name="Hyperlink" xfId="6292" builtinId="8" hidden="1"/>
    <cellStyle name="Hyperlink" xfId="6294" builtinId="8" hidden="1"/>
    <cellStyle name="Hyperlink" xfId="6296" builtinId="8" hidden="1"/>
    <cellStyle name="Hyperlink" xfId="6298" builtinId="8" hidden="1"/>
    <cellStyle name="Hyperlink" xfId="6300" builtinId="8" hidden="1"/>
    <cellStyle name="Hyperlink" xfId="6302" builtinId="8" hidden="1"/>
    <cellStyle name="Hyperlink" xfId="6304" builtinId="8" hidden="1"/>
    <cellStyle name="Hyperlink" xfId="6306" builtinId="8" hidden="1"/>
    <cellStyle name="Hyperlink" xfId="6308" builtinId="8" hidden="1"/>
    <cellStyle name="Hyperlink" xfId="6310" builtinId="8" hidden="1"/>
    <cellStyle name="Hyperlink" xfId="6312" builtinId="8" hidden="1"/>
    <cellStyle name="Hyperlink" xfId="6314" builtinId="8" hidden="1"/>
    <cellStyle name="Hyperlink" xfId="6316" builtinId="8" hidden="1"/>
    <cellStyle name="Hyperlink" xfId="6318" builtinId="8" hidden="1"/>
    <cellStyle name="Hyperlink" xfId="6320" builtinId="8" hidden="1"/>
    <cellStyle name="Hyperlink" xfId="6322" builtinId="8" hidden="1"/>
    <cellStyle name="Hyperlink" xfId="6324" builtinId="8" hidden="1"/>
    <cellStyle name="Hyperlink" xfId="6326" builtinId="8" hidden="1"/>
    <cellStyle name="Hyperlink" xfId="6328" builtinId="8" hidden="1"/>
    <cellStyle name="Hyperlink" xfId="6330" builtinId="8" hidden="1"/>
    <cellStyle name="Hyperlink" xfId="6332" builtinId="8" hidden="1"/>
    <cellStyle name="Hyperlink" xfId="6334" builtinId="8" hidden="1"/>
    <cellStyle name="Hyperlink" xfId="6336" builtinId="8" hidden="1"/>
    <cellStyle name="Hyperlink" xfId="6338" builtinId="8" hidden="1"/>
    <cellStyle name="Hyperlink" xfId="6340" builtinId="8" hidden="1"/>
    <cellStyle name="Hyperlink" xfId="6342" builtinId="8" hidden="1"/>
    <cellStyle name="Hyperlink" xfId="6344" builtinId="8" hidden="1"/>
    <cellStyle name="Hyperlink" xfId="6346" builtinId="8" hidden="1"/>
    <cellStyle name="Hyperlink" xfId="6348" builtinId="8" hidden="1"/>
    <cellStyle name="Hyperlink" xfId="6350" builtinId="8" hidden="1"/>
    <cellStyle name="Hyperlink" xfId="6352" builtinId="8" hidden="1"/>
    <cellStyle name="Hyperlink" xfId="6354" builtinId="8" hidden="1"/>
    <cellStyle name="Hyperlink" xfId="6356" builtinId="8" hidden="1"/>
    <cellStyle name="Hyperlink" xfId="6358" builtinId="8" hidden="1"/>
    <cellStyle name="Hyperlink" xfId="6360" builtinId="8" hidden="1"/>
    <cellStyle name="Hyperlink" xfId="6362" builtinId="8" hidden="1"/>
    <cellStyle name="Hyperlink" xfId="6364" builtinId="8" hidden="1"/>
    <cellStyle name="Hyperlink" xfId="6366" builtinId="8" hidden="1"/>
    <cellStyle name="Hyperlink" xfId="6368" builtinId="8" hidden="1"/>
    <cellStyle name="Hyperlink" xfId="6370" builtinId="8" hidden="1"/>
    <cellStyle name="Hyperlink" xfId="6372" builtinId="8" hidden="1"/>
    <cellStyle name="Hyperlink" xfId="6374" builtinId="8" hidden="1"/>
    <cellStyle name="Hyperlink" xfId="6376" builtinId="8" hidden="1"/>
    <cellStyle name="Hyperlink" xfId="6378" builtinId="8" hidden="1"/>
    <cellStyle name="Hyperlink" xfId="6380" builtinId="8" hidden="1"/>
    <cellStyle name="Hyperlink" xfId="6382" builtinId="8" hidden="1"/>
    <cellStyle name="Hyperlink" xfId="6384" builtinId="8" hidden="1"/>
    <cellStyle name="Hyperlink" xfId="6386" builtinId="8" hidden="1"/>
    <cellStyle name="Hyperlink" xfId="6388" builtinId="8" hidden="1"/>
    <cellStyle name="Hyperlink" xfId="6390" builtinId="8" hidden="1"/>
    <cellStyle name="Hyperlink" xfId="6392" builtinId="8" hidden="1"/>
    <cellStyle name="Hyperlink" xfId="6394" builtinId="8" hidden="1"/>
    <cellStyle name="Hyperlink" xfId="6396" builtinId="8" hidden="1"/>
    <cellStyle name="Hyperlink" xfId="6398" builtinId="8" hidden="1"/>
    <cellStyle name="Hyperlink" xfId="6400" builtinId="8" hidden="1"/>
    <cellStyle name="Hyperlink" xfId="6402" builtinId="8" hidden="1"/>
    <cellStyle name="Hyperlink" xfId="6404" builtinId="8" hidden="1"/>
    <cellStyle name="Hyperlink" xfId="6406" builtinId="8" hidden="1"/>
    <cellStyle name="Hyperlink" xfId="6408" builtinId="8" hidden="1"/>
    <cellStyle name="Hyperlink" xfId="6410" builtinId="8" hidden="1"/>
    <cellStyle name="Hyperlink" xfId="6412" builtinId="8" hidden="1"/>
    <cellStyle name="Hyperlink" xfId="6414" builtinId="8" hidden="1"/>
    <cellStyle name="Hyperlink" xfId="6416" builtinId="8" hidden="1"/>
    <cellStyle name="Hyperlink" xfId="6418" builtinId="8" hidden="1"/>
    <cellStyle name="Hyperlink" xfId="6420" builtinId="8" hidden="1"/>
    <cellStyle name="Hyperlink" xfId="6422" builtinId="8" hidden="1"/>
    <cellStyle name="Hyperlink" xfId="6424" builtinId="8" hidden="1"/>
    <cellStyle name="Hyperlink" xfId="6426" builtinId="8" hidden="1"/>
    <cellStyle name="Hyperlink" xfId="6428" builtinId="8" hidden="1"/>
    <cellStyle name="Hyperlink" xfId="6430" builtinId="8" hidden="1"/>
    <cellStyle name="Hyperlink" xfId="6432" builtinId="8" hidden="1"/>
    <cellStyle name="Hyperlink" xfId="6434" builtinId="8" hidden="1"/>
    <cellStyle name="Hyperlink" xfId="6436" builtinId="8" hidden="1"/>
    <cellStyle name="Hyperlink" xfId="6438" builtinId="8" hidden="1"/>
    <cellStyle name="Hyperlink" xfId="6440" builtinId="8" hidden="1"/>
    <cellStyle name="Hyperlink" xfId="6442" builtinId="8" hidden="1"/>
    <cellStyle name="Hyperlink" xfId="6444" builtinId="8" hidden="1"/>
    <cellStyle name="Hyperlink" xfId="6446" builtinId="8" hidden="1"/>
    <cellStyle name="Hyperlink" xfId="6448" builtinId="8" hidden="1"/>
    <cellStyle name="Hyperlink" xfId="6450" builtinId="8" hidden="1"/>
    <cellStyle name="Hyperlink" xfId="6452" builtinId="8" hidden="1"/>
    <cellStyle name="Hyperlink" xfId="6454" builtinId="8" hidden="1"/>
    <cellStyle name="Hyperlink" xfId="6456" builtinId="8" hidden="1"/>
    <cellStyle name="Hyperlink" xfId="6458" builtinId="8" hidden="1"/>
    <cellStyle name="Hyperlink" xfId="6460" builtinId="8" hidden="1"/>
    <cellStyle name="Hyperlink" xfId="6462" builtinId="8" hidden="1"/>
    <cellStyle name="Hyperlink" xfId="6464" builtinId="8" hidden="1"/>
    <cellStyle name="Hyperlink" xfId="6466" builtinId="8" hidden="1"/>
    <cellStyle name="Hyperlink" xfId="6468" builtinId="8" hidden="1"/>
    <cellStyle name="Hyperlink" xfId="6470" builtinId="8" hidden="1"/>
    <cellStyle name="Hyperlink" xfId="6472" builtinId="8" hidden="1"/>
    <cellStyle name="Hyperlink" xfId="6474" builtinId="8" hidden="1"/>
    <cellStyle name="Hyperlink" xfId="6476" builtinId="8" hidden="1"/>
    <cellStyle name="Hyperlink" xfId="6478" builtinId="8" hidden="1"/>
    <cellStyle name="Hyperlink" xfId="6480" builtinId="8" hidden="1"/>
    <cellStyle name="Hyperlink" xfId="6482" builtinId="8" hidden="1"/>
    <cellStyle name="Hyperlink" xfId="6484" builtinId="8" hidden="1"/>
    <cellStyle name="Hyperlink" xfId="6486" builtinId="8" hidden="1"/>
    <cellStyle name="Hyperlink" xfId="6488" builtinId="8" hidden="1"/>
    <cellStyle name="Hyperlink" xfId="6490" builtinId="8" hidden="1"/>
    <cellStyle name="Hyperlink" xfId="6492" builtinId="8" hidden="1"/>
    <cellStyle name="Hyperlink" xfId="6494" builtinId="8" hidden="1"/>
    <cellStyle name="Hyperlink" xfId="6496" builtinId="8" hidden="1"/>
    <cellStyle name="Hyperlink" xfId="6498" builtinId="8" hidden="1"/>
    <cellStyle name="Hyperlink" xfId="6500" builtinId="8" hidden="1"/>
    <cellStyle name="Hyperlink" xfId="6502" builtinId="8" hidden="1"/>
    <cellStyle name="Hyperlink" xfId="6504" builtinId="8" hidden="1"/>
    <cellStyle name="Hyperlink" xfId="6506" builtinId="8" hidden="1"/>
    <cellStyle name="Normal" xfId="0" builtinId="0"/>
    <cellStyle name="Percent" xfId="2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8.xml"/><Relationship Id="rId1" Type="http://schemas.openxmlformats.org/officeDocument/2006/relationships/vmlDrawing" Target="../drawings/vmlDrawing48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B12"/>
  <sheetViews>
    <sheetView showGridLines="0" tabSelected="1" zoomScale="250" zoomScaleNormal="250" zoomScalePageLayoutView="250" workbookViewId="0">
      <selection activeCell="B18" sqref="B18"/>
    </sheetView>
  </sheetViews>
  <sheetFormatPr defaultColWidth="10.84765625" defaultRowHeight="15.6" x14ac:dyDescent="0.6"/>
  <cols>
    <col min="1" max="16384" width="10.84765625" style="1"/>
  </cols>
  <sheetData>
    <row r="5" spans="2:2" x14ac:dyDescent="0.6">
      <c r="B5" s="1" t="s">
        <v>1752</v>
      </c>
    </row>
    <row r="6" spans="2:2" x14ac:dyDescent="0.6">
      <c r="B6" s="256">
        <v>2015</v>
      </c>
    </row>
    <row r="8" spans="2:2" x14ac:dyDescent="0.6">
      <c r="B8" s="1" t="s">
        <v>1753</v>
      </c>
    </row>
    <row r="9" spans="2:2" x14ac:dyDescent="0.6">
      <c r="B9" s="1" t="s">
        <v>1754</v>
      </c>
    </row>
    <row r="10" spans="2:2" x14ac:dyDescent="0.6">
      <c r="B10" s="1" t="s">
        <v>1755</v>
      </c>
    </row>
    <row r="12" spans="2:2" x14ac:dyDescent="0.6">
      <c r="B12" s="78" t="s">
        <v>1756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3.59765625" style="1" customWidth="1"/>
    <col min="3" max="3" width="9.5" style="13" bestFit="1" customWidth="1"/>
    <col min="4" max="4" width="16.09765625" style="13" bestFit="1" customWidth="1"/>
    <col min="5" max="5" width="10.5" style="55" customWidth="1"/>
    <col min="6" max="6" width="10.84765625" style="7" bestFit="1" customWidth="1"/>
    <col min="7" max="7" width="11.09765625" style="1" bestFit="1" customWidth="1"/>
    <col min="8" max="8" width="11.09765625" style="10" bestFit="1" customWidth="1"/>
    <col min="9" max="9" width="12.5" style="411" bestFit="1" customWidth="1"/>
    <col min="10" max="10" width="9.34765625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bestFit="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bestFit="1" customWidth="1"/>
    <col min="20" max="20" width="19.59765625" style="57" bestFit="1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7.5" style="17" bestFit="1" customWidth="1"/>
    <col min="25" max="16384" width="10.84765625" style="1"/>
  </cols>
  <sheetData>
    <row r="1" spans="1:24" x14ac:dyDescent="0.6">
      <c r="A1" s="24" t="s">
        <v>395</v>
      </c>
      <c r="C1" s="19" t="s">
        <v>855</v>
      </c>
      <c r="E1" s="107"/>
      <c r="J1" s="55"/>
      <c r="V1" s="17">
        <f>V12+V22+V33</f>
        <v>-512534149.59352463</v>
      </c>
    </row>
    <row r="2" spans="1:24" s="2" customFormat="1" x14ac:dyDescent="0.6"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455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1748</v>
      </c>
      <c r="R2" s="11" t="s">
        <v>42</v>
      </c>
      <c r="S2" s="114"/>
      <c r="T2" s="58"/>
      <c r="U2" s="18" t="s">
        <v>42</v>
      </c>
      <c r="V2" s="18"/>
      <c r="W2" s="11" t="s">
        <v>645</v>
      </c>
      <c r="X2" s="18"/>
    </row>
    <row r="3" spans="1:24" s="2" customFormat="1" x14ac:dyDescent="0.6">
      <c r="C3" s="14" t="s">
        <v>94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76</v>
      </c>
      <c r="U3" s="18" t="s">
        <v>77</v>
      </c>
      <c r="V3" s="18" t="s">
        <v>34</v>
      </c>
      <c r="W3" s="11" t="s">
        <v>639</v>
      </c>
      <c r="X3" s="18" t="s">
        <v>642</v>
      </c>
    </row>
    <row r="4" spans="1:24" x14ac:dyDescent="0.6">
      <c r="A4" s="61">
        <v>1</v>
      </c>
      <c r="B4" s="44" t="s">
        <v>37</v>
      </c>
      <c r="C4" s="290">
        <v>5568</v>
      </c>
      <c r="D4" s="345">
        <f>C4*Assumptions!$C$16</f>
        <v>1744565760</v>
      </c>
      <c r="E4" s="399">
        <v>1</v>
      </c>
      <c r="F4" s="297">
        <f>Assumptions!$C$115</f>
        <v>3.7854100000000002</v>
      </c>
      <c r="G4" s="389"/>
      <c r="H4" s="301">
        <f>'State Com Dist'!Q64</f>
        <v>1.9690023791785549</v>
      </c>
      <c r="I4" s="452"/>
      <c r="J4" s="306"/>
      <c r="K4" s="329"/>
      <c r="L4" s="329">
        <f>K4*H4</f>
        <v>0</v>
      </c>
      <c r="M4" s="329">
        <f>L4*I4</f>
        <v>0</v>
      </c>
      <c r="N4" s="313"/>
      <c r="O4" s="314">
        <f>'State Com Dist'!Q61*D4</f>
        <v>238061352.21163753</v>
      </c>
      <c r="P4" s="1053">
        <f>'State Com Dist'!Q60</f>
        <v>0.13645880119281806</v>
      </c>
      <c r="Q4" s="1047">
        <f>P4*D4</f>
        <v>238061352.21163753</v>
      </c>
      <c r="R4" s="310"/>
      <c r="S4" s="366">
        <f>Q4-O4</f>
        <v>0</v>
      </c>
      <c r="T4" s="336">
        <f>-'OECD distillate subsidies'!E2</f>
        <v>-41843300</v>
      </c>
      <c r="U4" s="342">
        <f>T4*E4</f>
        <v>-41843300</v>
      </c>
      <c r="V4" s="111">
        <f>S4+U4</f>
        <v>-41843300</v>
      </c>
      <c r="W4" s="281">
        <f t="shared" ref="W4:W34" si="0">(H4+J4)*(1+K4)</f>
        <v>1.9690023791785549</v>
      </c>
      <c r="X4" s="342">
        <f t="shared" ref="X4:X26" si="1">W4*D4+U4</f>
        <v>3393210832.0734439</v>
      </c>
    </row>
    <row r="5" spans="1:24" s="2" customFormat="1" x14ac:dyDescent="0.6">
      <c r="A5" s="40" t="s">
        <v>394</v>
      </c>
      <c r="B5" s="40"/>
      <c r="C5" s="356"/>
      <c r="D5" s="346"/>
      <c r="E5" s="418"/>
      <c r="F5" s="298"/>
      <c r="G5" s="385"/>
      <c r="H5" s="302"/>
      <c r="I5" s="45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</row>
    <row r="6" spans="1:24" x14ac:dyDescent="0.6">
      <c r="A6" s="46">
        <f>A4+1</f>
        <v>2</v>
      </c>
      <c r="B6" s="44" t="s">
        <v>0</v>
      </c>
      <c r="C6" s="290">
        <v>811</v>
      </c>
      <c r="D6" s="345">
        <f>C6*Assumptions!$C$16</f>
        <v>254102520</v>
      </c>
      <c r="E6" s="391">
        <f>Assumptions!$H$3</f>
        <v>1.1863330000000001</v>
      </c>
      <c r="F6" s="297">
        <f>Assumptions!$C$115</f>
        <v>3.7854100000000002</v>
      </c>
      <c r="G6" s="422">
        <f>448.79/1000</f>
        <v>0.44879000000000002</v>
      </c>
      <c r="H6" s="301">
        <f>G6*F6*E6</f>
        <v>2.015406744958649</v>
      </c>
      <c r="I6" s="427">
        <f>18.51/1000</f>
        <v>1.8510000000000002E-2</v>
      </c>
      <c r="J6" s="286">
        <f>I6*F6*E6</f>
        <v>8.312390839632032E-2</v>
      </c>
      <c r="K6" s="322"/>
      <c r="L6" s="329">
        <f t="shared" ref="L6:L26" si="2">K6*H6</f>
        <v>0</v>
      </c>
      <c r="M6" s="281">
        <f t="shared" ref="M6:M26" si="3">K6*J6</f>
        <v>0</v>
      </c>
      <c r="N6" s="281">
        <f>M6+L6</f>
        <v>0</v>
      </c>
      <c r="O6" s="314">
        <f t="shared" ref="O6:O26" si="4">L6*D6</f>
        <v>0</v>
      </c>
      <c r="P6" s="1053">
        <f t="shared" ref="P6:P39" si="5">J6+N6</f>
        <v>8.312390839632032E-2</v>
      </c>
      <c r="Q6" s="1047">
        <f t="shared" ref="Q6:Q65" si="6">P6*D6</f>
        <v>21121994.59575415</v>
      </c>
      <c r="R6" s="268">
        <f t="shared" ref="R6:R26" si="7">M6+J6</f>
        <v>8.312390839632032E-2</v>
      </c>
      <c r="S6" s="366">
        <f t="shared" ref="S6:S26" si="8">D6*R6</f>
        <v>21121994.59575415</v>
      </c>
      <c r="T6" s="336">
        <f>-'OECD distillate subsidies'!E51</f>
        <v>0</v>
      </c>
      <c r="U6" s="342">
        <f t="shared" ref="U6:U26" si="9">T6*E6</f>
        <v>0</v>
      </c>
      <c r="V6" s="111">
        <f t="shared" ref="V6:V26" si="10">S6+U6</f>
        <v>21121994.59575415</v>
      </c>
      <c r="W6" s="281">
        <f t="shared" si="0"/>
        <v>2.0985306533549695</v>
      </c>
      <c r="X6" s="342">
        <f t="shared" si="1"/>
        <v>533241927.31474417</v>
      </c>
    </row>
    <row r="7" spans="1:24" x14ac:dyDescent="0.6">
      <c r="A7" s="46">
        <f>A6+1</f>
        <v>3</v>
      </c>
      <c r="B7" s="44" t="s">
        <v>1</v>
      </c>
      <c r="C7" s="290">
        <v>12</v>
      </c>
      <c r="D7" s="345">
        <f>C7*Assumptions!$C$16</f>
        <v>3759840</v>
      </c>
      <c r="E7" s="391">
        <f>Assumptions!$H$15</f>
        <v>4.5997000000000003E-2</v>
      </c>
      <c r="F7" s="297">
        <f>Assumptions!$C$115</f>
        <v>3.7854100000000002</v>
      </c>
      <c r="G7" s="386">
        <f>12333/1000</f>
        <v>12.333</v>
      </c>
      <c r="H7" s="301">
        <f>G7*F7*E7</f>
        <v>2.1473911739954104</v>
      </c>
      <c r="I7" s="428">
        <f>660/1000</f>
        <v>0.66</v>
      </c>
      <c r="J7" s="286">
        <f t="shared" ref="J7:J39" si="11">I7*F7*E7</f>
        <v>0.11491755248820003</v>
      </c>
      <c r="K7" s="322"/>
      <c r="L7" s="329">
        <f t="shared" si="2"/>
        <v>0</v>
      </c>
      <c r="M7" s="281">
        <f t="shared" si="3"/>
        <v>0</v>
      </c>
      <c r="N7" s="281">
        <f t="shared" ref="N7:N39" si="12">M7+L7</f>
        <v>0</v>
      </c>
      <c r="O7" s="314">
        <f t="shared" si="4"/>
        <v>0</v>
      </c>
      <c r="P7" s="1053">
        <f t="shared" si="5"/>
        <v>0.11491755248820003</v>
      </c>
      <c r="Q7" s="1047">
        <f t="shared" si="6"/>
        <v>432071.61054723401</v>
      </c>
      <c r="R7" s="268">
        <f t="shared" si="7"/>
        <v>0.11491755248820003</v>
      </c>
      <c r="S7" s="366">
        <f t="shared" si="8"/>
        <v>432071.61054723401</v>
      </c>
      <c r="T7" s="336">
        <f>-'OECD distillate subsidies'!E60</f>
        <v>0</v>
      </c>
      <c r="U7" s="342">
        <f t="shared" si="9"/>
        <v>0</v>
      </c>
      <c r="V7" s="111">
        <f t="shared" si="10"/>
        <v>432071.61054723401</v>
      </c>
      <c r="W7" s="281">
        <f t="shared" si="0"/>
        <v>2.2623087264836106</v>
      </c>
      <c r="X7" s="342">
        <f t="shared" si="1"/>
        <v>8505918.8421821389</v>
      </c>
    </row>
    <row r="8" spans="1:24" x14ac:dyDescent="0.6">
      <c r="A8" s="46">
        <f t="shared" ref="A8:A26" si="13">A7+1</f>
        <v>4</v>
      </c>
      <c r="B8" s="44" t="s">
        <v>2</v>
      </c>
      <c r="C8" s="290">
        <v>52</v>
      </c>
      <c r="D8" s="345">
        <f>C8*Assumptions!$C$16</f>
        <v>16292640</v>
      </c>
      <c r="E8" s="391">
        <f>Assumptions!$H$16</f>
        <v>0.15934999999999999</v>
      </c>
      <c r="F8" s="297">
        <f>Assumptions!$C$115</f>
        <v>3.7854100000000002</v>
      </c>
      <c r="G8" s="423">
        <f>4860/1000</f>
        <v>4.8600000000000003</v>
      </c>
      <c r="H8" s="301">
        <f>G8*F8*E8</f>
        <v>2.93157670581</v>
      </c>
      <c r="I8" s="429">
        <f>498/1000</f>
        <v>0.498</v>
      </c>
      <c r="J8" s="286">
        <f t="shared" si="11"/>
        <v>0.30039613158299999</v>
      </c>
      <c r="K8" s="322"/>
      <c r="L8" s="329">
        <f t="shared" si="2"/>
        <v>0</v>
      </c>
      <c r="M8" s="281">
        <f t="shared" si="3"/>
        <v>0</v>
      </c>
      <c r="N8" s="281">
        <f t="shared" si="12"/>
        <v>0</v>
      </c>
      <c r="O8" s="314">
        <f t="shared" si="4"/>
        <v>0</v>
      </c>
      <c r="P8" s="1053">
        <f t="shared" si="5"/>
        <v>0.30039613158299999</v>
      </c>
      <c r="Q8" s="1047">
        <f t="shared" si="6"/>
        <v>4894246.0292744488</v>
      </c>
      <c r="R8" s="268">
        <f t="shared" si="7"/>
        <v>0.30039613158299999</v>
      </c>
      <c r="S8" s="366">
        <f t="shared" si="8"/>
        <v>4894246.0292744488</v>
      </c>
      <c r="T8" s="336">
        <f>-'OECD distillate subsidies'!E63</f>
        <v>0</v>
      </c>
      <c r="U8" s="342">
        <f t="shared" si="9"/>
        <v>0</v>
      </c>
      <c r="V8" s="111">
        <f t="shared" si="10"/>
        <v>4894246.0292744488</v>
      </c>
      <c r="W8" s="281">
        <f t="shared" si="0"/>
        <v>3.2319728373930001</v>
      </c>
      <c r="X8" s="342">
        <f t="shared" si="1"/>
        <v>52657369.929422691</v>
      </c>
    </row>
    <row r="9" spans="1:24" x14ac:dyDescent="0.6">
      <c r="A9" s="46">
        <f t="shared" si="13"/>
        <v>5</v>
      </c>
      <c r="B9" s="44" t="s">
        <v>3</v>
      </c>
      <c r="C9" s="290">
        <v>6427</v>
      </c>
      <c r="D9" s="345">
        <f>C9*Assumptions!$C$16</f>
        <v>2013707640</v>
      </c>
      <c r="E9" s="391">
        <f>Assumptions!$H$3</f>
        <v>1.1863330000000001</v>
      </c>
      <c r="F9" s="297">
        <f>Assumptions!$C$115</f>
        <v>3.7854100000000002</v>
      </c>
      <c r="G9" s="422">
        <f>362.85/1000</f>
        <v>0.36285000000000001</v>
      </c>
      <c r="H9" s="301">
        <f>'Res dist'!H9</f>
        <v>1.7469043957951702</v>
      </c>
      <c r="I9" s="427">
        <f>61.35/1000</f>
        <v>6.1350000000000002E-2</v>
      </c>
      <c r="J9" s="286">
        <f t="shared" si="11"/>
        <v>0.27550792977386551</v>
      </c>
      <c r="K9" s="322"/>
      <c r="L9" s="329">
        <f t="shared" si="2"/>
        <v>0</v>
      </c>
      <c r="M9" s="281">
        <f t="shared" si="3"/>
        <v>0</v>
      </c>
      <c r="N9" s="281">
        <f t="shared" si="12"/>
        <v>0</v>
      </c>
      <c r="O9" s="314">
        <f t="shared" si="4"/>
        <v>0</v>
      </c>
      <c r="P9" s="1053">
        <f t="shared" si="5"/>
        <v>0.27550792977386551</v>
      </c>
      <c r="Q9" s="1047">
        <f t="shared" si="6"/>
        <v>554792423.06621647</v>
      </c>
      <c r="R9" s="268">
        <f t="shared" si="7"/>
        <v>0.27550792977386551</v>
      </c>
      <c r="S9" s="366">
        <f t="shared" si="8"/>
        <v>554792423.06621647</v>
      </c>
      <c r="T9" s="336">
        <f>-'OECD distillate subsidies'!E69</f>
        <v>0</v>
      </c>
      <c r="U9" s="342">
        <f t="shared" si="9"/>
        <v>0</v>
      </c>
      <c r="V9" s="111">
        <f t="shared" si="10"/>
        <v>554792423.06621647</v>
      </c>
      <c r="W9" s="281">
        <f t="shared" si="0"/>
        <v>2.0224123255690358</v>
      </c>
      <c r="X9" s="342">
        <f t="shared" si="1"/>
        <v>4072547151.2285347</v>
      </c>
    </row>
    <row r="10" spans="1:24" x14ac:dyDescent="0.6">
      <c r="A10" s="46">
        <f t="shared" si="13"/>
        <v>6</v>
      </c>
      <c r="B10" s="44" t="s">
        <v>4</v>
      </c>
      <c r="C10" s="290">
        <v>28</v>
      </c>
      <c r="D10" s="345">
        <f>C10*Assumptions!$C$16</f>
        <v>8772960</v>
      </c>
      <c r="E10" s="391">
        <f>Assumptions!$H$3</f>
        <v>1.1863330000000001</v>
      </c>
      <c r="F10" s="297">
        <f>Assumptions!$C$115</f>
        <v>3.7854100000000002</v>
      </c>
      <c r="G10" s="422">
        <f>515.93/1000</f>
        <v>0.51593</v>
      </c>
      <c r="H10" s="301">
        <f t="shared" ref="H10:H16" si="14">G10*F10*E10</f>
        <v>2.3169161566133734</v>
      </c>
      <c r="I10" s="427">
        <f>110.95/1000</f>
        <v>0.11095000000000001</v>
      </c>
      <c r="J10" s="286">
        <f t="shared" si="11"/>
        <v>0.4982494671297536</v>
      </c>
      <c r="K10" s="322"/>
      <c r="L10" s="329">
        <f t="shared" si="2"/>
        <v>0</v>
      </c>
      <c r="M10" s="281">
        <f t="shared" si="3"/>
        <v>0</v>
      </c>
      <c r="N10" s="281">
        <f t="shared" si="12"/>
        <v>0</v>
      </c>
      <c r="O10" s="314">
        <f t="shared" si="4"/>
        <v>0</v>
      </c>
      <c r="P10" s="1053">
        <f t="shared" si="5"/>
        <v>0.4982494671297536</v>
      </c>
      <c r="Q10" s="1047">
        <f t="shared" si="6"/>
        <v>4371122.6451506428</v>
      </c>
      <c r="R10" s="268">
        <f t="shared" si="7"/>
        <v>0.4982494671297536</v>
      </c>
      <c r="S10" s="366">
        <f t="shared" si="8"/>
        <v>4371122.6451506428</v>
      </c>
      <c r="T10" s="336">
        <f>-'OECD distillate subsidies'!E76</f>
        <v>0</v>
      </c>
      <c r="U10" s="342">
        <f t="shared" si="9"/>
        <v>0</v>
      </c>
      <c r="V10" s="111">
        <f t="shared" si="10"/>
        <v>4371122.6451506428</v>
      </c>
      <c r="W10" s="281">
        <f t="shared" si="0"/>
        <v>2.8151656237431268</v>
      </c>
      <c r="X10" s="342">
        <f t="shared" si="1"/>
        <v>24697335.410473503</v>
      </c>
    </row>
    <row r="11" spans="1:24" x14ac:dyDescent="0.6">
      <c r="A11" s="46">
        <f t="shared" si="13"/>
        <v>7</v>
      </c>
      <c r="B11" s="44" t="s">
        <v>5</v>
      </c>
      <c r="C11" s="290">
        <v>58</v>
      </c>
      <c r="D11" s="345">
        <f>C11*Assumptions!$C$16</f>
        <v>18172560</v>
      </c>
      <c r="E11" s="391">
        <f>Assumptions!$H$3</f>
        <v>1.1863330000000001</v>
      </c>
      <c r="F11" s="297">
        <f>Assumptions!$C$115</f>
        <v>3.7854100000000002</v>
      </c>
      <c r="G11" s="422">
        <f>555.27/1000</f>
        <v>0.55526999999999993</v>
      </c>
      <c r="H11" s="301">
        <f t="shared" si="14"/>
        <v>2.4935825291855629</v>
      </c>
      <c r="I11" s="427">
        <f>230/1000</f>
        <v>0.23</v>
      </c>
      <c r="J11" s="286">
        <f t="shared" si="11"/>
        <v>1.0328740643519001</v>
      </c>
      <c r="K11" s="322"/>
      <c r="L11" s="329">
        <f t="shared" si="2"/>
        <v>0</v>
      </c>
      <c r="M11" s="281">
        <f t="shared" si="3"/>
        <v>0</v>
      </c>
      <c r="N11" s="281">
        <f t="shared" si="12"/>
        <v>0</v>
      </c>
      <c r="O11" s="314">
        <f t="shared" si="4"/>
        <v>0</v>
      </c>
      <c r="P11" s="1053">
        <f t="shared" si="5"/>
        <v>1.0328740643519001</v>
      </c>
      <c r="Q11" s="1047">
        <f t="shared" si="6"/>
        <v>18769965.906878766</v>
      </c>
      <c r="R11" s="268">
        <f t="shared" si="7"/>
        <v>1.0328740643519001</v>
      </c>
      <c r="S11" s="366">
        <f t="shared" si="8"/>
        <v>18769965.906878766</v>
      </c>
      <c r="T11" s="336">
        <f>-'OECD distillate subsidies'!E82+'OECD distillate subsidies'!E82</f>
        <v>0</v>
      </c>
      <c r="U11" s="342">
        <f t="shared" si="9"/>
        <v>0</v>
      </c>
      <c r="V11" s="111">
        <f t="shared" si="10"/>
        <v>18769965.906878766</v>
      </c>
      <c r="W11" s="281">
        <f t="shared" si="0"/>
        <v>3.5264565935374632</v>
      </c>
      <c r="X11" s="342">
        <f t="shared" si="1"/>
        <v>64084744.033455163</v>
      </c>
    </row>
    <row r="12" spans="1:24" x14ac:dyDescent="0.6">
      <c r="A12" s="46">
        <f t="shared" si="13"/>
        <v>8</v>
      </c>
      <c r="B12" s="44" t="s">
        <v>6</v>
      </c>
      <c r="C12" s="290">
        <v>820</v>
      </c>
      <c r="D12" s="345">
        <f>C12*Assumptions!$C$16</f>
        <v>256922400</v>
      </c>
      <c r="E12" s="391">
        <f>Assumptions!$H$3</f>
        <v>1.1863330000000001</v>
      </c>
      <c r="F12" s="297">
        <f>Assumptions!$C$115</f>
        <v>3.7854100000000002</v>
      </c>
      <c r="G12" s="422">
        <f>418/1000</f>
        <v>0.41799999999999998</v>
      </c>
      <c r="H12" s="301">
        <f t="shared" si="14"/>
        <v>1.8771363430395402</v>
      </c>
      <c r="I12" s="427">
        <f>87.6/1000</f>
        <v>8.7599999999999997E-2</v>
      </c>
      <c r="J12" s="286">
        <f t="shared" si="11"/>
        <v>0.39339029581402801</v>
      </c>
      <c r="K12" s="322"/>
      <c r="L12" s="329">
        <f t="shared" si="2"/>
        <v>0</v>
      </c>
      <c r="M12" s="281">
        <f t="shared" si="3"/>
        <v>0</v>
      </c>
      <c r="N12" s="281">
        <f t="shared" si="12"/>
        <v>0</v>
      </c>
      <c r="O12" s="314">
        <f t="shared" si="4"/>
        <v>0</v>
      </c>
      <c r="P12" s="1053">
        <f t="shared" si="5"/>
        <v>0.39339029581402801</v>
      </c>
      <c r="Q12" s="1047">
        <f t="shared" si="6"/>
        <v>101070778.93725003</v>
      </c>
      <c r="R12" s="268">
        <f t="shared" si="7"/>
        <v>0.39339029581402801</v>
      </c>
      <c r="S12" s="366">
        <f t="shared" si="8"/>
        <v>101070778.93725003</v>
      </c>
      <c r="T12" s="336">
        <f>-'OECD distillate subsidies'!E91</f>
        <v>-94800000</v>
      </c>
      <c r="U12" s="342">
        <f t="shared" si="9"/>
        <v>-112464368.40000001</v>
      </c>
      <c r="V12" s="111">
        <f t="shared" si="10"/>
        <v>-11393589.462749973</v>
      </c>
      <c r="W12" s="281">
        <f t="shared" si="0"/>
        <v>2.2705266388535681</v>
      </c>
      <c r="X12" s="342">
        <f t="shared" si="1"/>
        <v>470884784.91819203</v>
      </c>
    </row>
    <row r="13" spans="1:24" x14ac:dyDescent="0.6">
      <c r="A13" s="46">
        <f t="shared" si="13"/>
        <v>9</v>
      </c>
      <c r="B13" s="44" t="s">
        <v>7</v>
      </c>
      <c r="C13" s="290">
        <v>1926</v>
      </c>
      <c r="D13" s="345">
        <f>C13*Assumptions!$C$16</f>
        <v>603454320</v>
      </c>
      <c r="E13" s="391">
        <f>Assumptions!$H$3</f>
        <v>1.1863330000000001</v>
      </c>
      <c r="F13" s="297">
        <f>Assumptions!$C$115</f>
        <v>3.7854100000000002</v>
      </c>
      <c r="G13" s="422">
        <f>414.3/1000</f>
        <v>0.4143</v>
      </c>
      <c r="H13" s="301">
        <f t="shared" si="14"/>
        <v>1.8605205428738791</v>
      </c>
      <c r="I13" s="427">
        <f>76.4/1000</f>
        <v>7.640000000000001E-2</v>
      </c>
      <c r="J13" s="286">
        <f t="shared" si="11"/>
        <v>0.34309381963689206</v>
      </c>
      <c r="K13" s="322"/>
      <c r="L13" s="329">
        <f t="shared" si="2"/>
        <v>0</v>
      </c>
      <c r="M13" s="281">
        <f t="shared" si="3"/>
        <v>0</v>
      </c>
      <c r="N13" s="281">
        <f t="shared" si="12"/>
        <v>0</v>
      </c>
      <c r="O13" s="314">
        <f t="shared" si="4"/>
        <v>0</v>
      </c>
      <c r="P13" s="1053">
        <f t="shared" si="5"/>
        <v>0.34309381963689206</v>
      </c>
      <c r="Q13" s="1047">
        <f t="shared" si="6"/>
        <v>207041447.62518334</v>
      </c>
      <c r="R13" s="268">
        <f t="shared" si="7"/>
        <v>0.34309381963689206</v>
      </c>
      <c r="S13" s="366">
        <f t="shared" si="8"/>
        <v>207041447.62518334</v>
      </c>
      <c r="T13" s="336">
        <f>-'OECD distillate subsidies'!E95</f>
        <v>0</v>
      </c>
      <c r="U13" s="342">
        <f t="shared" si="9"/>
        <v>0</v>
      </c>
      <c r="V13" s="111">
        <f t="shared" si="10"/>
        <v>207041447.62518334</v>
      </c>
      <c r="W13" s="281">
        <f t="shared" si="0"/>
        <v>2.2036143625107711</v>
      </c>
      <c r="X13" s="342">
        <f t="shared" si="1"/>
        <v>1329780606.6711709</v>
      </c>
    </row>
    <row r="14" spans="1:24" x14ac:dyDescent="0.6">
      <c r="A14" s="46">
        <f t="shared" si="13"/>
        <v>10</v>
      </c>
      <c r="B14" s="44" t="s">
        <v>8</v>
      </c>
      <c r="C14" s="290">
        <v>225</v>
      </c>
      <c r="D14" s="345">
        <f>C14*Assumptions!$C$16</f>
        <v>70497000</v>
      </c>
      <c r="E14" s="391">
        <f>Assumptions!$H$3</f>
        <v>1.1863330000000001</v>
      </c>
      <c r="F14" s="297">
        <f>Assumptions!$C$115</f>
        <v>3.7854100000000002</v>
      </c>
      <c r="G14" s="422">
        <f>467.74/1000</f>
        <v>0.46773999999999999</v>
      </c>
      <c r="H14" s="301">
        <f t="shared" si="14"/>
        <v>2.1005065863476426</v>
      </c>
      <c r="I14" s="427">
        <f>47.36/1000</f>
        <v>4.7359999999999999E-2</v>
      </c>
      <c r="J14" s="286">
        <f t="shared" si="11"/>
        <v>0.21268224212046083</v>
      </c>
      <c r="K14" s="322"/>
      <c r="L14" s="329">
        <f t="shared" si="2"/>
        <v>0</v>
      </c>
      <c r="M14" s="281">
        <f t="shared" si="3"/>
        <v>0</v>
      </c>
      <c r="N14" s="281">
        <f t="shared" si="12"/>
        <v>0</v>
      </c>
      <c r="O14" s="314">
        <f t="shared" si="4"/>
        <v>0</v>
      </c>
      <c r="P14" s="1053">
        <f t="shared" si="5"/>
        <v>0.21268224212046083</v>
      </c>
      <c r="Q14" s="1047">
        <f t="shared" si="6"/>
        <v>14993460.022766126</v>
      </c>
      <c r="R14" s="268">
        <f t="shared" si="7"/>
        <v>0.21268224212046083</v>
      </c>
      <c r="S14" s="366">
        <f t="shared" si="8"/>
        <v>14993460.022766126</v>
      </c>
      <c r="T14" s="336">
        <f>-'OECD distillate subsidies'!E112</f>
        <v>0</v>
      </c>
      <c r="U14" s="342">
        <f t="shared" si="9"/>
        <v>0</v>
      </c>
      <c r="V14" s="111">
        <f t="shared" si="10"/>
        <v>14993460.022766126</v>
      </c>
      <c r="W14" s="281">
        <f t="shared" si="0"/>
        <v>2.3131888284681033</v>
      </c>
      <c r="X14" s="342">
        <f t="shared" si="1"/>
        <v>163072872.84051588</v>
      </c>
    </row>
    <row r="15" spans="1:24" x14ac:dyDescent="0.6">
      <c r="A15" s="46">
        <f t="shared" si="13"/>
        <v>11</v>
      </c>
      <c r="B15" s="44" t="s">
        <v>9</v>
      </c>
      <c r="C15" s="290">
        <v>150</v>
      </c>
      <c r="D15" s="345">
        <f>C15*Assumptions!$C$16</f>
        <v>46998000</v>
      </c>
      <c r="E15" s="391">
        <f>Assumptions!$H$3</f>
        <v>1.1863330000000001</v>
      </c>
      <c r="F15" s="297">
        <f>Assumptions!$C$115</f>
        <v>3.7854100000000002</v>
      </c>
      <c r="G15" s="422">
        <f>571.45/1000</f>
        <v>0.57145000000000001</v>
      </c>
      <c r="H15" s="301">
        <f t="shared" si="14"/>
        <v>2.5662429742343189</v>
      </c>
      <c r="I15" s="427">
        <f>403.21/1000</f>
        <v>0.40320999999999996</v>
      </c>
      <c r="J15" s="286">
        <f t="shared" si="11"/>
        <v>1.8107180499449111</v>
      </c>
      <c r="K15" s="322"/>
      <c r="L15" s="329">
        <f t="shared" si="2"/>
        <v>0</v>
      </c>
      <c r="M15" s="281">
        <f t="shared" si="3"/>
        <v>0</v>
      </c>
      <c r="N15" s="281">
        <f t="shared" si="12"/>
        <v>0</v>
      </c>
      <c r="O15" s="314">
        <f t="shared" si="4"/>
        <v>0</v>
      </c>
      <c r="P15" s="1053">
        <f t="shared" si="5"/>
        <v>1.8107180499449111</v>
      </c>
      <c r="Q15" s="1047">
        <f t="shared" si="6"/>
        <v>85100126.911310941</v>
      </c>
      <c r="R15" s="268">
        <f t="shared" si="7"/>
        <v>1.8107180499449111</v>
      </c>
      <c r="S15" s="366">
        <f t="shared" si="8"/>
        <v>85100126.911310941</v>
      </c>
      <c r="T15" s="336">
        <f>-'OECD distillate subsidies'!E121</f>
        <v>-31670000</v>
      </c>
      <c r="U15" s="342">
        <f t="shared" si="9"/>
        <v>-37571166.109999999</v>
      </c>
      <c r="V15" s="111">
        <f t="shared" si="10"/>
        <v>47528960.801310942</v>
      </c>
      <c r="W15" s="281">
        <f t="shared" si="0"/>
        <v>4.3769610241792298</v>
      </c>
      <c r="X15" s="342">
        <f t="shared" si="1"/>
        <v>168137248.10437542</v>
      </c>
    </row>
    <row r="16" spans="1:24" x14ac:dyDescent="0.6">
      <c r="A16" s="46">
        <f t="shared" si="13"/>
        <v>12</v>
      </c>
      <c r="B16" s="44" t="s">
        <v>10</v>
      </c>
      <c r="C16" s="290">
        <v>69</v>
      </c>
      <c r="D16" s="345">
        <f>C16*Assumptions!$C$16</f>
        <v>21619080</v>
      </c>
      <c r="E16" s="391">
        <f>Assumptions!$H$3</f>
        <v>1.1863330000000001</v>
      </c>
      <c r="F16" s="297">
        <f>Assumptions!$C$115</f>
        <v>3.7854100000000002</v>
      </c>
      <c r="G16" s="422">
        <f>458.43/1000</f>
        <v>0.45843</v>
      </c>
      <c r="H16" s="301">
        <f t="shared" si="14"/>
        <v>2.0586976405253981</v>
      </c>
      <c r="I16" s="427">
        <f>21/1000</f>
        <v>2.1000000000000001E-2</v>
      </c>
      <c r="J16" s="286">
        <f t="shared" si="11"/>
        <v>9.430589283213002E-2</v>
      </c>
      <c r="K16" s="322"/>
      <c r="L16" s="329">
        <f t="shared" si="2"/>
        <v>0</v>
      </c>
      <c r="M16" s="281">
        <f t="shared" si="3"/>
        <v>0</v>
      </c>
      <c r="N16" s="281">
        <f t="shared" si="12"/>
        <v>0</v>
      </c>
      <c r="O16" s="314">
        <f t="shared" si="4"/>
        <v>0</v>
      </c>
      <c r="P16" s="1053">
        <f t="shared" si="5"/>
        <v>9.430589283213002E-2</v>
      </c>
      <c r="Q16" s="1047">
        <f t="shared" si="6"/>
        <v>2038806.6416092454</v>
      </c>
      <c r="R16" s="268">
        <f t="shared" si="7"/>
        <v>9.430589283213002E-2</v>
      </c>
      <c r="S16" s="366">
        <f t="shared" si="8"/>
        <v>2038806.6416092454</v>
      </c>
      <c r="T16" s="336">
        <f>-'OECD distillate subsidies'!E144</f>
        <v>0</v>
      </c>
      <c r="U16" s="342">
        <f t="shared" si="9"/>
        <v>0</v>
      </c>
      <c r="V16" s="111">
        <f t="shared" si="10"/>
        <v>2038806.6416092454</v>
      </c>
      <c r="W16" s="281">
        <f t="shared" si="0"/>
        <v>2.1530035333575279</v>
      </c>
      <c r="X16" s="342">
        <f t="shared" si="1"/>
        <v>46545955.627939068</v>
      </c>
    </row>
    <row r="17" spans="1:24" x14ac:dyDescent="0.6">
      <c r="A17" s="46">
        <f t="shared" si="13"/>
        <v>13</v>
      </c>
      <c r="B17" s="44" t="s">
        <v>11</v>
      </c>
      <c r="C17" s="290">
        <v>19</v>
      </c>
      <c r="D17" s="345">
        <f>C17*Assumptions!$C$16</f>
        <v>5953080</v>
      </c>
      <c r="E17" s="391">
        <f>Assumptions!$H$17</f>
        <v>3.8049999999999998E-3</v>
      </c>
      <c r="F17" s="297">
        <f>Assumptions!$C$115</f>
        <v>3.7854100000000002</v>
      </c>
      <c r="G17" s="459"/>
      <c r="H17" s="301">
        <f>'Res dist'!H17</f>
        <v>1.4924603139108998</v>
      </c>
      <c r="I17" s="468"/>
      <c r="J17" s="286">
        <f t="shared" si="11"/>
        <v>0</v>
      </c>
      <c r="K17" s="322">
        <v>0.27</v>
      </c>
      <c r="L17" s="329">
        <f t="shared" si="2"/>
        <v>0.40296428475594298</v>
      </c>
      <c r="M17" s="281">
        <f t="shared" si="3"/>
        <v>0</v>
      </c>
      <c r="N17" s="281">
        <f t="shared" si="12"/>
        <v>0.40296428475594298</v>
      </c>
      <c r="O17" s="314">
        <f t="shared" si="4"/>
        <v>2398878.6242949092</v>
      </c>
      <c r="P17" s="1053">
        <f t="shared" si="5"/>
        <v>0.40296428475594298</v>
      </c>
      <c r="Q17" s="1047">
        <f t="shared" si="6"/>
        <v>2398878.6242949092</v>
      </c>
      <c r="R17" s="268">
        <f t="shared" si="7"/>
        <v>0</v>
      </c>
      <c r="S17" s="366">
        <f t="shared" si="8"/>
        <v>0</v>
      </c>
      <c r="T17" s="336">
        <f>-'OECD distillate subsidies'!E146</f>
        <v>0</v>
      </c>
      <c r="U17" s="342">
        <f t="shared" si="9"/>
        <v>0</v>
      </c>
      <c r="V17" s="111">
        <f t="shared" si="10"/>
        <v>0</v>
      </c>
      <c r="W17" s="281">
        <f t="shared" si="0"/>
        <v>1.8954245986668428</v>
      </c>
      <c r="X17" s="342">
        <f t="shared" si="1"/>
        <v>11283614.269831609</v>
      </c>
    </row>
    <row r="18" spans="1:24" x14ac:dyDescent="0.6">
      <c r="A18" s="46">
        <f t="shared" si="13"/>
        <v>14</v>
      </c>
      <c r="B18" s="44" t="s">
        <v>12</v>
      </c>
      <c r="C18" s="290">
        <v>100</v>
      </c>
      <c r="D18" s="345">
        <f>C18*Assumptions!$C$16</f>
        <v>31332000</v>
      </c>
      <c r="E18" s="391">
        <f>Assumptions!$H$3</f>
        <v>1.1863330000000001</v>
      </c>
      <c r="F18" s="297">
        <f>Assumptions!$C$115</f>
        <v>3.7854100000000002</v>
      </c>
      <c r="G18" s="422">
        <f>360.35/1000</f>
        <v>0.36035</v>
      </c>
      <c r="H18" s="301">
        <f>G18*F18*E18</f>
        <v>1.6182442134313357</v>
      </c>
      <c r="I18" s="427">
        <f>490.06/1000</f>
        <v>0.49006</v>
      </c>
      <c r="J18" s="286">
        <f t="shared" si="11"/>
        <v>2.2007402781577921</v>
      </c>
      <c r="K18" s="322"/>
      <c r="L18" s="329">
        <f t="shared" si="2"/>
        <v>0</v>
      </c>
      <c r="M18" s="281">
        <f t="shared" si="3"/>
        <v>0</v>
      </c>
      <c r="N18" s="281">
        <f t="shared" si="12"/>
        <v>0</v>
      </c>
      <c r="O18" s="314">
        <f t="shared" si="4"/>
        <v>0</v>
      </c>
      <c r="P18" s="1053">
        <f t="shared" si="5"/>
        <v>2.2007402781577921</v>
      </c>
      <c r="Q18" s="1047">
        <f t="shared" si="6"/>
        <v>68953594.395239934</v>
      </c>
      <c r="R18" s="268">
        <f t="shared" si="7"/>
        <v>2.2007402781577921</v>
      </c>
      <c r="S18" s="366">
        <f t="shared" si="8"/>
        <v>68953594.395239934</v>
      </c>
      <c r="T18" s="336">
        <f>-'OECD distillate subsidies'!E150</f>
        <v>0</v>
      </c>
      <c r="U18" s="342">
        <f t="shared" si="9"/>
        <v>0</v>
      </c>
      <c r="V18" s="111">
        <f t="shared" si="10"/>
        <v>68953594.395239934</v>
      </c>
      <c r="W18" s="281">
        <f t="shared" si="0"/>
        <v>3.818984491589128</v>
      </c>
      <c r="X18" s="342">
        <f t="shared" si="1"/>
        <v>119656422.09047055</v>
      </c>
    </row>
    <row r="19" spans="1:24" x14ac:dyDescent="0.6">
      <c r="A19" s="46">
        <f t="shared" si="13"/>
        <v>15</v>
      </c>
      <c r="B19" s="44" t="s">
        <v>13</v>
      </c>
      <c r="C19" s="290">
        <v>221</v>
      </c>
      <c r="D19" s="345">
        <f>C19*Assumptions!$C$16</f>
        <v>69243720</v>
      </c>
      <c r="E19" s="391">
        <f>Assumptions!$H$3</f>
        <v>1.1863330000000001</v>
      </c>
      <c r="F19" s="297">
        <f>Assumptions!$C$115</f>
        <v>3.7854100000000002</v>
      </c>
      <c r="G19" s="422">
        <f>357.44/1000</f>
        <v>0.35743999999999998</v>
      </c>
      <c r="H19" s="301">
        <f>G19*F19*E19</f>
        <v>1.6051761111388834</v>
      </c>
      <c r="I19" s="427">
        <f>109.18/1000</f>
        <v>0.10918000000000001</v>
      </c>
      <c r="J19" s="286">
        <f t="shared" si="11"/>
        <v>0.49030082759104554</v>
      </c>
      <c r="K19" s="322"/>
      <c r="L19" s="329">
        <f t="shared" si="2"/>
        <v>0</v>
      </c>
      <c r="M19" s="281">
        <f t="shared" si="3"/>
        <v>0</v>
      </c>
      <c r="N19" s="281">
        <f t="shared" si="12"/>
        <v>0</v>
      </c>
      <c r="O19" s="314">
        <f t="shared" si="4"/>
        <v>0</v>
      </c>
      <c r="P19" s="1053">
        <f t="shared" si="5"/>
        <v>0.49030082759104554</v>
      </c>
      <c r="Q19" s="1047">
        <f t="shared" si="6"/>
        <v>33950253.221482635</v>
      </c>
      <c r="R19" s="268">
        <f t="shared" si="7"/>
        <v>0.49030082759104554</v>
      </c>
      <c r="S19" s="366">
        <f t="shared" si="8"/>
        <v>33950253.221482635</v>
      </c>
      <c r="T19" s="336">
        <f>-'OECD distillate subsidies'!E152</f>
        <v>0</v>
      </c>
      <c r="U19" s="342">
        <f t="shared" si="9"/>
        <v>0</v>
      </c>
      <c r="V19" s="111">
        <f t="shared" si="10"/>
        <v>33950253.221482635</v>
      </c>
      <c r="W19" s="281">
        <f t="shared" si="0"/>
        <v>2.095476938729929</v>
      </c>
      <c r="X19" s="342">
        <f t="shared" si="1"/>
        <v>145098618.41187236</v>
      </c>
    </row>
    <row r="20" spans="1:24" x14ac:dyDescent="0.6">
      <c r="A20" s="46">
        <f t="shared" si="13"/>
        <v>16</v>
      </c>
      <c r="B20" s="44" t="s">
        <v>14</v>
      </c>
      <c r="C20" s="290">
        <v>336</v>
      </c>
      <c r="D20" s="345">
        <f>C20*Assumptions!$C$16</f>
        <v>105275520</v>
      </c>
      <c r="E20" s="391">
        <f>Assumptions!$H$18</f>
        <v>0.28262100000000001</v>
      </c>
      <c r="F20" s="297">
        <f>Assumptions!$C$115</f>
        <v>3.7854100000000002</v>
      </c>
      <c r="G20" s="424">
        <f>2070/1000</f>
        <v>2.0699999999999998</v>
      </c>
      <c r="H20" s="301">
        <f>G20*F20*E20</f>
        <v>2.2145612643927</v>
      </c>
      <c r="I20" s="431">
        <f>232/1000</f>
        <v>0.23200000000000001</v>
      </c>
      <c r="J20" s="286">
        <f t="shared" si="11"/>
        <v>0.24820203542952005</v>
      </c>
      <c r="K20" s="322"/>
      <c r="L20" s="329">
        <f t="shared" si="2"/>
        <v>0</v>
      </c>
      <c r="M20" s="281">
        <f t="shared" si="3"/>
        <v>0</v>
      </c>
      <c r="N20" s="281">
        <f t="shared" si="12"/>
        <v>0</v>
      </c>
      <c r="O20" s="314">
        <f t="shared" si="4"/>
        <v>0</v>
      </c>
      <c r="P20" s="1053">
        <f t="shared" si="5"/>
        <v>0.24820203542952005</v>
      </c>
      <c r="Q20" s="1047">
        <f t="shared" si="6"/>
        <v>26129598.344901145</v>
      </c>
      <c r="R20" s="268">
        <f t="shared" si="7"/>
        <v>0.24820203542952005</v>
      </c>
      <c r="S20" s="366">
        <f t="shared" si="8"/>
        <v>26129598.344901145</v>
      </c>
      <c r="T20" s="336">
        <f>-'OECD distillate subsidies'!E159</f>
        <v>0</v>
      </c>
      <c r="U20" s="342">
        <f t="shared" si="9"/>
        <v>0</v>
      </c>
      <c r="V20" s="111">
        <f t="shared" si="10"/>
        <v>26129598.344901145</v>
      </c>
      <c r="W20" s="281">
        <f t="shared" si="0"/>
        <v>2.4627632998222202</v>
      </c>
      <c r="X20" s="342">
        <f t="shared" si="1"/>
        <v>259268687.02570015</v>
      </c>
    </row>
    <row r="21" spans="1:24" x14ac:dyDescent="0.6">
      <c r="A21" s="46">
        <f t="shared" si="13"/>
        <v>17</v>
      </c>
      <c r="B21" s="44" t="s">
        <v>15</v>
      </c>
      <c r="C21" s="290">
        <v>52</v>
      </c>
      <c r="D21" s="345">
        <f>C21*Assumptions!$C$16</f>
        <v>16292640</v>
      </c>
      <c r="E21" s="391">
        <f>Assumptions!$H$3</f>
        <v>1.1863330000000001</v>
      </c>
      <c r="F21" s="297">
        <f>Assumptions!$C$115</f>
        <v>3.7854100000000002</v>
      </c>
      <c r="G21" s="422"/>
      <c r="H21" s="301">
        <f>'Res dist'!H21</f>
        <v>2.0792203991083902</v>
      </c>
      <c r="I21" s="427"/>
      <c r="J21" s="286">
        <f t="shared" si="11"/>
        <v>0</v>
      </c>
      <c r="K21" s="322">
        <v>0.23</v>
      </c>
      <c r="L21" s="329">
        <f t="shared" si="2"/>
        <v>0.47822069179492976</v>
      </c>
      <c r="M21" s="281">
        <f t="shared" si="3"/>
        <v>0</v>
      </c>
      <c r="N21" s="281">
        <f t="shared" si="12"/>
        <v>0.47822069179492976</v>
      </c>
      <c r="O21" s="314">
        <f t="shared" si="4"/>
        <v>7791477.5719657447</v>
      </c>
      <c r="P21" s="1053">
        <f t="shared" si="5"/>
        <v>0.47822069179492976</v>
      </c>
      <c r="Q21" s="1047">
        <f t="shared" si="6"/>
        <v>7791477.5719657447</v>
      </c>
      <c r="R21" s="268">
        <f t="shared" si="7"/>
        <v>0</v>
      </c>
      <c r="S21" s="366">
        <f t="shared" si="8"/>
        <v>0</v>
      </c>
      <c r="T21" s="336">
        <f>-'OECD distillate subsidies'!E162</f>
        <v>0</v>
      </c>
      <c r="U21" s="342">
        <f t="shared" si="9"/>
        <v>0</v>
      </c>
      <c r="V21" s="111">
        <f t="shared" si="10"/>
        <v>0</v>
      </c>
      <c r="W21" s="281">
        <f t="shared" si="0"/>
        <v>2.5574410909033198</v>
      </c>
      <c r="X21" s="342">
        <f t="shared" si="1"/>
        <v>41667467.015295066</v>
      </c>
    </row>
    <row r="22" spans="1:24" x14ac:dyDescent="0.6">
      <c r="A22" s="46">
        <f t="shared" si="13"/>
        <v>18</v>
      </c>
      <c r="B22" s="44" t="s">
        <v>16</v>
      </c>
      <c r="C22" s="290">
        <v>72</v>
      </c>
      <c r="D22" s="345">
        <f>C22*Assumptions!$C$16</f>
        <v>22559040</v>
      </c>
      <c r="E22" s="391">
        <f>Assumptions!$H$3</f>
        <v>1.1863330000000001</v>
      </c>
      <c r="F22" s="297">
        <f>Assumptions!$C$115</f>
        <v>3.7854100000000002</v>
      </c>
      <c r="G22" s="422">
        <f>445.7/1000</f>
        <v>0.44569999999999999</v>
      </c>
      <c r="H22" s="301">
        <f>G22*F22*E22</f>
        <v>2.0015303064419214</v>
      </c>
      <c r="I22" s="427">
        <f>239.4/1000</f>
        <v>0.2394</v>
      </c>
      <c r="J22" s="286">
        <f t="shared" si="11"/>
        <v>1.0750871782862821</v>
      </c>
      <c r="K22" s="322"/>
      <c r="L22" s="329">
        <f t="shared" si="2"/>
        <v>0</v>
      </c>
      <c r="M22" s="281">
        <f t="shared" si="3"/>
        <v>0</v>
      </c>
      <c r="N22" s="281">
        <f t="shared" si="12"/>
        <v>0</v>
      </c>
      <c r="O22" s="314">
        <f t="shared" si="4"/>
        <v>0</v>
      </c>
      <c r="P22" s="1053">
        <f t="shared" si="5"/>
        <v>1.0750871782862821</v>
      </c>
      <c r="Q22" s="1047">
        <f t="shared" si="6"/>
        <v>24252934.65844737</v>
      </c>
      <c r="R22" s="268">
        <f t="shared" si="7"/>
        <v>1.0750871782862821</v>
      </c>
      <c r="S22" s="366">
        <f t="shared" si="8"/>
        <v>24252934.65844737</v>
      </c>
      <c r="T22" s="336">
        <f>-'OECD distillate subsidies'!E171</f>
        <v>-43878334</v>
      </c>
      <c r="U22" s="342">
        <f t="shared" si="9"/>
        <v>-52054315.609222002</v>
      </c>
      <c r="V22" s="111">
        <f t="shared" si="10"/>
        <v>-27801380.950774632</v>
      </c>
      <c r="W22" s="281">
        <f t="shared" si="0"/>
        <v>3.0766174847282035</v>
      </c>
      <c r="X22" s="342">
        <f t="shared" si="1"/>
        <v>17351221.293460928</v>
      </c>
    </row>
    <row r="23" spans="1:24" x14ac:dyDescent="0.6">
      <c r="A23" s="46">
        <f t="shared" si="13"/>
        <v>19</v>
      </c>
      <c r="B23" s="44" t="s">
        <v>17</v>
      </c>
      <c r="C23" s="290">
        <v>6</v>
      </c>
      <c r="D23" s="345">
        <f>C23*Assumptions!$C$16</f>
        <v>1879920</v>
      </c>
      <c r="E23" s="391">
        <f>Assumptions!$H$3</f>
        <v>1.1863330000000001</v>
      </c>
      <c r="F23" s="297">
        <f>Assumptions!$C$115</f>
        <v>3.7854100000000002</v>
      </c>
      <c r="G23" s="422">
        <f>494.7/1000</f>
        <v>0.49469999999999997</v>
      </c>
      <c r="H23" s="301">
        <f>G23*F23*E23</f>
        <v>2.2215773897168911</v>
      </c>
      <c r="I23" s="427"/>
      <c r="J23" s="286">
        <f t="shared" si="11"/>
        <v>0</v>
      </c>
      <c r="K23" s="322"/>
      <c r="L23" s="329">
        <f t="shared" si="2"/>
        <v>0</v>
      </c>
      <c r="M23" s="281">
        <f t="shared" si="3"/>
        <v>0</v>
      </c>
      <c r="N23" s="281">
        <f t="shared" si="12"/>
        <v>0</v>
      </c>
      <c r="O23" s="314">
        <f t="shared" si="4"/>
        <v>0</v>
      </c>
      <c r="P23" s="1053">
        <f t="shared" si="5"/>
        <v>0</v>
      </c>
      <c r="Q23" s="1047">
        <f t="shared" si="6"/>
        <v>0</v>
      </c>
      <c r="R23" s="268">
        <f t="shared" si="7"/>
        <v>0</v>
      </c>
      <c r="S23" s="366">
        <f t="shared" si="8"/>
        <v>0</v>
      </c>
      <c r="T23" s="336">
        <f>-'OECD distillate subsidies'!E178</f>
        <v>0</v>
      </c>
      <c r="U23" s="342">
        <f t="shared" si="9"/>
        <v>0</v>
      </c>
      <c r="V23" s="111">
        <f t="shared" si="10"/>
        <v>0</v>
      </c>
      <c r="W23" s="281">
        <f t="shared" si="0"/>
        <v>2.2215773897168911</v>
      </c>
      <c r="X23" s="342">
        <f t="shared" si="1"/>
        <v>4176387.7664765781</v>
      </c>
    </row>
    <row r="24" spans="1:24" x14ac:dyDescent="0.6">
      <c r="A24" s="46">
        <f t="shared" si="13"/>
        <v>20</v>
      </c>
      <c r="B24" s="44" t="s">
        <v>18</v>
      </c>
      <c r="C24" s="290">
        <v>187</v>
      </c>
      <c r="D24" s="345">
        <f>C24*Assumptions!$C$16</f>
        <v>58590840</v>
      </c>
      <c r="E24" s="391">
        <f>Assumptions!$H$3</f>
        <v>1.1863330000000001</v>
      </c>
      <c r="F24" s="297">
        <f>Assumptions!$C$115</f>
        <v>3.7854100000000002</v>
      </c>
      <c r="G24" s="422">
        <f>499.07/1000</f>
        <v>0.49907000000000001</v>
      </c>
      <c r="H24" s="301">
        <f>G24*F24*E24</f>
        <v>2.2412019969395773</v>
      </c>
      <c r="I24" s="427">
        <f>163.43/1000</f>
        <v>0.16343000000000002</v>
      </c>
      <c r="J24" s="286">
        <f t="shared" si="11"/>
        <v>0.73392438407404803</v>
      </c>
      <c r="K24" s="322"/>
      <c r="L24" s="329">
        <f t="shared" si="2"/>
        <v>0</v>
      </c>
      <c r="M24" s="281">
        <f t="shared" si="3"/>
        <v>0</v>
      </c>
      <c r="N24" s="281">
        <f t="shared" si="12"/>
        <v>0</v>
      </c>
      <c r="O24" s="314">
        <f t="shared" si="4"/>
        <v>0</v>
      </c>
      <c r="P24" s="1053">
        <f t="shared" si="5"/>
        <v>0.73392438407404803</v>
      </c>
      <c r="Q24" s="1047">
        <f t="shared" si="6"/>
        <v>43001246.159381099</v>
      </c>
      <c r="R24" s="268">
        <f t="shared" si="7"/>
        <v>0.73392438407404803</v>
      </c>
      <c r="S24" s="366">
        <f t="shared" si="8"/>
        <v>43001246.159381099</v>
      </c>
      <c r="T24" s="336">
        <f>-'OECD distillate subsidies'!E180</f>
        <v>0</v>
      </c>
      <c r="U24" s="342">
        <f t="shared" si="9"/>
        <v>0</v>
      </c>
      <c r="V24" s="111">
        <f t="shared" si="10"/>
        <v>43001246.159381099</v>
      </c>
      <c r="W24" s="281">
        <f t="shared" si="0"/>
        <v>2.9751263810136255</v>
      </c>
      <c r="X24" s="342">
        <f t="shared" si="1"/>
        <v>174315153.76974836</v>
      </c>
    </row>
    <row r="25" spans="1:24" x14ac:dyDescent="0.6">
      <c r="A25" s="46">
        <f t="shared" si="13"/>
        <v>21</v>
      </c>
      <c r="B25" s="44" t="s">
        <v>19</v>
      </c>
      <c r="C25" s="290">
        <v>217</v>
      </c>
      <c r="D25" s="345">
        <f>C25*Assumptions!$C$16</f>
        <v>67990440</v>
      </c>
      <c r="E25" s="391">
        <f>Assumptions!$H$19</f>
        <v>0.119739</v>
      </c>
      <c r="F25" s="297">
        <f>Assumptions!$C$115</f>
        <v>3.7854100000000002</v>
      </c>
      <c r="G25" s="425">
        <f>3865/1000</f>
        <v>3.8650000000000002</v>
      </c>
      <c r="H25" s="301">
        <f>G25*F25*E25</f>
        <v>1.7518545688813503</v>
      </c>
      <c r="I25" s="432">
        <f>2186/1000</f>
        <v>2.1859999999999999</v>
      </c>
      <c r="J25" s="286">
        <f t="shared" si="11"/>
        <v>0.99082900066613999</v>
      </c>
      <c r="K25" s="322"/>
      <c r="L25" s="329">
        <f t="shared" si="2"/>
        <v>0</v>
      </c>
      <c r="M25" s="281">
        <f t="shared" si="3"/>
        <v>0</v>
      </c>
      <c r="N25" s="281">
        <f t="shared" si="12"/>
        <v>0</v>
      </c>
      <c r="O25" s="314">
        <f t="shared" si="4"/>
        <v>0</v>
      </c>
      <c r="P25" s="1053">
        <f t="shared" si="5"/>
        <v>0.99082900066613999</v>
      </c>
      <c r="Q25" s="1047">
        <f t="shared" si="6"/>
        <v>67366899.720051154</v>
      </c>
      <c r="R25" s="268">
        <f t="shared" si="7"/>
        <v>0.99082900066613999</v>
      </c>
      <c r="S25" s="366">
        <f t="shared" si="8"/>
        <v>67366899.720051154</v>
      </c>
      <c r="T25" s="336">
        <f>-'OECD distillate subsidies'!E187</f>
        <v>0</v>
      </c>
      <c r="U25" s="342">
        <f t="shared" si="9"/>
        <v>0</v>
      </c>
      <c r="V25" s="111">
        <f t="shared" si="10"/>
        <v>67366899.720051154</v>
      </c>
      <c r="W25" s="281">
        <f t="shared" si="0"/>
        <v>2.7426835695474905</v>
      </c>
      <c r="X25" s="342">
        <f t="shared" si="1"/>
        <v>186476262.67430449</v>
      </c>
    </row>
    <row r="26" spans="1:24" ht="15.9" thickBot="1" x14ac:dyDescent="0.65">
      <c r="A26" s="15">
        <f t="shared" si="13"/>
        <v>22</v>
      </c>
      <c r="B26" s="47" t="s">
        <v>20</v>
      </c>
      <c r="C26" s="291">
        <v>602</v>
      </c>
      <c r="D26" s="347">
        <f>C26*Assumptions!$C$16</f>
        <v>188618640</v>
      </c>
      <c r="E26" s="419">
        <f>Assumptions!$H$20</f>
        <v>1.337591</v>
      </c>
      <c r="F26" s="299">
        <f>Assumptions!$C$115</f>
        <v>3.7854100000000002</v>
      </c>
      <c r="G26" s="421">
        <f>353.9/1000</f>
        <v>0.35389999999999999</v>
      </c>
      <c r="H26" s="371">
        <f>G26*F26*E26</f>
        <v>1.7919126099130089</v>
      </c>
      <c r="I26" s="440">
        <f>111.4/1000</f>
        <v>0.1114</v>
      </c>
      <c r="J26" s="308">
        <f t="shared" si="11"/>
        <v>0.56405500069033399</v>
      </c>
      <c r="K26" s="359"/>
      <c r="L26" s="334">
        <f t="shared" si="2"/>
        <v>0</v>
      </c>
      <c r="M26" s="318">
        <f t="shared" si="3"/>
        <v>0</v>
      </c>
      <c r="N26" s="318">
        <f t="shared" si="12"/>
        <v>0</v>
      </c>
      <c r="O26" s="319">
        <f t="shared" si="4"/>
        <v>0</v>
      </c>
      <c r="P26" s="1054">
        <f t="shared" si="5"/>
        <v>0.56405500069033399</v>
      </c>
      <c r="Q26" s="1048">
        <f t="shared" si="6"/>
        <v>106391287.11540985</v>
      </c>
      <c r="R26" s="269">
        <f t="shared" si="7"/>
        <v>0.56405500069033399</v>
      </c>
      <c r="S26" s="368">
        <f t="shared" si="8"/>
        <v>106391287.11540985</v>
      </c>
      <c r="T26" s="340">
        <f>-'OECD distillate subsidies'!E202</f>
        <v>0</v>
      </c>
      <c r="U26" s="344">
        <f t="shared" si="9"/>
        <v>0</v>
      </c>
      <c r="V26" s="163">
        <f t="shared" si="10"/>
        <v>106391287.11540985</v>
      </c>
      <c r="W26" s="318">
        <f t="shared" si="0"/>
        <v>2.3559676106033427</v>
      </c>
      <c r="X26" s="344">
        <f t="shared" si="1"/>
        <v>444379406.59605205</v>
      </c>
    </row>
    <row r="27" spans="1:24" ht="15.9" thickTop="1" x14ac:dyDescent="0.6">
      <c r="A27" s="48" t="s">
        <v>392</v>
      </c>
      <c r="B27" s="44"/>
      <c r="C27" s="290"/>
      <c r="D27" s="345"/>
      <c r="E27" s="399"/>
      <c r="F27" s="297"/>
      <c r="G27" s="383"/>
      <c r="H27" s="301"/>
      <c r="I27" s="457"/>
      <c r="J27" s="306"/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</row>
    <row r="28" spans="1:24" x14ac:dyDescent="0.6">
      <c r="A28" s="61">
        <f>A26+1</f>
        <v>23</v>
      </c>
      <c r="B28" s="44" t="s">
        <v>38</v>
      </c>
      <c r="C28" s="290">
        <v>1581</v>
      </c>
      <c r="D28" s="345">
        <f>C28*Assumptions!$C$16</f>
        <v>495358920</v>
      </c>
      <c r="E28" s="399">
        <f>Assumptions!$H$4</f>
        <v>0.78824099999999997</v>
      </c>
      <c r="F28" s="297">
        <f>Assumptions!$C$115</f>
        <v>3.7854100000000002</v>
      </c>
      <c r="G28" s="441">
        <f>624.93/1000</f>
        <v>0.62492999999999999</v>
      </c>
      <c r="H28" s="301">
        <f>G28*F28*E28</f>
        <v>1.8646757353057832</v>
      </c>
      <c r="I28" s="447">
        <f>26.87/1000</f>
        <v>2.6870000000000002E-2</v>
      </c>
      <c r="J28" s="306">
        <f t="shared" si="11"/>
        <v>8.0175118825574695E-2</v>
      </c>
      <c r="K28" s="1072">
        <v>0.05</v>
      </c>
      <c r="L28" s="329">
        <f t="shared" ref="L28:L34" si="15">K28*H28</f>
        <v>9.3233786765289164E-2</v>
      </c>
      <c r="M28" s="320">
        <f t="shared" ref="M28:M34" si="16">K28*J28</f>
        <v>4.0087559412787348E-3</v>
      </c>
      <c r="N28" s="320">
        <f t="shared" si="12"/>
        <v>9.7242542706567903E-2</v>
      </c>
      <c r="O28" s="314">
        <f t="shared" ref="O28:O34" si="17">L28*D28</f>
        <v>46184187.919563934</v>
      </c>
      <c r="P28" s="1053">
        <f t="shared" si="5"/>
        <v>0.17741766153214261</v>
      </c>
      <c r="Q28" s="1047">
        <f t="shared" si="6"/>
        <v>87885421.205487713</v>
      </c>
      <c r="R28" s="310">
        <f t="shared" ref="R28:R34" si="18">M28+J28</f>
        <v>8.4183874766853434E-2</v>
      </c>
      <c r="S28" s="366">
        <f t="shared" ref="S28:S34" si="19">D28*R28</f>
        <v>41701233.285923772</v>
      </c>
      <c r="T28" s="336">
        <f>-'OECD distillate subsidies'!E208</f>
        <v>-400000</v>
      </c>
      <c r="U28" s="342">
        <f t="shared" ref="U28:U34" si="20">T28*E28</f>
        <v>-315296.39999999997</v>
      </c>
      <c r="V28" s="111">
        <f t="shared" ref="V28:V34" si="21">S28+U28</f>
        <v>41385936.885923773</v>
      </c>
      <c r="W28" s="320">
        <f t="shared" si="0"/>
        <v>2.042093396837926</v>
      </c>
      <c r="X28" s="342">
        <f t="shared" ref="X28:X34" si="22">W28*D28+U28</f>
        <v>1011253883.1967665</v>
      </c>
    </row>
    <row r="29" spans="1:24" x14ac:dyDescent="0.6">
      <c r="A29" s="61">
        <f t="shared" ref="A29:A34" si="23">A28+1</f>
        <v>24</v>
      </c>
      <c r="B29" s="44" t="s">
        <v>39</v>
      </c>
      <c r="C29" s="290">
        <v>115</v>
      </c>
      <c r="D29" s="345">
        <f>C29*Assumptions!$C$16</f>
        <v>36031800</v>
      </c>
      <c r="E29" s="399">
        <f>Assumptions!$H$5</f>
        <v>0.12035</v>
      </c>
      <c r="F29" s="297">
        <f>Assumptions!$C$115</f>
        <v>3.7854100000000002</v>
      </c>
      <c r="G29" s="425">
        <f>6249/1000</f>
        <v>6.2489999999999997</v>
      </c>
      <c r="H29" s="301">
        <f>G29*F29*E29</f>
        <v>2.8468825102815001</v>
      </c>
      <c r="I29" s="432">
        <f>1599/1000</f>
        <v>1.599</v>
      </c>
      <c r="J29" s="306">
        <f t="shared" si="11"/>
        <v>0.72846297550650008</v>
      </c>
      <c r="K29" s="322"/>
      <c r="L29" s="329">
        <f t="shared" si="15"/>
        <v>0</v>
      </c>
      <c r="M29" s="320">
        <f t="shared" si="16"/>
        <v>0</v>
      </c>
      <c r="N29" s="320">
        <f t="shared" si="12"/>
        <v>0</v>
      </c>
      <c r="O29" s="314">
        <f t="shared" si="17"/>
        <v>0</v>
      </c>
      <c r="P29" s="1053">
        <f t="shared" si="5"/>
        <v>0.72846297550650008</v>
      </c>
      <c r="Q29" s="1047">
        <f t="shared" si="6"/>
        <v>26247832.240855109</v>
      </c>
      <c r="R29" s="310">
        <f t="shared" si="18"/>
        <v>0.72846297550650008</v>
      </c>
      <c r="S29" s="366">
        <f t="shared" si="19"/>
        <v>26247832.240855109</v>
      </c>
      <c r="T29" s="336">
        <f>-'OECD distillate subsidies'!E243</f>
        <v>0</v>
      </c>
      <c r="U29" s="342">
        <f t="shared" si="20"/>
        <v>0</v>
      </c>
      <c r="V29" s="111">
        <f t="shared" si="21"/>
        <v>26247832.240855109</v>
      </c>
      <c r="W29" s="320">
        <f t="shared" si="0"/>
        <v>3.575345485788</v>
      </c>
      <c r="X29" s="342">
        <f t="shared" si="22"/>
        <v>128826133.47481605</v>
      </c>
    </row>
    <row r="30" spans="1:24" x14ac:dyDescent="0.6">
      <c r="A30" s="61">
        <f t="shared" si="23"/>
        <v>25</v>
      </c>
      <c r="B30" s="44" t="s">
        <v>40</v>
      </c>
      <c r="C30" s="290">
        <v>789</v>
      </c>
      <c r="D30" s="345">
        <f>C30*Assumptions!$C$16</f>
        <v>247209480</v>
      </c>
      <c r="E30" s="399">
        <f>Assumptions!$H$6</f>
        <v>1.010632</v>
      </c>
      <c r="F30" s="297">
        <f>Assumptions!$C$115</f>
        <v>3.7854100000000002</v>
      </c>
      <c r="G30" s="443">
        <f>471.9/1000</f>
        <v>0.47189999999999999</v>
      </c>
      <c r="H30" s="301">
        <f>G30*F30*E30</f>
        <v>1.8053272924967281</v>
      </c>
      <c r="I30" s="449">
        <f>163.2/1000</f>
        <v>0.16319999999999998</v>
      </c>
      <c r="J30" s="306">
        <f t="shared" si="11"/>
        <v>0.62434713739238401</v>
      </c>
      <c r="K30" s="322"/>
      <c r="L30" s="329">
        <f t="shared" si="15"/>
        <v>0</v>
      </c>
      <c r="M30" s="320">
        <f t="shared" si="16"/>
        <v>0</v>
      </c>
      <c r="N30" s="320">
        <f t="shared" si="12"/>
        <v>0</v>
      </c>
      <c r="O30" s="314">
        <f t="shared" si="17"/>
        <v>0</v>
      </c>
      <c r="P30" s="1053">
        <f t="shared" si="5"/>
        <v>0.62434713739238401</v>
      </c>
      <c r="Q30" s="1047">
        <f t="shared" si="6"/>
        <v>154344531.17425981</v>
      </c>
      <c r="R30" s="310">
        <f t="shared" si="18"/>
        <v>0.62434713739238401</v>
      </c>
      <c r="S30" s="366">
        <f t="shared" si="19"/>
        <v>154344531.17425981</v>
      </c>
      <c r="T30" s="336">
        <f>-'OECD distillate subsidies'!E254</f>
        <v>-2073527</v>
      </c>
      <c r="U30" s="342">
        <f t="shared" si="20"/>
        <v>-2095572.7390639998</v>
      </c>
      <c r="V30" s="111">
        <f t="shared" si="21"/>
        <v>152248958.4351958</v>
      </c>
      <c r="W30" s="320">
        <f t="shared" si="0"/>
        <v>2.4296744298891122</v>
      </c>
      <c r="X30" s="342">
        <f t="shared" si="22"/>
        <v>598542979.64311993</v>
      </c>
    </row>
    <row r="31" spans="1:24" x14ac:dyDescent="0.6">
      <c r="A31" s="46">
        <f t="shared" si="23"/>
        <v>26</v>
      </c>
      <c r="B31" s="44" t="s">
        <v>31</v>
      </c>
      <c r="C31" s="290">
        <v>6528</v>
      </c>
      <c r="D31" s="345">
        <f>C31*Assumptions!$C$16</f>
        <v>2045352960</v>
      </c>
      <c r="E31" s="399">
        <f>Assumptions!$H$7</f>
        <v>8.829E-3</v>
      </c>
      <c r="F31" s="297">
        <f>Assumptions!$C$115</f>
        <v>3.7854100000000002</v>
      </c>
      <c r="G31" s="484">
        <f>64533/1000</f>
        <v>64.533000000000001</v>
      </c>
      <c r="H31" s="301">
        <f>G31*F31*E31</f>
        <v>2.1567822311063702</v>
      </c>
      <c r="I31" s="469">
        <f>2540/1000</f>
        <v>2.54</v>
      </c>
      <c r="J31" s="306">
        <f t="shared" si="11"/>
        <v>8.4890317620600009E-2</v>
      </c>
      <c r="K31" s="322">
        <v>0.08</v>
      </c>
      <c r="L31" s="329">
        <f t="shared" si="15"/>
        <v>0.17254257848850962</v>
      </c>
      <c r="M31" s="320">
        <f t="shared" si="16"/>
        <v>6.791225409648001E-3</v>
      </c>
      <c r="N31" s="320">
        <f t="shared" si="12"/>
        <v>0.17933380389815762</v>
      </c>
      <c r="O31" s="314">
        <f t="shared" si="17"/>
        <v>352910473.63750547</v>
      </c>
      <c r="P31" s="1053">
        <f t="shared" si="5"/>
        <v>0.26422412151875763</v>
      </c>
      <c r="Q31" s="1047">
        <f t="shared" si="6"/>
        <v>540431589.0517906</v>
      </c>
      <c r="R31" s="310">
        <f t="shared" si="18"/>
        <v>9.1681543030248003E-2</v>
      </c>
      <c r="S31" s="366">
        <f t="shared" si="19"/>
        <v>187521115.41428512</v>
      </c>
      <c r="T31" s="336">
        <f>-'OECD distillate subsidies'!E263</f>
        <v>0</v>
      </c>
      <c r="U31" s="342">
        <f t="shared" si="20"/>
        <v>0</v>
      </c>
      <c r="V31" s="111">
        <f t="shared" si="21"/>
        <v>187521115.41428512</v>
      </c>
      <c r="W31" s="320">
        <f t="shared" si="0"/>
        <v>2.4210063526251284</v>
      </c>
      <c r="X31" s="342">
        <f t="shared" si="22"/>
        <v>4951812509.5206099</v>
      </c>
    </row>
    <row r="32" spans="1:24" x14ac:dyDescent="0.6">
      <c r="A32" s="46">
        <f t="shared" si="23"/>
        <v>27</v>
      </c>
      <c r="B32" s="44" t="s">
        <v>47</v>
      </c>
      <c r="C32" s="290">
        <v>522</v>
      </c>
      <c r="D32" s="345">
        <f>C32*Assumptions!$C$16</f>
        <v>163553040</v>
      </c>
      <c r="E32" s="399">
        <f>Assumptions!$H$8</f>
        <v>9.3000000000000005E-4</v>
      </c>
      <c r="F32" s="297">
        <f>Assumptions!$C$115</f>
        <v>3.7854100000000002</v>
      </c>
      <c r="G32" s="485"/>
      <c r="H32" s="1132">
        <f>I67</f>
        <v>2.27</v>
      </c>
      <c r="I32" s="470">
        <f>72450/1000</f>
        <v>72.45</v>
      </c>
      <c r="J32" s="306">
        <f t="shared" si="11"/>
        <v>0.25505524768500004</v>
      </c>
      <c r="K32" s="322">
        <v>0.1</v>
      </c>
      <c r="L32" s="329">
        <f t="shared" si="15"/>
        <v>0.22700000000000001</v>
      </c>
      <c r="M32" s="320">
        <f t="shared" si="16"/>
        <v>2.5505524768500005E-2</v>
      </c>
      <c r="N32" s="320">
        <f t="shared" si="12"/>
        <v>0.25250552476850002</v>
      </c>
      <c r="O32" s="314">
        <f t="shared" si="17"/>
        <v>37126540.079999998</v>
      </c>
      <c r="P32" s="1053">
        <f t="shared" si="5"/>
        <v>0.50756077245350006</v>
      </c>
      <c r="Q32" s="1047">
        <f t="shared" si="6"/>
        <v>83013107.319518194</v>
      </c>
      <c r="R32" s="310">
        <f t="shared" si="18"/>
        <v>0.28056077245350003</v>
      </c>
      <c r="S32" s="366">
        <f t="shared" si="19"/>
        <v>45886567.239518188</v>
      </c>
      <c r="T32" s="336">
        <f>-'OECD distillate subsidies'!E268</f>
        <v>0</v>
      </c>
      <c r="U32" s="342">
        <f t="shared" si="20"/>
        <v>0</v>
      </c>
      <c r="V32" s="111">
        <f t="shared" si="21"/>
        <v>45886567.239518188</v>
      </c>
      <c r="W32" s="320">
        <f t="shared" si="0"/>
        <v>2.7775607724535005</v>
      </c>
      <c r="X32" s="342">
        <f t="shared" si="22"/>
        <v>454278508.11951828</v>
      </c>
    </row>
    <row r="33" spans="1:26" x14ac:dyDescent="0.6">
      <c r="A33" s="46">
        <f t="shared" si="23"/>
        <v>28</v>
      </c>
      <c r="B33" s="44" t="s">
        <v>32</v>
      </c>
      <c r="C33" s="290">
        <v>637</v>
      </c>
      <c r="D33" s="345">
        <f>C33*Assumptions!$C$16</f>
        <v>199584840</v>
      </c>
      <c r="E33" s="399">
        <f>Assumptions!$H$9</f>
        <v>0.77382200000000001</v>
      </c>
      <c r="F33" s="297">
        <f>Assumptions!$C$115</f>
        <v>3.7854100000000002</v>
      </c>
      <c r="G33" s="389"/>
      <c r="H33" s="1132">
        <f>'Res dist'!H33</f>
        <v>2.27</v>
      </c>
      <c r="I33" s="447"/>
      <c r="J33" s="306">
        <f t="shared" si="11"/>
        <v>0</v>
      </c>
      <c r="K33" s="322">
        <v>0.1</v>
      </c>
      <c r="L33" s="329">
        <f t="shared" si="15"/>
        <v>0.22700000000000001</v>
      </c>
      <c r="M33" s="320">
        <f t="shared" si="16"/>
        <v>0</v>
      </c>
      <c r="N33" s="320">
        <f t="shared" si="12"/>
        <v>0.22700000000000001</v>
      </c>
      <c r="O33" s="314">
        <f t="shared" si="17"/>
        <v>45305758.68</v>
      </c>
      <c r="P33" s="1053">
        <f t="shared" si="5"/>
        <v>0.22700000000000001</v>
      </c>
      <c r="Q33" s="1047">
        <f t="shared" si="6"/>
        <v>45305758.68</v>
      </c>
      <c r="R33" s="310">
        <f t="shared" si="18"/>
        <v>0</v>
      </c>
      <c r="S33" s="366">
        <f t="shared" si="19"/>
        <v>0</v>
      </c>
      <c r="T33" s="336">
        <f>-'OECD distillate subsidies'!E274</f>
        <v>-611690000</v>
      </c>
      <c r="U33" s="342">
        <f t="shared" si="20"/>
        <v>-473339179.18000001</v>
      </c>
      <c r="V33" s="111">
        <f t="shared" si="21"/>
        <v>-473339179.18000001</v>
      </c>
      <c r="W33" s="320">
        <f t="shared" si="0"/>
        <v>2.4970000000000003</v>
      </c>
      <c r="X33" s="342">
        <f t="shared" si="22"/>
        <v>25024166.300000072</v>
      </c>
    </row>
    <row r="34" spans="1:26" ht="15.9" thickBot="1" x14ac:dyDescent="0.65">
      <c r="A34" s="15">
        <f t="shared" si="23"/>
        <v>29</v>
      </c>
      <c r="B34" s="47" t="s">
        <v>33</v>
      </c>
      <c r="C34" s="291">
        <v>101</v>
      </c>
      <c r="D34" s="347">
        <f>C34*Assumptions!$C$16</f>
        <v>31645320</v>
      </c>
      <c r="E34" s="417">
        <f>Assumptions!$H$10</f>
        <v>0.70460400000000001</v>
      </c>
      <c r="F34" s="299">
        <f>Assumptions!$C$115</f>
        <v>3.7854100000000002</v>
      </c>
      <c r="G34" s="445">
        <f>617.5/1000</f>
        <v>0.61750000000000005</v>
      </c>
      <c r="H34" s="371">
        <f>G34*F34*E34</f>
        <v>1.6470052795677002</v>
      </c>
      <c r="I34" s="471"/>
      <c r="J34" s="309">
        <f t="shared" si="11"/>
        <v>0</v>
      </c>
      <c r="K34" s="359"/>
      <c r="L34" s="334">
        <f t="shared" si="15"/>
        <v>0</v>
      </c>
      <c r="M34" s="321">
        <f t="shared" si="16"/>
        <v>0</v>
      </c>
      <c r="N34" s="321">
        <f t="shared" si="12"/>
        <v>0</v>
      </c>
      <c r="O34" s="319">
        <f t="shared" si="17"/>
        <v>0</v>
      </c>
      <c r="P34" s="1054">
        <f t="shared" si="5"/>
        <v>0</v>
      </c>
      <c r="Q34" s="1048">
        <f t="shared" si="6"/>
        <v>0</v>
      </c>
      <c r="R34" s="312">
        <f t="shared" si="18"/>
        <v>0</v>
      </c>
      <c r="S34" s="368">
        <f t="shared" si="19"/>
        <v>0</v>
      </c>
      <c r="T34" s="340">
        <f>-'OECD distillate subsidies'!E291</f>
        <v>0</v>
      </c>
      <c r="U34" s="344">
        <f t="shared" si="20"/>
        <v>0</v>
      </c>
      <c r="V34" s="163">
        <f t="shared" si="21"/>
        <v>0</v>
      </c>
      <c r="W34" s="321">
        <f t="shared" si="0"/>
        <v>1.6470052795677002</v>
      </c>
      <c r="X34" s="344">
        <f t="shared" si="22"/>
        <v>52120009.113609336</v>
      </c>
    </row>
    <row r="35" spans="1:26" ht="15.9" thickTop="1" x14ac:dyDescent="0.6">
      <c r="A35" s="49" t="s">
        <v>393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</row>
    <row r="36" spans="1:26" x14ac:dyDescent="0.6">
      <c r="A36" s="73">
        <f>A34+1</f>
        <v>30</v>
      </c>
      <c r="B36" s="50" t="s">
        <v>46</v>
      </c>
      <c r="C36" s="290">
        <v>11251</v>
      </c>
      <c r="D36" s="348">
        <f>C36*Assumptions!$C$16</f>
        <v>3525163320</v>
      </c>
      <c r="E36" s="399">
        <f>Assumptions!$H$11</f>
        <v>0.152529</v>
      </c>
      <c r="F36" s="297">
        <f>Assumptions!$C$115</f>
        <v>3.7854100000000002</v>
      </c>
      <c r="G36" s="295"/>
      <c r="H36" s="666">
        <f>'Res dist'!H36</f>
        <v>1.63</v>
      </c>
      <c r="I36" s="1058">
        <v>1.2</v>
      </c>
      <c r="J36" s="306">
        <f t="shared" si="11"/>
        <v>0.692861762268</v>
      </c>
      <c r="K36" s="322">
        <v>0.17</v>
      </c>
      <c r="L36" s="329">
        <f>K36*H36</f>
        <v>0.27710000000000001</v>
      </c>
      <c r="M36" s="320">
        <f>K36*J36</f>
        <v>0.11778649958556001</v>
      </c>
      <c r="N36" s="320">
        <f t="shared" si="12"/>
        <v>0.39488649958555999</v>
      </c>
      <c r="O36" s="314">
        <f>L36*D36</f>
        <v>976822755.972</v>
      </c>
      <c r="P36" s="1053">
        <f t="shared" si="5"/>
        <v>1.0877482618535601</v>
      </c>
      <c r="Q36" s="1047">
        <f t="shared" si="6"/>
        <v>3834490274.0799251</v>
      </c>
      <c r="R36" s="310">
        <f>M36+J36</f>
        <v>0.81064826185355998</v>
      </c>
      <c r="S36" s="366">
        <f>D36*R36</f>
        <v>2857667518.1079249</v>
      </c>
      <c r="T36" s="336">
        <f>-'OECD distillate subsidies'!E293</f>
        <v>0</v>
      </c>
      <c r="U36" s="342">
        <f>T36*E36</f>
        <v>0</v>
      </c>
      <c r="V36" s="111">
        <f>S36+U36</f>
        <v>2857667518.1079249</v>
      </c>
      <c r="W36" s="320">
        <f t="shared" ref="W36:W39" si="24">(H36+J36)*(1+K36)</f>
        <v>2.7177482618535596</v>
      </c>
      <c r="X36" s="342">
        <f>W36*D36+U36</f>
        <v>9580506485.679924</v>
      </c>
      <c r="Y36" s="10"/>
    </row>
    <row r="37" spans="1:26" x14ac:dyDescent="0.6">
      <c r="A37" s="46">
        <f>A36+1</f>
        <v>31</v>
      </c>
      <c r="B37" s="50" t="s">
        <v>49</v>
      </c>
      <c r="C37" s="290">
        <v>0</v>
      </c>
      <c r="D37" s="348">
        <f>C37*Assumptions!$C$16</f>
        <v>0</v>
      </c>
      <c r="E37" s="399">
        <f>Assumptions!$H$12</f>
        <v>1.5587E-2</v>
      </c>
      <c r="F37" s="297">
        <f>Assumptions!$C$115</f>
        <v>3.7854100000000002</v>
      </c>
      <c r="G37" s="1073"/>
      <c r="H37" s="1132">
        <f>'Res dist'!H37</f>
        <v>0</v>
      </c>
      <c r="I37" s="1074"/>
      <c r="J37" s="306">
        <f t="shared" si="11"/>
        <v>0</v>
      </c>
      <c r="K37" s="322">
        <v>0.25</v>
      </c>
      <c r="L37" s="329">
        <f>K37*H37</f>
        <v>0</v>
      </c>
      <c r="M37" s="320">
        <f>K37*J37</f>
        <v>0</v>
      </c>
      <c r="N37" s="320">
        <f t="shared" si="12"/>
        <v>0</v>
      </c>
      <c r="O37" s="314">
        <f>L37*D37</f>
        <v>0</v>
      </c>
      <c r="P37" s="1053">
        <f t="shared" si="5"/>
        <v>0</v>
      </c>
      <c r="Q37" s="1047">
        <f t="shared" si="6"/>
        <v>0</v>
      </c>
      <c r="R37" s="310">
        <f>M37+J37</f>
        <v>0</v>
      </c>
      <c r="S37" s="366">
        <f>D37*R37</f>
        <v>0</v>
      </c>
      <c r="T37" s="336">
        <f>-'OECD distillate subsidies'!E298</f>
        <v>0</v>
      </c>
      <c r="U37" s="342">
        <f>T37*E37</f>
        <v>0</v>
      </c>
      <c r="V37" s="111">
        <f>S37+U37</f>
        <v>0</v>
      </c>
      <c r="W37" s="320">
        <f t="shared" si="24"/>
        <v>0</v>
      </c>
      <c r="X37" s="342">
        <f>W37*D37+U37</f>
        <v>0</v>
      </c>
      <c r="Y37" s="1075"/>
    </row>
    <row r="38" spans="1:26" x14ac:dyDescent="0.6">
      <c r="A38" s="46">
        <f>A37+1</f>
        <v>32</v>
      </c>
      <c r="B38" s="44" t="s">
        <v>50</v>
      </c>
      <c r="C38" s="290">
        <v>7</v>
      </c>
      <c r="D38" s="348">
        <f>C38*Assumptions!$C$16</f>
        <v>2193240</v>
      </c>
      <c r="E38" s="399">
        <f>Assumptions!$H$13</f>
        <v>0.30204900000000001</v>
      </c>
      <c r="F38" s="297">
        <f>Assumptions!$C$115</f>
        <v>3.7854100000000002</v>
      </c>
      <c r="G38" s="293"/>
      <c r="H38" s="1132">
        <f>'Res dist'!H38</f>
        <v>2.27</v>
      </c>
      <c r="I38" s="1044"/>
      <c r="J38" s="306">
        <f t="shared" si="11"/>
        <v>0</v>
      </c>
      <c r="K38" s="322">
        <v>0.19</v>
      </c>
      <c r="L38" s="329">
        <f>K38*H38</f>
        <v>0.43130000000000002</v>
      </c>
      <c r="M38" s="320">
        <f>K38*J38</f>
        <v>0</v>
      </c>
      <c r="N38" s="320">
        <f t="shared" si="12"/>
        <v>0.43130000000000002</v>
      </c>
      <c r="O38" s="314">
        <f>L38*D38</f>
        <v>945944.41200000001</v>
      </c>
      <c r="P38" s="1053">
        <f t="shared" si="5"/>
        <v>0.43130000000000002</v>
      </c>
      <c r="Q38" s="1047">
        <f t="shared" si="6"/>
        <v>945944.41200000001</v>
      </c>
      <c r="R38" s="310">
        <f>M38+J38</f>
        <v>0</v>
      </c>
      <c r="S38" s="366">
        <f>D38*R38</f>
        <v>0</v>
      </c>
      <c r="T38" s="336">
        <f>-'OECD distillate subsidies'!E300</f>
        <v>0</v>
      </c>
      <c r="U38" s="342">
        <f>T38*E38</f>
        <v>0</v>
      </c>
      <c r="V38" s="111">
        <f>S38+U38</f>
        <v>0</v>
      </c>
      <c r="W38" s="320">
        <f t="shared" si="24"/>
        <v>2.7012999999999998</v>
      </c>
      <c r="X38" s="342">
        <f>W38*D38+U38</f>
        <v>5924599.2119999994</v>
      </c>
    </row>
    <row r="39" spans="1:26" ht="15.9" thickBot="1" x14ac:dyDescent="0.65">
      <c r="A39" s="15">
        <f>A38+1</f>
        <v>33</v>
      </c>
      <c r="B39" s="47" t="s">
        <v>51</v>
      </c>
      <c r="C39" s="291">
        <v>1797</v>
      </c>
      <c r="D39" s="349">
        <f>C39*Assumptions!$C$16</f>
        <v>563036040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'Res dist'!H39</f>
        <v>2.27</v>
      </c>
      <c r="I39" s="1076"/>
      <c r="J39" s="309">
        <f t="shared" si="11"/>
        <v>0</v>
      </c>
      <c r="K39" s="359">
        <v>0.18</v>
      </c>
      <c r="L39" s="334">
        <f>K39*H39</f>
        <v>0.40859999999999996</v>
      </c>
      <c r="M39" s="321">
        <f>K39*J39</f>
        <v>0</v>
      </c>
      <c r="N39" s="321">
        <f t="shared" si="12"/>
        <v>0.40859999999999996</v>
      </c>
      <c r="O39" s="319">
        <f>L39*D39</f>
        <v>230056525.94399998</v>
      </c>
      <c r="P39" s="1054">
        <f t="shared" si="5"/>
        <v>0.40859999999999996</v>
      </c>
      <c r="Q39" s="1048">
        <f t="shared" si="6"/>
        <v>230056525.94399998</v>
      </c>
      <c r="R39" s="312">
        <f>M39+J39</f>
        <v>0</v>
      </c>
      <c r="S39" s="368">
        <f>D39*R39</f>
        <v>0</v>
      </c>
      <c r="T39" s="340">
        <f>-'OECD distillate subsidies'!E307</f>
        <v>0</v>
      </c>
      <c r="U39" s="344">
        <f>T39*E39</f>
        <v>0</v>
      </c>
      <c r="V39" s="163">
        <f>S39+U39</f>
        <v>0</v>
      </c>
      <c r="W39" s="321">
        <f t="shared" si="24"/>
        <v>2.6785999999999999</v>
      </c>
      <c r="X39" s="344">
        <f>W39*D39+U39</f>
        <v>1508148336.744</v>
      </c>
    </row>
    <row r="40" spans="1:26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1149"/>
      <c r="I40" s="664"/>
      <c r="J40" s="394"/>
      <c r="K40" s="322"/>
      <c r="L40" s="329"/>
      <c r="M40" s="320"/>
      <c r="N40" s="320"/>
      <c r="O40" s="314"/>
      <c r="P40" s="1046"/>
      <c r="Q40" s="1047">
        <f t="shared" si="6"/>
        <v>0</v>
      </c>
      <c r="R40" s="395"/>
      <c r="S40" s="396"/>
      <c r="T40" s="542"/>
      <c r="U40" s="543"/>
      <c r="V40" s="573"/>
      <c r="W40" s="571"/>
      <c r="X40" s="548"/>
      <c r="Y40" s="10"/>
      <c r="Z40" s="55"/>
    </row>
    <row r="41" spans="1:26" s="85" customFormat="1" x14ac:dyDescent="0.6">
      <c r="A41" s="61">
        <f>A39+1</f>
        <v>34</v>
      </c>
      <c r="B41" s="86" t="s">
        <v>48</v>
      </c>
      <c r="C41" s="290">
        <v>112</v>
      </c>
      <c r="D41" s="348">
        <f>C41*Assumptions!$C$16</f>
        <v>35091840</v>
      </c>
      <c r="E41" s="1020"/>
      <c r="F41" s="1006">
        <f>Assumptions!$C$115</f>
        <v>3.7854100000000002</v>
      </c>
      <c r="G41" s="1128"/>
      <c r="H41" s="1150">
        <f>'Res dist'!H41</f>
        <v>2.27</v>
      </c>
      <c r="I41" s="664"/>
      <c r="J41" s="394"/>
      <c r="K41" s="322">
        <f>Gasoline!K41</f>
        <v>0.16</v>
      </c>
      <c r="L41" s="329">
        <f>K41*H41</f>
        <v>0.36320000000000002</v>
      </c>
      <c r="M41" s="320"/>
      <c r="N41" s="320">
        <f>M41+L41</f>
        <v>0.36320000000000002</v>
      </c>
      <c r="O41" s="314">
        <f t="shared" ref="O41:O65" si="25">L41*D41</f>
        <v>12745356.288000001</v>
      </c>
      <c r="P41" s="1046"/>
      <c r="Q41" s="1047">
        <f t="shared" si="6"/>
        <v>0</v>
      </c>
      <c r="R41" s="395"/>
      <c r="S41" s="396"/>
      <c r="T41" s="1007"/>
      <c r="U41" s="847"/>
      <c r="V41" s="1008"/>
      <c r="W41" s="363">
        <f>'Res dist'!W41</f>
        <v>12.173</v>
      </c>
      <c r="X41" s="847">
        <f t="shared" ref="X41:X65" si="26">W41*D41+U41</f>
        <v>427172968.31999999</v>
      </c>
    </row>
    <row r="42" spans="1:26" s="85" customFormat="1" x14ac:dyDescent="0.6">
      <c r="A42" s="61">
        <f>A41+1</f>
        <v>35</v>
      </c>
      <c r="B42" s="86" t="s">
        <v>53</v>
      </c>
      <c r="C42" s="290">
        <v>0</v>
      </c>
      <c r="D42" s="348">
        <f>C42*Assumptions!$C$16</f>
        <v>0</v>
      </c>
      <c r="E42" s="1005"/>
      <c r="F42" s="1006">
        <f>Assumptions!$C$115</f>
        <v>3.7854100000000002</v>
      </c>
      <c r="G42" s="1128"/>
      <c r="H42" s="1150"/>
      <c r="I42" s="664"/>
      <c r="J42" s="394"/>
      <c r="K42" s="322">
        <f>Gasoline!K42</f>
        <v>0</v>
      </c>
      <c r="L42" s="329">
        <f>K42*H42</f>
        <v>0</v>
      </c>
      <c r="M42" s="320"/>
      <c r="N42" s="320">
        <f>M42+L42</f>
        <v>0</v>
      </c>
      <c r="O42" s="314">
        <f t="shared" si="25"/>
        <v>0</v>
      </c>
      <c r="P42" s="1046"/>
      <c r="Q42" s="1047">
        <f t="shared" si="6"/>
        <v>0</v>
      </c>
      <c r="R42" s="395"/>
      <c r="S42" s="394"/>
      <c r="T42" s="1007"/>
      <c r="U42" s="847"/>
      <c r="V42" s="1008"/>
      <c r="W42" s="363">
        <f>'Res dist'!W42</f>
        <v>0.56781150000000002</v>
      </c>
      <c r="X42" s="847">
        <f t="shared" si="26"/>
        <v>0</v>
      </c>
    </row>
    <row r="43" spans="1:26" s="85" customFormat="1" x14ac:dyDescent="0.6">
      <c r="A43" s="61">
        <f t="shared" ref="A43:A65" si="27">A42+1</f>
        <v>36</v>
      </c>
      <c r="B43" s="86" t="s">
        <v>54</v>
      </c>
      <c r="C43" s="290">
        <v>892</v>
      </c>
      <c r="D43" s="348">
        <f>C43*Assumptions!$C$16</f>
        <v>279481440</v>
      </c>
      <c r="E43" s="1005"/>
      <c r="F43" s="1006">
        <f>Assumptions!$C$115</f>
        <v>3.7854100000000002</v>
      </c>
      <c r="G43" s="1128"/>
      <c r="H43" s="1150">
        <f>'Res dist'!H43</f>
        <v>2.27</v>
      </c>
      <c r="I43" s="664"/>
      <c r="J43" s="394"/>
      <c r="K43" s="322">
        <f>Gasoline!K43</f>
        <v>0</v>
      </c>
      <c r="L43" s="329">
        <f t="shared" ref="L43:L65" si="28">K43*H43</f>
        <v>0</v>
      </c>
      <c r="M43" s="320"/>
      <c r="N43" s="320">
        <f t="shared" ref="N43:N65" si="29">M43+L43</f>
        <v>0</v>
      </c>
      <c r="O43" s="314">
        <f t="shared" si="25"/>
        <v>0</v>
      </c>
      <c r="P43" s="1046"/>
      <c r="Q43" s="1047">
        <f t="shared" si="6"/>
        <v>0</v>
      </c>
      <c r="R43" s="395"/>
      <c r="S43" s="396"/>
      <c r="T43" s="1007"/>
      <c r="U43" s="847"/>
      <c r="V43" s="1008"/>
      <c r="W43" s="363">
        <f>'Res dist'!W43</f>
        <v>2.0819755000000004</v>
      </c>
      <c r="X43" s="847">
        <f t="shared" si="26"/>
        <v>581873510.78472006</v>
      </c>
    </row>
    <row r="44" spans="1:26" s="85" customFormat="1" x14ac:dyDescent="0.6">
      <c r="A44" s="61">
        <f t="shared" si="27"/>
        <v>37</v>
      </c>
      <c r="B44" s="86" t="s">
        <v>55</v>
      </c>
      <c r="C44" s="290">
        <v>5</v>
      </c>
      <c r="D44" s="348">
        <f>C44*Assumptions!$C$16</f>
        <v>1566600</v>
      </c>
      <c r="E44" s="1005"/>
      <c r="F44" s="1006">
        <f>Assumptions!$C$115</f>
        <v>3.7854100000000002</v>
      </c>
      <c r="G44" s="1128"/>
      <c r="H44" s="1150">
        <f>'Res dist'!H44</f>
        <v>2.27</v>
      </c>
      <c r="I44" s="664"/>
      <c r="J44" s="394"/>
      <c r="K44" s="322">
        <f>Gasoline!K44</f>
        <v>0</v>
      </c>
      <c r="L44" s="329">
        <f t="shared" si="28"/>
        <v>0</v>
      </c>
      <c r="M44" s="320"/>
      <c r="N44" s="320">
        <f t="shared" si="29"/>
        <v>0</v>
      </c>
      <c r="O44" s="314">
        <f t="shared" si="25"/>
        <v>0</v>
      </c>
      <c r="P44" s="1046"/>
      <c r="Q44" s="1047">
        <f t="shared" si="6"/>
        <v>0</v>
      </c>
      <c r="R44" s="395"/>
      <c r="S44" s="396"/>
      <c r="T44" s="1007"/>
      <c r="U44" s="847"/>
      <c r="V44" s="1008"/>
      <c r="W44" s="363">
        <f>'Res dist'!W44</f>
        <v>1.3248934999999999</v>
      </c>
      <c r="X44" s="847">
        <f t="shared" si="26"/>
        <v>2075578.1571</v>
      </c>
    </row>
    <row r="45" spans="1:26" s="85" customFormat="1" x14ac:dyDescent="0.6">
      <c r="A45" s="61">
        <f t="shared" si="27"/>
        <v>38</v>
      </c>
      <c r="B45" s="86" t="s">
        <v>56</v>
      </c>
      <c r="C45" s="290">
        <v>0</v>
      </c>
      <c r="D45" s="348">
        <f>C45*Assumptions!$C$16</f>
        <v>0</v>
      </c>
      <c r="E45" s="1005"/>
      <c r="F45" s="1006">
        <f>Assumptions!$C$115</f>
        <v>3.7854100000000002</v>
      </c>
      <c r="G45" s="1128"/>
      <c r="H45" s="1150"/>
      <c r="I45" s="664"/>
      <c r="J45" s="394"/>
      <c r="K45" s="322">
        <f>Gasoline!K45</f>
        <v>0</v>
      </c>
      <c r="L45" s="329">
        <f t="shared" si="28"/>
        <v>0</v>
      </c>
      <c r="M45" s="320"/>
      <c r="N45" s="320">
        <f t="shared" si="29"/>
        <v>0</v>
      </c>
      <c r="O45" s="314">
        <f t="shared" si="25"/>
        <v>0</v>
      </c>
      <c r="P45" s="1046"/>
      <c r="Q45" s="1047">
        <f t="shared" si="6"/>
        <v>0</v>
      </c>
      <c r="R45" s="395"/>
      <c r="S45" s="396"/>
      <c r="T45" s="1007"/>
      <c r="U45" s="847"/>
      <c r="V45" s="1008"/>
      <c r="W45" s="363">
        <f>'Res dist'!W45</f>
        <v>1.4006016999999999</v>
      </c>
      <c r="X45" s="847">
        <f t="shared" si="26"/>
        <v>0</v>
      </c>
    </row>
    <row r="46" spans="1:26" s="85" customFormat="1" x14ac:dyDescent="0.6">
      <c r="A46" s="61">
        <f t="shared" si="27"/>
        <v>39</v>
      </c>
      <c r="B46" s="86" t="s">
        <v>57</v>
      </c>
      <c r="C46" s="290">
        <v>0</v>
      </c>
      <c r="D46" s="348">
        <f>C46*Assumptions!$C$16</f>
        <v>0</v>
      </c>
      <c r="E46" s="1005"/>
      <c r="F46" s="1006">
        <f>Assumptions!$C$115</f>
        <v>3.7854100000000002</v>
      </c>
      <c r="G46" s="1128"/>
      <c r="H46" s="1150"/>
      <c r="I46" s="664"/>
      <c r="J46" s="394"/>
      <c r="K46" s="322">
        <f>Gasoline!K46</f>
        <v>0</v>
      </c>
      <c r="L46" s="329">
        <f t="shared" si="28"/>
        <v>0</v>
      </c>
      <c r="M46" s="320"/>
      <c r="N46" s="320">
        <f t="shared" si="29"/>
        <v>0</v>
      </c>
      <c r="O46" s="314">
        <f t="shared" si="25"/>
        <v>0</v>
      </c>
      <c r="P46" s="1046"/>
      <c r="Q46" s="1047">
        <f t="shared" si="6"/>
        <v>0</v>
      </c>
      <c r="R46" s="395"/>
      <c r="S46" s="396"/>
      <c r="T46" s="1007"/>
      <c r="U46" s="847"/>
      <c r="V46" s="1008"/>
      <c r="W46" s="363">
        <f>'Res dist'!W46</f>
        <v>1.4006016999999999</v>
      </c>
      <c r="X46" s="847">
        <f t="shared" si="26"/>
        <v>0</v>
      </c>
    </row>
    <row r="47" spans="1:26" s="85" customFormat="1" x14ac:dyDescent="0.6">
      <c r="A47" s="61">
        <f t="shared" si="27"/>
        <v>40</v>
      </c>
      <c r="B47" s="86" t="s">
        <v>58</v>
      </c>
      <c r="C47" s="290">
        <v>277</v>
      </c>
      <c r="D47" s="348">
        <f>C47*Assumptions!$C$16</f>
        <v>86789640</v>
      </c>
      <c r="E47" s="1005"/>
      <c r="F47" s="1006">
        <f>Assumptions!$C$115</f>
        <v>3.7854100000000002</v>
      </c>
      <c r="G47" s="1128"/>
      <c r="H47" s="1150">
        <f>'Res dist'!H47</f>
        <v>2.27</v>
      </c>
      <c r="I47" s="664"/>
      <c r="J47" s="394"/>
      <c r="K47" s="322">
        <f>Gasoline!K47</f>
        <v>0</v>
      </c>
      <c r="L47" s="329">
        <f t="shared" si="28"/>
        <v>0</v>
      </c>
      <c r="M47" s="320"/>
      <c r="N47" s="320">
        <f t="shared" si="29"/>
        <v>0</v>
      </c>
      <c r="O47" s="314">
        <f t="shared" si="25"/>
        <v>0</v>
      </c>
      <c r="P47" s="1046"/>
      <c r="Q47" s="1047">
        <f t="shared" si="6"/>
        <v>0</v>
      </c>
      <c r="R47" s="395"/>
      <c r="S47" s="403"/>
      <c r="T47" s="1007"/>
      <c r="U47" s="847"/>
      <c r="V47" s="1008"/>
      <c r="W47" s="363">
        <f>'Res dist'!W47</f>
        <v>0.98420660000000004</v>
      </c>
      <c r="X47" s="847">
        <f t="shared" si="26"/>
        <v>85418936.499623999</v>
      </c>
    </row>
    <row r="48" spans="1:26" s="85" customFormat="1" x14ac:dyDescent="0.6">
      <c r="A48" s="61">
        <f t="shared" si="27"/>
        <v>41</v>
      </c>
      <c r="B48" s="86" t="s">
        <v>59</v>
      </c>
      <c r="C48" s="290">
        <v>0</v>
      </c>
      <c r="D48" s="348">
        <f>C48*Assumptions!$C$16</f>
        <v>0</v>
      </c>
      <c r="E48" s="1005"/>
      <c r="F48" s="1006">
        <f>Assumptions!$C$115</f>
        <v>3.7854100000000002</v>
      </c>
      <c r="G48" s="1128"/>
      <c r="H48" s="1150"/>
      <c r="I48" s="664"/>
      <c r="J48" s="394"/>
      <c r="K48" s="322">
        <f>Gasoline!K48</f>
        <v>0</v>
      </c>
      <c r="L48" s="329">
        <f t="shared" si="28"/>
        <v>0</v>
      </c>
      <c r="M48" s="320"/>
      <c r="N48" s="320">
        <f t="shared" si="29"/>
        <v>0</v>
      </c>
      <c r="O48" s="314">
        <f t="shared" si="25"/>
        <v>0</v>
      </c>
      <c r="P48" s="1046"/>
      <c r="Q48" s="1047">
        <f t="shared" si="6"/>
        <v>0</v>
      </c>
      <c r="R48" s="395"/>
      <c r="S48" s="396"/>
      <c r="T48" s="1007"/>
      <c r="U48" s="847"/>
      <c r="V48" s="1008"/>
      <c r="W48" s="363">
        <f>'Res dist'!W48</f>
        <v>0.87064430000000004</v>
      </c>
      <c r="X48" s="847">
        <f t="shared" si="26"/>
        <v>0</v>
      </c>
    </row>
    <row r="49" spans="1:24" s="85" customFormat="1" x14ac:dyDescent="0.6">
      <c r="A49" s="61">
        <f t="shared" si="27"/>
        <v>42</v>
      </c>
      <c r="B49" s="86" t="s">
        <v>60</v>
      </c>
      <c r="C49" s="290">
        <v>39</v>
      </c>
      <c r="D49" s="348">
        <f>C49*Assumptions!$C$16</f>
        <v>12219480</v>
      </c>
      <c r="E49" s="1005"/>
      <c r="F49" s="1006">
        <f>Assumptions!$C$115</f>
        <v>3.7854100000000002</v>
      </c>
      <c r="G49" s="1128"/>
      <c r="H49" s="1150">
        <f>'Res dist'!H49</f>
        <v>2.27</v>
      </c>
      <c r="I49" s="664"/>
      <c r="J49" s="394"/>
      <c r="K49" s="322">
        <f>Gasoline!K49</f>
        <v>0</v>
      </c>
      <c r="L49" s="329">
        <f t="shared" si="28"/>
        <v>0</v>
      </c>
      <c r="M49" s="320"/>
      <c r="N49" s="320">
        <f t="shared" si="29"/>
        <v>0</v>
      </c>
      <c r="O49" s="314">
        <f t="shared" si="25"/>
        <v>0</v>
      </c>
      <c r="P49" s="1046"/>
      <c r="Q49" s="1047">
        <f t="shared" si="6"/>
        <v>0</v>
      </c>
      <c r="R49" s="395"/>
      <c r="S49" s="396"/>
      <c r="T49" s="1007"/>
      <c r="U49" s="847"/>
      <c r="V49" s="1008"/>
      <c r="W49" s="363">
        <f>'Res dist'!W49</f>
        <v>2.9526198000000003</v>
      </c>
      <c r="X49" s="847">
        <f t="shared" si="26"/>
        <v>36079478.593704008</v>
      </c>
    </row>
    <row r="50" spans="1:24" s="85" customFormat="1" x14ac:dyDescent="0.6">
      <c r="A50" s="61">
        <f t="shared" si="27"/>
        <v>43</v>
      </c>
      <c r="B50" s="86" t="s">
        <v>61</v>
      </c>
      <c r="C50" s="290">
        <v>412</v>
      </c>
      <c r="D50" s="348">
        <f>C50*Assumptions!$C$16</f>
        <v>129087840</v>
      </c>
      <c r="E50" s="1009"/>
      <c r="F50" s="1006">
        <f>Assumptions!$C$115</f>
        <v>3.7854100000000002</v>
      </c>
      <c r="G50" s="1128"/>
      <c r="H50" s="1150">
        <f>'Res dist'!H50</f>
        <v>2.27</v>
      </c>
      <c r="I50" s="664"/>
      <c r="J50" s="394"/>
      <c r="K50" s="322">
        <f>Gasoline!K50</f>
        <v>0</v>
      </c>
      <c r="L50" s="329">
        <f t="shared" si="28"/>
        <v>0</v>
      </c>
      <c r="M50" s="320"/>
      <c r="N50" s="320">
        <f t="shared" si="29"/>
        <v>0</v>
      </c>
      <c r="O50" s="314">
        <f t="shared" si="25"/>
        <v>0</v>
      </c>
      <c r="P50" s="1046"/>
      <c r="Q50" s="1047">
        <f t="shared" si="6"/>
        <v>0</v>
      </c>
      <c r="R50" s="395"/>
      <c r="S50" s="396"/>
      <c r="T50" s="1007"/>
      <c r="U50" s="847"/>
      <c r="V50" s="1008"/>
      <c r="W50" s="363">
        <f>'Res dist'!W50</f>
        <v>1.8927050000000001</v>
      </c>
      <c r="X50" s="847">
        <f t="shared" si="26"/>
        <v>244325200.20720002</v>
      </c>
    </row>
    <row r="51" spans="1:24" s="85" customFormat="1" x14ac:dyDescent="0.6">
      <c r="A51" s="61">
        <f t="shared" si="27"/>
        <v>44</v>
      </c>
      <c r="B51" s="86" t="s">
        <v>62</v>
      </c>
      <c r="C51" s="290">
        <v>0</v>
      </c>
      <c r="D51" s="348">
        <f>C51*Assumptions!$C$16</f>
        <v>0</v>
      </c>
      <c r="E51" s="1005"/>
      <c r="F51" s="1006">
        <f>Assumptions!$C$115</f>
        <v>3.7854100000000002</v>
      </c>
      <c r="G51" s="1128"/>
      <c r="H51" s="1150"/>
      <c r="I51" s="664"/>
      <c r="J51" s="394"/>
      <c r="K51" s="322">
        <f>Gasoline!K51</f>
        <v>0</v>
      </c>
      <c r="L51" s="329">
        <f t="shared" si="28"/>
        <v>0</v>
      </c>
      <c r="M51" s="320"/>
      <c r="N51" s="320">
        <f t="shared" si="29"/>
        <v>0</v>
      </c>
      <c r="O51" s="314">
        <f t="shared" si="25"/>
        <v>0</v>
      </c>
      <c r="P51" s="1046"/>
      <c r="Q51" s="1047">
        <f t="shared" si="6"/>
        <v>0</v>
      </c>
      <c r="R51" s="395"/>
      <c r="S51" s="396"/>
      <c r="T51" s="1007"/>
      <c r="U51" s="847"/>
      <c r="V51" s="1008"/>
      <c r="W51" s="363">
        <f>'Res dist'!W51</f>
        <v>2.1198296000000001</v>
      </c>
      <c r="X51" s="847">
        <f t="shared" si="26"/>
        <v>0</v>
      </c>
    </row>
    <row r="52" spans="1:24" s="85" customFormat="1" x14ac:dyDescent="0.6">
      <c r="A52" s="61">
        <f t="shared" si="27"/>
        <v>45</v>
      </c>
      <c r="B52" s="86" t="s">
        <v>63</v>
      </c>
      <c r="C52" s="290">
        <v>720</v>
      </c>
      <c r="D52" s="348">
        <f>C52*Assumptions!$C$16</f>
        <v>225590400</v>
      </c>
      <c r="E52" s="1005"/>
      <c r="F52" s="1006">
        <f>Assumptions!$C$115</f>
        <v>3.7854100000000002</v>
      </c>
      <c r="G52" s="1128"/>
      <c r="H52" s="1150">
        <f>'Res dist'!H52</f>
        <v>2.27</v>
      </c>
      <c r="I52" s="664"/>
      <c r="J52" s="394"/>
      <c r="K52" s="322">
        <f>Gasoline!K52</f>
        <v>0</v>
      </c>
      <c r="L52" s="329">
        <f t="shared" si="28"/>
        <v>0</v>
      </c>
      <c r="M52" s="320"/>
      <c r="N52" s="320">
        <f t="shared" si="29"/>
        <v>0</v>
      </c>
      <c r="O52" s="314">
        <f t="shared" si="25"/>
        <v>0</v>
      </c>
      <c r="P52" s="1046"/>
      <c r="Q52" s="1047">
        <f t="shared" si="6"/>
        <v>0</v>
      </c>
      <c r="R52" s="395"/>
      <c r="S52" s="396"/>
      <c r="T52" s="1007"/>
      <c r="U52" s="847"/>
      <c r="V52" s="1008"/>
      <c r="W52" s="363">
        <f>'Res dist'!W52</f>
        <v>0.30283280000000001</v>
      </c>
      <c r="X52" s="847">
        <f t="shared" si="26"/>
        <v>68316172.485119998</v>
      </c>
    </row>
    <row r="53" spans="1:24" s="85" customFormat="1" x14ac:dyDescent="0.6">
      <c r="A53" s="61">
        <f t="shared" si="27"/>
        <v>46</v>
      </c>
      <c r="B53" s="86" t="s">
        <v>64</v>
      </c>
      <c r="C53" s="290">
        <v>460</v>
      </c>
      <c r="D53" s="348">
        <f>C53*Assumptions!$C$16</f>
        <v>144127200</v>
      </c>
      <c r="E53" s="1005"/>
      <c r="F53" s="1006">
        <f>Assumptions!$C$115</f>
        <v>3.7854100000000002</v>
      </c>
      <c r="G53" s="1128"/>
      <c r="H53" s="1150">
        <f>'Res dist'!H53</f>
        <v>2.27</v>
      </c>
      <c r="I53" s="664"/>
      <c r="J53" s="394"/>
      <c r="K53" s="322">
        <f>Gasoline!K53</f>
        <v>0</v>
      </c>
      <c r="L53" s="329">
        <f t="shared" si="28"/>
        <v>0</v>
      </c>
      <c r="M53" s="320"/>
      <c r="N53" s="320">
        <f t="shared" si="29"/>
        <v>0</v>
      </c>
      <c r="O53" s="314">
        <f t="shared" si="25"/>
        <v>0</v>
      </c>
      <c r="P53" s="1046"/>
      <c r="Q53" s="1047">
        <f t="shared" si="6"/>
        <v>0</v>
      </c>
      <c r="R53" s="395"/>
      <c r="S53" s="396"/>
      <c r="T53" s="1007"/>
      <c r="U53" s="847"/>
      <c r="V53" s="1008"/>
      <c r="W53" s="363">
        <f>'Res dist'!W53</f>
        <v>1.9684132000000001</v>
      </c>
      <c r="X53" s="847">
        <f t="shared" si="26"/>
        <v>283701882.95903999</v>
      </c>
    </row>
    <row r="54" spans="1:24" s="85" customFormat="1" x14ac:dyDescent="0.6">
      <c r="A54" s="61">
        <f t="shared" si="27"/>
        <v>47</v>
      </c>
      <c r="B54" s="86" t="s">
        <v>65</v>
      </c>
      <c r="C54" s="290">
        <v>0</v>
      </c>
      <c r="D54" s="348">
        <f>C54*Assumptions!$C$16</f>
        <v>0</v>
      </c>
      <c r="E54" s="1005"/>
      <c r="F54" s="1006">
        <f>Assumptions!$C$115</f>
        <v>3.7854100000000002</v>
      </c>
      <c r="G54" s="1128"/>
      <c r="H54" s="1150"/>
      <c r="I54" s="664"/>
      <c r="J54" s="394"/>
      <c r="K54" s="322">
        <f>Gasoline!K54</f>
        <v>0</v>
      </c>
      <c r="L54" s="329">
        <f t="shared" si="28"/>
        <v>0</v>
      </c>
      <c r="M54" s="320"/>
      <c r="N54" s="320">
        <f t="shared" si="29"/>
        <v>0</v>
      </c>
      <c r="O54" s="314">
        <f t="shared" si="25"/>
        <v>0</v>
      </c>
      <c r="P54" s="1046"/>
      <c r="Q54" s="1047">
        <f t="shared" si="6"/>
        <v>0</v>
      </c>
      <c r="R54" s="395"/>
      <c r="S54" s="396"/>
      <c r="T54" s="1007"/>
      <c r="U54" s="1010"/>
      <c r="V54" s="1011"/>
      <c r="W54" s="363">
        <f>'Res dist'!W54</f>
        <v>1.4384558000000001</v>
      </c>
      <c r="X54" s="847">
        <f t="shared" si="26"/>
        <v>0</v>
      </c>
    </row>
    <row r="55" spans="1:24" s="85" customFormat="1" x14ac:dyDescent="0.6">
      <c r="A55" s="61">
        <f t="shared" si="27"/>
        <v>48</v>
      </c>
      <c r="B55" s="86" t="s">
        <v>66</v>
      </c>
      <c r="C55" s="290">
        <v>0</v>
      </c>
      <c r="D55" s="348">
        <f>C55*Assumptions!$C$16</f>
        <v>0</v>
      </c>
      <c r="E55" s="1005"/>
      <c r="F55" s="1006">
        <f>Assumptions!$C$115</f>
        <v>3.7854100000000002</v>
      </c>
      <c r="G55" s="1128"/>
      <c r="H55" s="1150"/>
      <c r="I55" s="664"/>
      <c r="J55" s="394"/>
      <c r="K55" s="322">
        <f>Gasoline!K55</f>
        <v>0</v>
      </c>
      <c r="L55" s="329">
        <f t="shared" si="28"/>
        <v>0</v>
      </c>
      <c r="M55" s="320"/>
      <c r="N55" s="320">
        <f t="shared" si="29"/>
        <v>0</v>
      </c>
      <c r="O55" s="314">
        <f t="shared" si="25"/>
        <v>0</v>
      </c>
      <c r="P55" s="1046"/>
      <c r="Q55" s="1047">
        <f t="shared" si="6"/>
        <v>0</v>
      </c>
      <c r="R55" s="395"/>
      <c r="S55" s="396"/>
      <c r="T55" s="1007"/>
      <c r="U55" s="1010"/>
      <c r="V55" s="1011"/>
      <c r="W55" s="363">
        <f>'Res dist'!W55</f>
        <v>0.37854100000000002</v>
      </c>
      <c r="X55" s="847">
        <f t="shared" si="26"/>
        <v>0</v>
      </c>
    </row>
    <row r="56" spans="1:24" s="85" customFormat="1" x14ac:dyDescent="0.6">
      <c r="A56" s="61">
        <f t="shared" si="27"/>
        <v>49</v>
      </c>
      <c r="B56" s="86" t="s">
        <v>67</v>
      </c>
      <c r="C56" s="290">
        <v>138</v>
      </c>
      <c r="D56" s="348">
        <f>C56*Assumptions!$C$16</f>
        <v>43238160</v>
      </c>
      <c r="E56" s="1005"/>
      <c r="F56" s="1006">
        <f>Assumptions!$C$115</f>
        <v>3.7854100000000002</v>
      </c>
      <c r="G56" s="1128"/>
      <c r="H56" s="1150">
        <f>'Res dist'!H56</f>
        <v>2.27</v>
      </c>
      <c r="I56" s="664"/>
      <c r="J56" s="394"/>
      <c r="K56" s="322">
        <f>Gasoline!K56</f>
        <v>0</v>
      </c>
      <c r="L56" s="329">
        <f t="shared" si="28"/>
        <v>0</v>
      </c>
      <c r="M56" s="320"/>
      <c r="N56" s="320">
        <f t="shared" si="29"/>
        <v>0</v>
      </c>
      <c r="O56" s="314">
        <f t="shared" si="25"/>
        <v>0</v>
      </c>
      <c r="P56" s="1046"/>
      <c r="Q56" s="1047">
        <f t="shared" si="6"/>
        <v>0</v>
      </c>
      <c r="R56" s="395"/>
      <c r="S56" s="396"/>
      <c r="T56" s="1007"/>
      <c r="U56" s="1010"/>
      <c r="V56" s="1011"/>
      <c r="W56" s="363">
        <f>'Res dist'!W56</f>
        <v>2.0062673000000002</v>
      </c>
      <c r="X56" s="847">
        <f t="shared" si="26"/>
        <v>86747306.520168006</v>
      </c>
    </row>
    <row r="57" spans="1:24" s="85" customFormat="1" x14ac:dyDescent="0.6">
      <c r="A57" s="61">
        <f t="shared" si="27"/>
        <v>50</v>
      </c>
      <c r="B57" s="86" t="s">
        <v>68</v>
      </c>
      <c r="C57" s="290">
        <v>0</v>
      </c>
      <c r="D57" s="348">
        <f>C57*Assumptions!$C$16</f>
        <v>0</v>
      </c>
      <c r="E57" s="1005"/>
      <c r="F57" s="1006">
        <f>Assumptions!$C$115</f>
        <v>3.7854100000000002</v>
      </c>
      <c r="G57" s="1128"/>
      <c r="H57" s="1150"/>
      <c r="I57" s="664"/>
      <c r="J57" s="394"/>
      <c r="K57" s="322">
        <f>Gasoline!K57</f>
        <v>0</v>
      </c>
      <c r="L57" s="329">
        <f t="shared" si="28"/>
        <v>0</v>
      </c>
      <c r="M57" s="320"/>
      <c r="N57" s="320">
        <f t="shared" si="29"/>
        <v>0</v>
      </c>
      <c r="O57" s="314">
        <f t="shared" si="25"/>
        <v>0</v>
      </c>
      <c r="P57" s="1046"/>
      <c r="Q57" s="1047">
        <f t="shared" si="6"/>
        <v>0</v>
      </c>
      <c r="R57" s="395"/>
      <c r="S57" s="396"/>
      <c r="T57" s="1007"/>
      <c r="U57" s="1010"/>
      <c r="V57" s="1011"/>
      <c r="W57" s="363">
        <f>'Res dist'!W57</f>
        <v>2.3469541999999999</v>
      </c>
      <c r="X57" s="847">
        <f t="shared" si="26"/>
        <v>0</v>
      </c>
    </row>
    <row r="58" spans="1:24" s="85" customFormat="1" x14ac:dyDescent="0.6">
      <c r="A58" s="61">
        <f t="shared" si="27"/>
        <v>51</v>
      </c>
      <c r="B58" s="86" t="s">
        <v>695</v>
      </c>
      <c r="C58" s="290">
        <v>0</v>
      </c>
      <c r="D58" s="348">
        <f>C58*Assumptions!$C$16</f>
        <v>0</v>
      </c>
      <c r="E58" s="1005"/>
      <c r="F58" s="1006">
        <f>Assumptions!$C$115</f>
        <v>3.7854100000000002</v>
      </c>
      <c r="G58" s="1128"/>
      <c r="H58" s="1150"/>
      <c r="I58" s="664"/>
      <c r="J58" s="394"/>
      <c r="K58" s="322">
        <f>Gasoline!K58</f>
        <v>0</v>
      </c>
      <c r="L58" s="329">
        <f t="shared" si="28"/>
        <v>0</v>
      </c>
      <c r="M58" s="320"/>
      <c r="N58" s="320">
        <f t="shared" si="29"/>
        <v>0</v>
      </c>
      <c r="O58" s="314">
        <f t="shared" si="25"/>
        <v>0</v>
      </c>
      <c r="P58" s="1046"/>
      <c r="Q58" s="1047">
        <f t="shared" si="6"/>
        <v>0</v>
      </c>
      <c r="R58" s="395"/>
      <c r="S58" s="396"/>
      <c r="T58" s="1007"/>
      <c r="U58" s="1010"/>
      <c r="V58" s="1011"/>
      <c r="W58" s="363">
        <f>'Res dist'!W58</f>
        <v>2.1576836999999998</v>
      </c>
      <c r="X58" s="847">
        <f t="shared" si="26"/>
        <v>0</v>
      </c>
    </row>
    <row r="59" spans="1:24" s="85" customFormat="1" x14ac:dyDescent="0.6">
      <c r="A59" s="61">
        <f t="shared" si="27"/>
        <v>52</v>
      </c>
      <c r="B59" s="86" t="s">
        <v>69</v>
      </c>
      <c r="C59" s="290">
        <v>0</v>
      </c>
      <c r="D59" s="348">
        <f>C59*Assumptions!$C$16</f>
        <v>0</v>
      </c>
      <c r="E59" s="1005"/>
      <c r="F59" s="1006">
        <f>Assumptions!$C$115</f>
        <v>3.7854100000000002</v>
      </c>
      <c r="G59" s="1128"/>
      <c r="H59" s="1150"/>
      <c r="I59" s="664"/>
      <c r="J59" s="394"/>
      <c r="K59" s="322">
        <f>Gasoline!K59</f>
        <v>0</v>
      </c>
      <c r="L59" s="329">
        <f t="shared" si="28"/>
        <v>0</v>
      </c>
      <c r="M59" s="320"/>
      <c r="N59" s="320">
        <f t="shared" si="29"/>
        <v>0</v>
      </c>
      <c r="O59" s="314">
        <f t="shared" si="25"/>
        <v>0</v>
      </c>
      <c r="P59" s="1046"/>
      <c r="Q59" s="1047">
        <f t="shared" si="6"/>
        <v>0</v>
      </c>
      <c r="R59" s="395"/>
      <c r="S59" s="396"/>
      <c r="T59" s="1007"/>
      <c r="U59" s="1010"/>
      <c r="V59" s="1011"/>
      <c r="W59" s="363">
        <f>'Res dist'!W59</f>
        <v>1.7791427</v>
      </c>
      <c r="X59" s="847">
        <f t="shared" si="26"/>
        <v>0</v>
      </c>
    </row>
    <row r="60" spans="1:24" s="85" customFormat="1" x14ac:dyDescent="0.6">
      <c r="A60" s="61">
        <f t="shared" si="27"/>
        <v>53</v>
      </c>
      <c r="B60" s="86" t="s">
        <v>70</v>
      </c>
      <c r="C60" s="290">
        <v>0</v>
      </c>
      <c r="D60" s="348">
        <f>C60*Assumptions!$C$16</f>
        <v>0</v>
      </c>
      <c r="E60" s="1005"/>
      <c r="F60" s="1006">
        <f>Assumptions!$C$115</f>
        <v>3.7854100000000002</v>
      </c>
      <c r="G60" s="1128"/>
      <c r="H60" s="1150"/>
      <c r="I60" s="664"/>
      <c r="J60" s="394"/>
      <c r="K60" s="322">
        <f>Gasoline!K60</f>
        <v>0</v>
      </c>
      <c r="L60" s="329">
        <f t="shared" si="28"/>
        <v>0</v>
      </c>
      <c r="M60" s="320"/>
      <c r="N60" s="320">
        <f t="shared" si="29"/>
        <v>0</v>
      </c>
      <c r="O60" s="314">
        <f t="shared" si="25"/>
        <v>0</v>
      </c>
      <c r="P60" s="1046"/>
      <c r="Q60" s="1047">
        <f t="shared" si="6"/>
        <v>0</v>
      </c>
      <c r="R60" s="395"/>
      <c r="S60" s="396"/>
      <c r="T60" s="1007"/>
      <c r="U60" s="1010"/>
      <c r="V60" s="1011"/>
      <c r="W60" s="363">
        <f>'Res dist'!W60</f>
        <v>0.45424920000000002</v>
      </c>
      <c r="X60" s="847">
        <f t="shared" si="26"/>
        <v>0</v>
      </c>
    </row>
    <row r="61" spans="1:24" s="85" customFormat="1" x14ac:dyDescent="0.6">
      <c r="A61" s="61">
        <f t="shared" si="27"/>
        <v>54</v>
      </c>
      <c r="B61" s="86" t="s">
        <v>71</v>
      </c>
      <c r="C61" s="290">
        <v>8</v>
      </c>
      <c r="D61" s="348">
        <f>C61*Assumptions!$C$16</f>
        <v>2506560</v>
      </c>
      <c r="E61" s="1005"/>
      <c r="F61" s="1006">
        <f>Assumptions!$C$115</f>
        <v>3.7854100000000002</v>
      </c>
      <c r="G61" s="1128"/>
      <c r="H61" s="1150">
        <f>'Res dist'!H61</f>
        <v>2.27</v>
      </c>
      <c r="I61" s="664"/>
      <c r="J61" s="394"/>
      <c r="K61" s="322">
        <f>Gasoline!K61</f>
        <v>0</v>
      </c>
      <c r="L61" s="329">
        <f t="shared" si="28"/>
        <v>0</v>
      </c>
      <c r="M61" s="320"/>
      <c r="N61" s="320">
        <f t="shared" si="29"/>
        <v>0</v>
      </c>
      <c r="O61" s="314">
        <f t="shared" si="25"/>
        <v>0</v>
      </c>
      <c r="P61" s="1046"/>
      <c r="Q61" s="1047">
        <f t="shared" si="6"/>
        <v>0</v>
      </c>
      <c r="R61" s="395"/>
      <c r="S61" s="396"/>
      <c r="T61" s="1007"/>
      <c r="U61" s="1010"/>
      <c r="V61" s="1011"/>
      <c r="W61" s="363">
        <f>'Res dist'!W61</f>
        <v>1.3627476000000001</v>
      </c>
      <c r="X61" s="847">
        <f t="shared" si="26"/>
        <v>3415808.6242559999</v>
      </c>
    </row>
    <row r="62" spans="1:24" s="85" customFormat="1" x14ac:dyDescent="0.6">
      <c r="A62" s="61">
        <f t="shared" si="27"/>
        <v>55</v>
      </c>
      <c r="B62" s="86" t="s">
        <v>72</v>
      </c>
      <c r="C62" s="290">
        <v>0</v>
      </c>
      <c r="D62" s="348">
        <f>C62*Assumptions!$C$16</f>
        <v>0</v>
      </c>
      <c r="E62" s="1005"/>
      <c r="F62" s="1006">
        <f>Assumptions!$C$115</f>
        <v>3.7854100000000002</v>
      </c>
      <c r="G62" s="1128"/>
      <c r="H62" s="1150"/>
      <c r="I62" s="664"/>
      <c r="J62" s="394"/>
      <c r="K62" s="322">
        <f>Gasoline!K62</f>
        <v>0</v>
      </c>
      <c r="L62" s="329">
        <f t="shared" si="28"/>
        <v>0</v>
      </c>
      <c r="M62" s="320"/>
      <c r="N62" s="320">
        <f t="shared" si="29"/>
        <v>0</v>
      </c>
      <c r="O62" s="314">
        <f t="shared" si="25"/>
        <v>0</v>
      </c>
      <c r="P62" s="1046"/>
      <c r="Q62" s="1047">
        <f t="shared" si="6"/>
        <v>0</v>
      </c>
      <c r="R62" s="395"/>
      <c r="S62" s="396"/>
      <c r="T62" s="1007"/>
      <c r="U62" s="1010"/>
      <c r="V62" s="1011"/>
      <c r="W62" s="363">
        <f>'Res dist'!W62</f>
        <v>0.90849840000000004</v>
      </c>
      <c r="X62" s="847">
        <f t="shared" si="26"/>
        <v>0</v>
      </c>
    </row>
    <row r="63" spans="1:24" s="85" customFormat="1" x14ac:dyDescent="0.6">
      <c r="A63" s="61">
        <f t="shared" si="27"/>
        <v>56</v>
      </c>
      <c r="B63" s="86" t="s">
        <v>73</v>
      </c>
      <c r="C63" s="290">
        <v>0</v>
      </c>
      <c r="D63" s="348">
        <f>C63*Assumptions!$C$16</f>
        <v>0</v>
      </c>
      <c r="E63" s="1005"/>
      <c r="F63" s="1006">
        <f>Assumptions!$C$115</f>
        <v>3.7854100000000002</v>
      </c>
      <c r="G63" s="1128"/>
      <c r="H63" s="1150"/>
      <c r="I63" s="664"/>
      <c r="J63" s="394"/>
      <c r="K63" s="322">
        <f>Gasoline!K63</f>
        <v>0</v>
      </c>
      <c r="L63" s="329">
        <f t="shared" si="28"/>
        <v>0</v>
      </c>
      <c r="M63" s="320"/>
      <c r="N63" s="320">
        <f t="shared" si="29"/>
        <v>0</v>
      </c>
      <c r="O63" s="314">
        <f t="shared" si="25"/>
        <v>0</v>
      </c>
      <c r="P63" s="1046"/>
      <c r="Q63" s="1047">
        <f t="shared" si="6"/>
        <v>0</v>
      </c>
      <c r="R63" s="395"/>
      <c r="S63" s="396"/>
      <c r="T63" s="1007"/>
      <c r="U63" s="1010"/>
      <c r="V63" s="1011"/>
      <c r="W63" s="363">
        <f>'Res dist'!W63</f>
        <v>2.3469541999999999</v>
      </c>
      <c r="X63" s="847">
        <f t="shared" si="26"/>
        <v>0</v>
      </c>
    </row>
    <row r="64" spans="1:24" s="85" customFormat="1" x14ac:dyDescent="0.6">
      <c r="A64" s="61">
        <f t="shared" si="27"/>
        <v>57</v>
      </c>
      <c r="B64" s="86" t="s">
        <v>74</v>
      </c>
      <c r="C64" s="290">
        <v>0</v>
      </c>
      <c r="D64" s="348">
        <f>C64*Assumptions!$C$16</f>
        <v>0</v>
      </c>
      <c r="E64" s="1005"/>
      <c r="F64" s="1006">
        <f>Assumptions!$C$115</f>
        <v>3.7854100000000002</v>
      </c>
      <c r="G64" s="1128"/>
      <c r="H64" s="1150"/>
      <c r="I64" s="664"/>
      <c r="J64" s="394"/>
      <c r="K64" s="322">
        <f>Gasoline!K64</f>
        <v>0</v>
      </c>
      <c r="L64" s="329">
        <f t="shared" si="28"/>
        <v>0</v>
      </c>
      <c r="M64" s="320"/>
      <c r="N64" s="320">
        <f t="shared" si="29"/>
        <v>0</v>
      </c>
      <c r="O64" s="314">
        <f t="shared" si="25"/>
        <v>0</v>
      </c>
      <c r="P64" s="1046"/>
      <c r="Q64" s="1047">
        <f t="shared" si="6"/>
        <v>0</v>
      </c>
      <c r="R64" s="395"/>
      <c r="S64" s="396"/>
      <c r="T64" s="1007"/>
      <c r="U64" s="1010"/>
      <c r="V64" s="1011"/>
      <c r="W64" s="363">
        <f>'Res dist'!W64</f>
        <v>1.8548509</v>
      </c>
      <c r="X64" s="847">
        <f t="shared" si="26"/>
        <v>0</v>
      </c>
    </row>
    <row r="65" spans="1:24" s="85" customFormat="1" x14ac:dyDescent="0.6">
      <c r="A65" s="63">
        <f t="shared" si="27"/>
        <v>58</v>
      </c>
      <c r="B65" s="90" t="s">
        <v>75</v>
      </c>
      <c r="C65" s="292">
        <v>15</v>
      </c>
      <c r="D65" s="350">
        <f>C65*Assumptions!$C$16</f>
        <v>4699800</v>
      </c>
      <c r="E65" s="1012"/>
      <c r="F65" s="1013">
        <f>Assumptions!$C$115</f>
        <v>3.7854100000000002</v>
      </c>
      <c r="G65" s="1131"/>
      <c r="H65" s="1151">
        <f>'Res dist'!H65</f>
        <v>2.27</v>
      </c>
      <c r="I65" s="1023"/>
      <c r="J65" s="858"/>
      <c r="K65" s="967">
        <f>Gasoline!K65</f>
        <v>0</v>
      </c>
      <c r="L65" s="335">
        <f t="shared" si="28"/>
        <v>0</v>
      </c>
      <c r="M65" s="1014"/>
      <c r="N65" s="1014">
        <f t="shared" si="29"/>
        <v>0</v>
      </c>
      <c r="O65" s="328">
        <f t="shared" si="25"/>
        <v>0</v>
      </c>
      <c r="P65" s="1049"/>
      <c r="Q65" s="1050">
        <f t="shared" si="6"/>
        <v>0</v>
      </c>
      <c r="R65" s="1015"/>
      <c r="S65" s="409"/>
      <c r="T65" s="1016"/>
      <c r="U65" s="1017"/>
      <c r="V65" s="1018"/>
      <c r="W65" s="580">
        <f>'Res dist'!W65</f>
        <v>7.5708200000000003E-2</v>
      </c>
      <c r="X65" s="1019">
        <f t="shared" si="26"/>
        <v>355813.39835999999</v>
      </c>
    </row>
    <row r="66" spans="1:24" x14ac:dyDescent="0.6">
      <c r="B66" s="1" t="s">
        <v>42</v>
      </c>
      <c r="D66" s="13">
        <f>SUM(D4:D65)</f>
        <v>13900128480</v>
      </c>
      <c r="E66" s="398"/>
      <c r="P66" s="414"/>
      <c r="Q66" s="414"/>
      <c r="U66" s="1"/>
      <c r="V66" s="1"/>
      <c r="W66" s="1"/>
      <c r="X66" s="1"/>
    </row>
    <row r="67" spans="1:24" x14ac:dyDescent="0.6">
      <c r="B67" s="1" t="s">
        <v>357</v>
      </c>
      <c r="C67" s="13">
        <v>47779</v>
      </c>
      <c r="D67" s="13">
        <f>C67*Assumptions!C16</f>
        <v>14970116280</v>
      </c>
      <c r="E67" s="398"/>
      <c r="F67" s="83" t="s">
        <v>1757</v>
      </c>
      <c r="G67" s="83"/>
      <c r="I67" s="278">
        <v>2.27</v>
      </c>
      <c r="P67" s="414"/>
      <c r="Q67" s="414"/>
      <c r="U67" s="1"/>
      <c r="V67" s="1"/>
      <c r="W67" s="1"/>
      <c r="X67" s="1"/>
    </row>
    <row r="68" spans="1:24" x14ac:dyDescent="0.6">
      <c r="C68" s="28"/>
      <c r="D68" s="28">
        <f>D66/D67</f>
        <v>0.92852508424203106</v>
      </c>
      <c r="E68" s="398"/>
      <c r="M68" s="278"/>
      <c r="P68" s="414"/>
      <c r="Q68" s="414"/>
      <c r="U68" s="1"/>
      <c r="V68" s="1"/>
      <c r="X68" s="1"/>
    </row>
    <row r="69" spans="1:24" x14ac:dyDescent="0.6">
      <c r="D69" s="1"/>
      <c r="E69" s="398"/>
      <c r="I69" s="83"/>
      <c r="J69" s="1"/>
      <c r="M69" s="1"/>
      <c r="N69" s="1"/>
      <c r="P69" s="414"/>
      <c r="Q69" s="414"/>
      <c r="R69" s="1"/>
      <c r="S69" s="85"/>
      <c r="U69" s="1"/>
      <c r="V69" s="1"/>
      <c r="W69" s="1"/>
      <c r="X69" s="1"/>
    </row>
    <row r="70" spans="1:24" x14ac:dyDescent="0.6">
      <c r="E70" s="398"/>
      <c r="P70" s="414"/>
      <c r="Q70" s="414"/>
    </row>
    <row r="71" spans="1:24" x14ac:dyDescent="0.6">
      <c r="E71" s="398"/>
      <c r="P71" s="414"/>
      <c r="Q71" s="414"/>
    </row>
    <row r="72" spans="1:24" x14ac:dyDescent="0.6">
      <c r="E72" s="398"/>
      <c r="P72" s="414"/>
      <c r="Q72" s="414"/>
    </row>
    <row r="73" spans="1:24" x14ac:dyDescent="0.6">
      <c r="E73" s="398"/>
      <c r="P73" s="414"/>
      <c r="Q73" s="414"/>
    </row>
    <row r="74" spans="1:24" x14ac:dyDescent="0.6">
      <c r="E74" s="398"/>
      <c r="P74" s="414"/>
      <c r="Q74" s="414"/>
    </row>
    <row r="75" spans="1:24" x14ac:dyDescent="0.6">
      <c r="E75" s="398"/>
      <c r="P75" s="414"/>
      <c r="Q75" s="414"/>
    </row>
    <row r="76" spans="1:24" x14ac:dyDescent="0.6">
      <c r="E76" s="398"/>
      <c r="P76" s="414"/>
      <c r="Q76" s="414"/>
    </row>
    <row r="77" spans="1:24" x14ac:dyDescent="0.6">
      <c r="E77" s="398"/>
      <c r="P77" s="414"/>
      <c r="Q77" s="414"/>
    </row>
    <row r="78" spans="1:24" x14ac:dyDescent="0.6">
      <c r="E78" s="398"/>
      <c r="P78" s="414"/>
      <c r="Q78" s="414"/>
    </row>
    <row r="79" spans="1:24" x14ac:dyDescent="0.6">
      <c r="E79" s="398"/>
      <c r="P79" s="414"/>
      <c r="Q79" s="414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6.59765625" style="85" customWidth="1"/>
    <col min="3" max="3" width="7.84765625" style="55" customWidth="1"/>
    <col min="4" max="4" width="11.34765625" style="55" customWidth="1"/>
    <col min="5" max="5" width="9.84765625" style="55" customWidth="1"/>
    <col min="6" max="6" width="8.84765625" style="96" bestFit="1" customWidth="1"/>
    <col min="7" max="7" width="16.09765625" style="1" bestFit="1" customWidth="1"/>
    <col min="8" max="8" width="8.34765625" style="54" customWidth="1"/>
    <col min="9" max="9" width="7.34765625" style="54" customWidth="1"/>
    <col min="10" max="10" width="7.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1087</v>
      </c>
      <c r="D1" s="89"/>
      <c r="E1" s="879"/>
      <c r="G1" s="13"/>
      <c r="H1" s="95" t="s">
        <v>1089</v>
      </c>
      <c r="I1" s="95"/>
      <c r="J1" s="95" t="s">
        <v>1091</v>
      </c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56"/>
      <c r="E2" s="56"/>
      <c r="F2" s="97" t="s">
        <v>189</v>
      </c>
      <c r="G2" s="60" t="s">
        <v>24</v>
      </c>
      <c r="H2" s="95" t="s">
        <v>190</v>
      </c>
      <c r="I2" s="95"/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 t="s">
        <v>1088</v>
      </c>
      <c r="B3" s="60"/>
      <c r="C3" s="56" t="s">
        <v>136</v>
      </c>
      <c r="D3" s="56" t="s">
        <v>137</v>
      </c>
      <c r="E3" s="56" t="s">
        <v>42</v>
      </c>
      <c r="F3" s="97" t="s">
        <v>79</v>
      </c>
      <c r="G3" s="2" t="s">
        <v>400</v>
      </c>
      <c r="H3" s="95" t="s">
        <v>191</v>
      </c>
      <c r="I3" s="95" t="s">
        <v>1090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60">
        <v>1</v>
      </c>
      <c r="B4" s="85" t="s">
        <v>178</v>
      </c>
      <c r="C4" s="89"/>
      <c r="D4" s="89"/>
      <c r="E4" s="89">
        <f t="shared" ref="E4:E35" si="0">D4+C4</f>
        <v>0</v>
      </c>
      <c r="F4" s="959">
        <f>'State gasoline'!K4</f>
        <v>8.9099999999999999E-2</v>
      </c>
      <c r="G4" s="897">
        <v>31321000</v>
      </c>
      <c r="H4" s="156">
        <v>1.623</v>
      </c>
      <c r="I4" s="156">
        <v>0.25</v>
      </c>
      <c r="J4" s="156">
        <f t="shared" ref="J4:J18" si="1">(I4+H4+E4)*(1+F4)</f>
        <v>2.0398842999999998</v>
      </c>
      <c r="K4" s="156">
        <f>(J4-E4)/(1+F4)</f>
        <v>1.8729999999999998</v>
      </c>
      <c r="L4" s="156">
        <f>K4*(1+F4)</f>
        <v>2.0398842999999998</v>
      </c>
      <c r="M4" s="952">
        <f>J4-K4</f>
        <v>0.16688429999999999</v>
      </c>
      <c r="N4" s="70">
        <f>J4*G4</f>
        <v>63891216.160299994</v>
      </c>
      <c r="O4" s="70">
        <f t="shared" ref="O4:O35" si="2">K4*G4</f>
        <v>58664232.999999993</v>
      </c>
      <c r="P4" s="70">
        <f t="shared" ref="P4:P35" si="3">L4*G4</f>
        <v>63891216.160299994</v>
      </c>
      <c r="Q4" s="70">
        <f t="shared" ref="Q4:Q54" si="4">N4-P4</f>
        <v>0</v>
      </c>
    </row>
    <row r="5" spans="1:17" s="85" customFormat="1" x14ac:dyDescent="0.6">
      <c r="A5" s="60">
        <f t="shared" ref="A5:A54" si="5">A4+1</f>
        <v>2</v>
      </c>
      <c r="B5" s="85" t="s">
        <v>188</v>
      </c>
      <c r="C5" s="89">
        <f t="shared" ref="C5:C54" si="6">C4</f>
        <v>0</v>
      </c>
      <c r="D5" s="89"/>
      <c r="E5" s="89">
        <f t="shared" si="0"/>
        <v>0</v>
      </c>
      <c r="F5" s="959">
        <f>'State gasoline'!K5</f>
        <v>1.7600000000000001E-2</v>
      </c>
      <c r="G5" s="897">
        <v>63388000</v>
      </c>
      <c r="H5" s="156">
        <v>2.3679999999999999</v>
      </c>
      <c r="I5" s="156">
        <f>I4</f>
        <v>0.25</v>
      </c>
      <c r="J5" s="156">
        <f t="shared" si="1"/>
        <v>2.6640768000000001</v>
      </c>
      <c r="K5" s="156">
        <f t="shared" ref="K5:K57" si="7">(J5-E5)/(1+F5)</f>
        <v>2.6179999999999999</v>
      </c>
      <c r="L5" s="156">
        <f t="shared" ref="L5:L57" si="8">K5*(1+F5)</f>
        <v>2.6640768000000001</v>
      </c>
      <c r="M5" s="952">
        <f t="shared" ref="M5:M57" si="9">J5-K5</f>
        <v>4.6076800000000251E-2</v>
      </c>
      <c r="N5" s="70">
        <f t="shared" ref="N5:N55" si="10">J5*G5</f>
        <v>168870500.19840002</v>
      </c>
      <c r="O5" s="70">
        <f t="shared" si="2"/>
        <v>165949784</v>
      </c>
      <c r="P5" s="70">
        <f t="shared" si="3"/>
        <v>168870500.19840002</v>
      </c>
      <c r="Q5" s="70">
        <f t="shared" si="4"/>
        <v>0</v>
      </c>
    </row>
    <row r="6" spans="1:17" s="85" customFormat="1" x14ac:dyDescent="0.6">
      <c r="A6" s="60">
        <f t="shared" si="5"/>
        <v>3</v>
      </c>
      <c r="B6" s="85" t="s">
        <v>181</v>
      </c>
      <c r="C6" s="89">
        <f t="shared" si="6"/>
        <v>0</v>
      </c>
      <c r="D6" s="89"/>
      <c r="E6" s="89">
        <f t="shared" si="0"/>
        <v>0</v>
      </c>
      <c r="F6" s="959">
        <f>'State gasoline'!K6</f>
        <v>8.1699999999999995E-2</v>
      </c>
      <c r="G6" s="897">
        <v>45443000</v>
      </c>
      <c r="H6" s="156">
        <v>1.694</v>
      </c>
      <c r="I6" s="156">
        <f t="shared" ref="I6:I56" si="11">I5</f>
        <v>0.25</v>
      </c>
      <c r="J6" s="156">
        <f t="shared" si="1"/>
        <v>2.1028248</v>
      </c>
      <c r="K6" s="156">
        <f t="shared" si="7"/>
        <v>1.944</v>
      </c>
      <c r="L6" s="156">
        <f t="shared" si="8"/>
        <v>2.1028248</v>
      </c>
      <c r="M6" s="952">
        <f t="shared" si="9"/>
        <v>0.1588248000000001</v>
      </c>
      <c r="N6" s="70">
        <f t="shared" si="10"/>
        <v>95558667.386399999</v>
      </c>
      <c r="O6" s="70">
        <f t="shared" si="2"/>
        <v>88341192</v>
      </c>
      <c r="P6" s="70">
        <f t="shared" si="3"/>
        <v>95558667.386399999</v>
      </c>
      <c r="Q6" s="70">
        <f t="shared" si="4"/>
        <v>0</v>
      </c>
    </row>
    <row r="7" spans="1:17" s="85" customFormat="1" x14ac:dyDescent="0.6">
      <c r="A7" s="60">
        <f t="shared" si="5"/>
        <v>4</v>
      </c>
      <c r="B7" s="85" t="s">
        <v>176</v>
      </c>
      <c r="C7" s="89">
        <f t="shared" si="6"/>
        <v>0</v>
      </c>
      <c r="D7" s="89"/>
      <c r="E7" s="89">
        <f t="shared" si="0"/>
        <v>0</v>
      </c>
      <c r="F7" s="959">
        <f>'State gasoline'!K7</f>
        <v>9.2600000000000002E-2</v>
      </c>
      <c r="G7" s="897">
        <v>24757000</v>
      </c>
      <c r="H7" s="156">
        <v>1.681</v>
      </c>
      <c r="I7" s="156">
        <f t="shared" si="11"/>
        <v>0.25</v>
      </c>
      <c r="J7" s="156">
        <f t="shared" si="1"/>
        <v>2.1098105999999999</v>
      </c>
      <c r="K7" s="156">
        <f t="shared" si="7"/>
        <v>1.9309999999999998</v>
      </c>
      <c r="L7" s="156">
        <f t="shared" si="8"/>
        <v>2.1098105999999999</v>
      </c>
      <c r="M7" s="952">
        <f t="shared" si="9"/>
        <v>0.17881060000000004</v>
      </c>
      <c r="N7" s="70">
        <f t="shared" si="10"/>
        <v>52232581.0242</v>
      </c>
      <c r="O7" s="70">
        <f t="shared" si="2"/>
        <v>47805766.999999993</v>
      </c>
      <c r="P7" s="70">
        <f t="shared" si="3"/>
        <v>52232581.0242</v>
      </c>
      <c r="Q7" s="70">
        <f t="shared" si="4"/>
        <v>0</v>
      </c>
    </row>
    <row r="8" spans="1:17" s="85" customFormat="1" x14ac:dyDescent="0.6">
      <c r="A8" s="60">
        <f t="shared" si="5"/>
        <v>5</v>
      </c>
      <c r="B8" s="85" t="s">
        <v>142</v>
      </c>
      <c r="C8" s="89">
        <f t="shared" si="6"/>
        <v>0</v>
      </c>
      <c r="D8" s="89"/>
      <c r="E8" s="89">
        <f t="shared" si="0"/>
        <v>0</v>
      </c>
      <c r="F8" s="959">
        <f>'State gasoline'!K8</f>
        <v>8.4400000000000003E-2</v>
      </c>
      <c r="G8" s="897">
        <v>151890000</v>
      </c>
      <c r="H8" s="156">
        <v>1.7370000000000001</v>
      </c>
      <c r="I8" s="156">
        <f t="shared" si="11"/>
        <v>0.25</v>
      </c>
      <c r="J8" s="156">
        <f t="shared" si="1"/>
        <v>2.1547028000000004</v>
      </c>
      <c r="K8" s="156">
        <f t="shared" si="7"/>
        <v>1.9870000000000003</v>
      </c>
      <c r="L8" s="156">
        <f t="shared" si="8"/>
        <v>2.1547028000000004</v>
      </c>
      <c r="M8" s="952">
        <f t="shared" si="9"/>
        <v>0.16770280000000004</v>
      </c>
      <c r="N8" s="70">
        <f t="shared" si="10"/>
        <v>327277808.29200006</v>
      </c>
      <c r="O8" s="70">
        <f t="shared" si="2"/>
        <v>301805430.00000006</v>
      </c>
      <c r="P8" s="70">
        <f t="shared" si="3"/>
        <v>327277808.29200006</v>
      </c>
      <c r="Q8" s="70">
        <f t="shared" si="4"/>
        <v>0</v>
      </c>
    </row>
    <row r="9" spans="1:17" s="85" customFormat="1" x14ac:dyDescent="0.6">
      <c r="A9" s="60">
        <f t="shared" si="5"/>
        <v>6</v>
      </c>
      <c r="B9" s="85" t="s">
        <v>175</v>
      </c>
      <c r="C9" s="89">
        <f t="shared" si="6"/>
        <v>0</v>
      </c>
      <c r="D9" s="89"/>
      <c r="E9" s="89">
        <f t="shared" si="0"/>
        <v>0</v>
      </c>
      <c r="F9" s="959">
        <f>'State gasoline'!K9</f>
        <v>7.4399999999999994E-2</v>
      </c>
      <c r="G9" s="897">
        <v>37299000</v>
      </c>
      <c r="H9" s="156">
        <v>1.6659999999999999</v>
      </c>
      <c r="I9" s="156">
        <f t="shared" si="11"/>
        <v>0.25</v>
      </c>
      <c r="J9" s="156">
        <f t="shared" si="1"/>
        <v>2.0585504000000001</v>
      </c>
      <c r="K9" s="156">
        <f t="shared" si="7"/>
        <v>1.9160000000000001</v>
      </c>
      <c r="L9" s="156">
        <f t="shared" si="8"/>
        <v>2.0585504000000001</v>
      </c>
      <c r="M9" s="952">
        <f t="shared" si="9"/>
        <v>0.14255039999999997</v>
      </c>
      <c r="N9" s="70">
        <f t="shared" si="10"/>
        <v>76781871.369599998</v>
      </c>
      <c r="O9" s="70">
        <f t="shared" si="2"/>
        <v>71464884</v>
      </c>
      <c r="P9" s="70">
        <f t="shared" si="3"/>
        <v>76781871.369599998</v>
      </c>
      <c r="Q9" s="70">
        <f t="shared" si="4"/>
        <v>0</v>
      </c>
    </row>
    <row r="10" spans="1:17" s="85" customFormat="1" x14ac:dyDescent="0.6">
      <c r="A10" s="60">
        <f t="shared" si="5"/>
        <v>7</v>
      </c>
      <c r="B10" s="85" t="s">
        <v>143</v>
      </c>
      <c r="C10" s="89">
        <f t="shared" si="6"/>
        <v>0</v>
      </c>
      <c r="D10" s="89"/>
      <c r="E10" s="89">
        <f t="shared" si="0"/>
        <v>0</v>
      </c>
      <c r="F10" s="959">
        <f>'State gasoline'!K10</f>
        <v>6.3500000000000001E-2</v>
      </c>
      <c r="G10" s="897">
        <v>91332000</v>
      </c>
      <c r="H10" s="156">
        <v>1.6659999999999999</v>
      </c>
      <c r="I10" s="156">
        <f t="shared" si="11"/>
        <v>0.25</v>
      </c>
      <c r="J10" s="156">
        <f t="shared" si="1"/>
        <v>2.0376659999999998</v>
      </c>
      <c r="K10" s="156">
        <f t="shared" si="7"/>
        <v>1.9159999999999999</v>
      </c>
      <c r="L10" s="156">
        <f t="shared" si="8"/>
        <v>2.0376659999999998</v>
      </c>
      <c r="M10" s="952">
        <f t="shared" si="9"/>
        <v>0.12166599999999983</v>
      </c>
      <c r="N10" s="70">
        <f t="shared" si="10"/>
        <v>186104111.11199999</v>
      </c>
      <c r="O10" s="70">
        <f t="shared" si="2"/>
        <v>174992112</v>
      </c>
      <c r="P10" s="70">
        <f t="shared" si="3"/>
        <v>186104111.11199999</v>
      </c>
      <c r="Q10" s="70">
        <f t="shared" si="4"/>
        <v>0</v>
      </c>
    </row>
    <row r="11" spans="1:17" s="85" customFormat="1" x14ac:dyDescent="0.6">
      <c r="A11" s="60">
        <f t="shared" si="5"/>
        <v>8</v>
      </c>
      <c r="B11" s="85" t="s">
        <v>172</v>
      </c>
      <c r="C11" s="89">
        <f t="shared" si="6"/>
        <v>0</v>
      </c>
      <c r="D11" s="89"/>
      <c r="E11" s="89">
        <f t="shared" si="0"/>
        <v>0</v>
      </c>
      <c r="F11" s="959">
        <f>'State gasoline'!K11</f>
        <v>0</v>
      </c>
      <c r="G11" s="897">
        <v>12006000</v>
      </c>
      <c r="H11" s="156">
        <v>1.696</v>
      </c>
      <c r="I11" s="156">
        <f t="shared" si="11"/>
        <v>0.25</v>
      </c>
      <c r="J11" s="156">
        <f t="shared" si="1"/>
        <v>1.946</v>
      </c>
      <c r="K11" s="156">
        <f t="shared" si="7"/>
        <v>1.946</v>
      </c>
      <c r="L11" s="156">
        <f t="shared" si="8"/>
        <v>1.946</v>
      </c>
      <c r="M11" s="952">
        <f t="shared" si="9"/>
        <v>0</v>
      </c>
      <c r="N11" s="70">
        <f t="shared" si="10"/>
        <v>23363676</v>
      </c>
      <c r="O11" s="70">
        <f t="shared" si="2"/>
        <v>23363676</v>
      </c>
      <c r="P11" s="70">
        <f t="shared" si="3"/>
        <v>23363676</v>
      </c>
      <c r="Q11" s="70">
        <f t="shared" si="4"/>
        <v>0</v>
      </c>
    </row>
    <row r="12" spans="1:17" s="85" customFormat="1" x14ac:dyDescent="0.6">
      <c r="A12" s="60">
        <f t="shared" si="5"/>
        <v>9</v>
      </c>
      <c r="B12" s="85" t="s">
        <v>171</v>
      </c>
      <c r="C12" s="89">
        <f t="shared" si="6"/>
        <v>0</v>
      </c>
      <c r="D12" s="89"/>
      <c r="E12" s="89">
        <f t="shared" si="0"/>
        <v>0</v>
      </c>
      <c r="F12" s="959">
        <f>'State gasoline'!K12</f>
        <v>5.7500000000000002E-2</v>
      </c>
      <c r="G12" s="897">
        <v>5207000</v>
      </c>
      <c r="H12" s="156">
        <f>H24</f>
        <v>1.6479999999999999</v>
      </c>
      <c r="I12" s="156">
        <f t="shared" si="11"/>
        <v>0.25</v>
      </c>
      <c r="J12" s="156">
        <f t="shared" si="1"/>
        <v>2.0071349999999999</v>
      </c>
      <c r="K12" s="156">
        <f t="shared" si="7"/>
        <v>1.8979999999999997</v>
      </c>
      <c r="L12" s="156">
        <f t="shared" si="8"/>
        <v>2.0071349999999999</v>
      </c>
      <c r="M12" s="952">
        <f t="shared" si="9"/>
        <v>0.1091350000000002</v>
      </c>
      <c r="N12" s="70">
        <f t="shared" si="10"/>
        <v>10451151.945</v>
      </c>
      <c r="O12" s="70">
        <f t="shared" si="2"/>
        <v>9882885.9999999981</v>
      </c>
      <c r="P12" s="70">
        <f t="shared" si="3"/>
        <v>10451151.945</v>
      </c>
      <c r="Q12" s="70">
        <f t="shared" si="4"/>
        <v>0</v>
      </c>
    </row>
    <row r="13" spans="1:17" s="85" customFormat="1" x14ac:dyDescent="0.6">
      <c r="A13" s="60">
        <f t="shared" si="5"/>
        <v>10</v>
      </c>
      <c r="B13" s="85" t="s">
        <v>144</v>
      </c>
      <c r="C13" s="89">
        <f t="shared" si="6"/>
        <v>0</v>
      </c>
      <c r="D13" s="89"/>
      <c r="E13" s="89">
        <f t="shared" si="0"/>
        <v>0</v>
      </c>
      <c r="F13" s="959">
        <f>'State gasoline'!K13</f>
        <v>6.6500000000000004E-2</v>
      </c>
      <c r="G13" s="897">
        <v>112084000</v>
      </c>
      <c r="H13" s="156">
        <v>1.77</v>
      </c>
      <c r="I13" s="156">
        <f t="shared" si="11"/>
        <v>0.25</v>
      </c>
      <c r="J13" s="156">
        <f t="shared" si="1"/>
        <v>2.1543299999999999</v>
      </c>
      <c r="K13" s="156">
        <f t="shared" si="7"/>
        <v>2.02</v>
      </c>
      <c r="L13" s="156">
        <f t="shared" si="8"/>
        <v>2.1543299999999999</v>
      </c>
      <c r="M13" s="952">
        <f t="shared" si="9"/>
        <v>0.13432999999999984</v>
      </c>
      <c r="N13" s="70">
        <f t="shared" si="10"/>
        <v>241465923.71999997</v>
      </c>
      <c r="O13" s="70">
        <f t="shared" si="2"/>
        <v>226409680</v>
      </c>
      <c r="P13" s="70">
        <f t="shared" si="3"/>
        <v>241465923.71999997</v>
      </c>
      <c r="Q13" s="70">
        <f t="shared" si="4"/>
        <v>0</v>
      </c>
    </row>
    <row r="14" spans="1:17" s="85" customFormat="1" x14ac:dyDescent="0.6">
      <c r="A14" s="60">
        <f t="shared" si="5"/>
        <v>11</v>
      </c>
      <c r="B14" s="85" t="s">
        <v>154</v>
      </c>
      <c r="C14" s="89">
        <f t="shared" si="6"/>
        <v>0</v>
      </c>
      <c r="D14" s="89"/>
      <c r="E14" s="89">
        <f t="shared" si="0"/>
        <v>0</v>
      </c>
      <c r="F14" s="959">
        <f>'State gasoline'!K14</f>
        <v>6.9599999999999995E-2</v>
      </c>
      <c r="G14" s="897">
        <v>68236000</v>
      </c>
      <c r="H14" s="156">
        <v>1.6519999999999999</v>
      </c>
      <c r="I14" s="156">
        <f t="shared" si="11"/>
        <v>0.25</v>
      </c>
      <c r="J14" s="156">
        <f t="shared" si="1"/>
        <v>2.0343791999999996</v>
      </c>
      <c r="K14" s="156">
        <f t="shared" si="7"/>
        <v>1.9019999999999999</v>
      </c>
      <c r="L14" s="156">
        <f t="shared" si="8"/>
        <v>2.0343791999999996</v>
      </c>
      <c r="M14" s="952">
        <f t="shared" si="9"/>
        <v>0.1323791999999997</v>
      </c>
      <c r="N14" s="70">
        <f t="shared" si="10"/>
        <v>138817899.09119996</v>
      </c>
      <c r="O14" s="70">
        <f t="shared" si="2"/>
        <v>129784872</v>
      </c>
      <c r="P14" s="70">
        <f t="shared" si="3"/>
        <v>138817899.09119996</v>
      </c>
      <c r="Q14" s="70">
        <f t="shared" si="4"/>
        <v>0</v>
      </c>
    </row>
    <row r="15" spans="1:17" s="85" customFormat="1" x14ac:dyDescent="0.6">
      <c r="A15" s="60">
        <f t="shared" si="5"/>
        <v>12</v>
      </c>
      <c r="B15" s="85" t="s">
        <v>141</v>
      </c>
      <c r="C15" s="89">
        <f t="shared" si="6"/>
        <v>0</v>
      </c>
      <c r="D15" s="89"/>
      <c r="E15" s="89">
        <f t="shared" si="0"/>
        <v>0</v>
      </c>
      <c r="F15" s="959">
        <f>'State gasoline'!K15</f>
        <v>4.3499999999999997E-2</v>
      </c>
      <c r="G15" s="897">
        <v>9393000</v>
      </c>
      <c r="H15" s="1152">
        <v>1.8</v>
      </c>
      <c r="I15" s="156">
        <f t="shared" si="11"/>
        <v>0.25</v>
      </c>
      <c r="J15" s="156">
        <f t="shared" si="1"/>
        <v>2.1391749999999998</v>
      </c>
      <c r="K15" s="156">
        <f t="shared" si="7"/>
        <v>2.0499999999999998</v>
      </c>
      <c r="L15" s="156">
        <f t="shared" si="8"/>
        <v>2.1391749999999998</v>
      </c>
      <c r="M15" s="952">
        <f t="shared" si="9"/>
        <v>8.9175000000000004E-2</v>
      </c>
      <c r="N15" s="70">
        <f t="shared" si="10"/>
        <v>20093270.774999999</v>
      </c>
      <c r="O15" s="70">
        <f t="shared" si="2"/>
        <v>19255650</v>
      </c>
      <c r="P15" s="70">
        <f t="shared" si="3"/>
        <v>20093270.774999999</v>
      </c>
      <c r="Q15" s="70">
        <f t="shared" si="4"/>
        <v>0</v>
      </c>
    </row>
    <row r="16" spans="1:17" s="85" customFormat="1" x14ac:dyDescent="0.6">
      <c r="A16" s="60">
        <f t="shared" si="5"/>
        <v>13</v>
      </c>
      <c r="B16" s="85" t="s">
        <v>152</v>
      </c>
      <c r="C16" s="89">
        <f t="shared" si="6"/>
        <v>0</v>
      </c>
      <c r="D16" s="89"/>
      <c r="E16" s="89">
        <f t="shared" si="0"/>
        <v>0</v>
      </c>
      <c r="F16" s="959">
        <f>'State gasoline'!K16</f>
        <v>6.0100000000000001E-2</v>
      </c>
      <c r="G16" s="897">
        <v>14098000</v>
      </c>
      <c r="H16" s="156">
        <v>1.79</v>
      </c>
      <c r="I16" s="156">
        <f t="shared" si="11"/>
        <v>0.25</v>
      </c>
      <c r="J16" s="156">
        <f t="shared" si="1"/>
        <v>2.162604</v>
      </c>
      <c r="K16" s="156">
        <f t="shared" si="7"/>
        <v>2.04</v>
      </c>
      <c r="L16" s="156">
        <f t="shared" si="8"/>
        <v>2.162604</v>
      </c>
      <c r="M16" s="952">
        <f t="shared" si="9"/>
        <v>0.12260399999999994</v>
      </c>
      <c r="N16" s="70">
        <f t="shared" si="10"/>
        <v>30488391.191999998</v>
      </c>
      <c r="O16" s="70">
        <f t="shared" si="2"/>
        <v>28759920</v>
      </c>
      <c r="P16" s="70">
        <f t="shared" si="3"/>
        <v>30488391.191999998</v>
      </c>
      <c r="Q16" s="70">
        <f t="shared" si="4"/>
        <v>0</v>
      </c>
    </row>
    <row r="17" spans="1:17" s="85" customFormat="1" x14ac:dyDescent="0.6">
      <c r="A17" s="60">
        <f t="shared" si="5"/>
        <v>14</v>
      </c>
      <c r="B17" s="85" t="s">
        <v>157</v>
      </c>
      <c r="C17" s="89">
        <f t="shared" si="6"/>
        <v>0</v>
      </c>
      <c r="D17" s="89"/>
      <c r="E17" s="89">
        <f t="shared" si="0"/>
        <v>0</v>
      </c>
      <c r="F17" s="959">
        <f>'State gasoline'!K17</f>
        <v>8.1900000000000001E-2</v>
      </c>
      <c r="G17" s="897">
        <v>49806000</v>
      </c>
      <c r="H17" s="156">
        <v>1.649</v>
      </c>
      <c r="I17" s="156">
        <f t="shared" si="11"/>
        <v>0.25</v>
      </c>
      <c r="J17" s="156">
        <f t="shared" si="1"/>
        <v>2.0545281000000002</v>
      </c>
      <c r="K17" s="156">
        <f t="shared" si="7"/>
        <v>1.899</v>
      </c>
      <c r="L17" s="156">
        <f t="shared" si="8"/>
        <v>2.0545281000000002</v>
      </c>
      <c r="M17" s="952">
        <f t="shared" si="9"/>
        <v>0.15552810000000017</v>
      </c>
      <c r="N17" s="70">
        <f t="shared" si="10"/>
        <v>102327826.5486</v>
      </c>
      <c r="O17" s="70">
        <f t="shared" si="2"/>
        <v>94581594</v>
      </c>
      <c r="P17" s="70">
        <f t="shared" si="3"/>
        <v>102327826.5486</v>
      </c>
      <c r="Q17" s="70">
        <f t="shared" si="4"/>
        <v>0</v>
      </c>
    </row>
    <row r="18" spans="1:17" s="85" customFormat="1" x14ac:dyDescent="0.6">
      <c r="A18" s="60">
        <f t="shared" si="5"/>
        <v>15</v>
      </c>
      <c r="B18" s="85" t="s">
        <v>160</v>
      </c>
      <c r="C18" s="89">
        <f t="shared" si="6"/>
        <v>0</v>
      </c>
      <c r="D18" s="89"/>
      <c r="E18" s="89">
        <f t="shared" si="0"/>
        <v>0</v>
      </c>
      <c r="F18" s="959">
        <f>'State gasoline'!K18</f>
        <v>7.0000000000000007E-2</v>
      </c>
      <c r="G18" s="897">
        <v>32796000</v>
      </c>
      <c r="H18" s="156">
        <v>1.7030000000000001</v>
      </c>
      <c r="I18" s="156">
        <f t="shared" si="11"/>
        <v>0.25</v>
      </c>
      <c r="J18" s="156">
        <f t="shared" si="1"/>
        <v>2.0897100000000002</v>
      </c>
      <c r="K18" s="156">
        <f t="shared" si="7"/>
        <v>1.9530000000000001</v>
      </c>
      <c r="L18" s="156">
        <f t="shared" si="8"/>
        <v>2.0897100000000002</v>
      </c>
      <c r="M18" s="952">
        <f t="shared" si="9"/>
        <v>0.13671000000000011</v>
      </c>
      <c r="N18" s="70">
        <f t="shared" si="10"/>
        <v>68534129.160000011</v>
      </c>
      <c r="O18" s="70">
        <f t="shared" si="2"/>
        <v>64050588</v>
      </c>
      <c r="P18" s="70">
        <f t="shared" si="3"/>
        <v>68534129.160000011</v>
      </c>
      <c r="Q18" s="70">
        <f t="shared" si="4"/>
        <v>0</v>
      </c>
    </row>
    <row r="19" spans="1:17" s="85" customFormat="1" x14ac:dyDescent="0.6">
      <c r="A19" s="60">
        <f t="shared" si="5"/>
        <v>16</v>
      </c>
      <c r="B19" s="85" t="s">
        <v>151</v>
      </c>
      <c r="C19" s="89">
        <f t="shared" si="6"/>
        <v>0</v>
      </c>
      <c r="D19" s="89"/>
      <c r="E19" s="89">
        <f t="shared" si="0"/>
        <v>0</v>
      </c>
      <c r="F19" s="959">
        <f>'State gasoline'!K19</f>
        <v>6.7799999999999999E-2</v>
      </c>
      <c r="G19" s="897">
        <v>37700000</v>
      </c>
      <c r="H19" s="156">
        <v>1.7070000000000001</v>
      </c>
      <c r="I19" s="156">
        <f t="shared" si="11"/>
        <v>0.25</v>
      </c>
      <c r="J19" s="156">
        <f>(I19+H19+E19)*(1+F19)</f>
        <v>2.0896846000000004</v>
      </c>
      <c r="K19" s="156">
        <f t="shared" si="7"/>
        <v>1.9570000000000003</v>
      </c>
      <c r="L19" s="156">
        <f t="shared" si="8"/>
        <v>2.0896846000000004</v>
      </c>
      <c r="M19" s="952">
        <f t="shared" si="9"/>
        <v>0.13268460000000015</v>
      </c>
      <c r="N19" s="70">
        <f t="shared" si="10"/>
        <v>78781109.420000017</v>
      </c>
      <c r="O19" s="70">
        <f t="shared" si="2"/>
        <v>73778900.000000015</v>
      </c>
      <c r="P19" s="70">
        <f t="shared" si="3"/>
        <v>78781109.420000017</v>
      </c>
      <c r="Q19" s="70">
        <f t="shared" si="4"/>
        <v>0</v>
      </c>
    </row>
    <row r="20" spans="1:17" s="85" customFormat="1" x14ac:dyDescent="0.6">
      <c r="A20" s="60">
        <f t="shared" si="5"/>
        <v>17</v>
      </c>
      <c r="B20" s="85" t="s">
        <v>168</v>
      </c>
      <c r="C20" s="89">
        <f t="shared" si="6"/>
        <v>0</v>
      </c>
      <c r="D20" s="89"/>
      <c r="E20" s="89">
        <f t="shared" si="0"/>
        <v>0</v>
      </c>
      <c r="F20" s="959">
        <f>'State gasoline'!K20</f>
        <v>8.2000000000000003E-2</v>
      </c>
      <c r="G20" s="897">
        <v>16901000</v>
      </c>
      <c r="H20" s="156">
        <v>1.669</v>
      </c>
      <c r="I20" s="156">
        <f t="shared" si="11"/>
        <v>0.25</v>
      </c>
      <c r="J20" s="156">
        <f t="shared" ref="J20:J54" si="12">(I20+H20+E20)*(1+F20)</f>
        <v>2.0763580000000004</v>
      </c>
      <c r="K20" s="156">
        <f t="shared" si="7"/>
        <v>1.9190000000000003</v>
      </c>
      <c r="L20" s="156">
        <f t="shared" si="8"/>
        <v>2.0763580000000004</v>
      </c>
      <c r="M20" s="952">
        <f t="shared" si="9"/>
        <v>0.15735800000000011</v>
      </c>
      <c r="N20" s="70">
        <f t="shared" si="10"/>
        <v>35092526.558000006</v>
      </c>
      <c r="O20" s="70">
        <f t="shared" si="2"/>
        <v>32433019.000000004</v>
      </c>
      <c r="P20" s="70">
        <f t="shared" si="3"/>
        <v>35092526.558000006</v>
      </c>
      <c r="Q20" s="70">
        <f t="shared" si="4"/>
        <v>0</v>
      </c>
    </row>
    <row r="21" spans="1:17" s="85" customFormat="1" x14ac:dyDescent="0.6">
      <c r="A21" s="60">
        <f t="shared" si="5"/>
        <v>18</v>
      </c>
      <c r="B21" s="85" t="s">
        <v>167</v>
      </c>
      <c r="C21" s="89">
        <f t="shared" si="6"/>
        <v>0</v>
      </c>
      <c r="D21" s="89"/>
      <c r="E21" s="89">
        <f t="shared" si="0"/>
        <v>0</v>
      </c>
      <c r="F21" s="959">
        <f>'State gasoline'!K21</f>
        <v>0.06</v>
      </c>
      <c r="G21" s="897">
        <v>28136000</v>
      </c>
      <c r="H21" s="156">
        <v>1.7090000000000001</v>
      </c>
      <c r="I21" s="156">
        <f t="shared" si="11"/>
        <v>0.25</v>
      </c>
      <c r="J21" s="156">
        <f t="shared" si="12"/>
        <v>2.0765400000000001</v>
      </c>
      <c r="K21" s="156">
        <f t="shared" si="7"/>
        <v>1.9589999999999999</v>
      </c>
      <c r="L21" s="156">
        <f t="shared" si="8"/>
        <v>2.0765400000000001</v>
      </c>
      <c r="M21" s="952">
        <f t="shared" si="9"/>
        <v>0.1175400000000002</v>
      </c>
      <c r="N21" s="70">
        <f t="shared" si="10"/>
        <v>58425529.440000005</v>
      </c>
      <c r="O21" s="70">
        <f t="shared" si="2"/>
        <v>55118423.999999993</v>
      </c>
      <c r="P21" s="70">
        <f t="shared" si="3"/>
        <v>58425529.440000005</v>
      </c>
      <c r="Q21" s="70">
        <f t="shared" si="4"/>
        <v>0</v>
      </c>
    </row>
    <row r="22" spans="1:17" s="85" customFormat="1" x14ac:dyDescent="0.6">
      <c r="A22" s="60">
        <f t="shared" si="5"/>
        <v>19</v>
      </c>
      <c r="B22" s="85" t="s">
        <v>179</v>
      </c>
      <c r="C22" s="89">
        <f t="shared" si="6"/>
        <v>0</v>
      </c>
      <c r="D22" s="89"/>
      <c r="E22" s="89">
        <f t="shared" si="0"/>
        <v>0</v>
      </c>
      <c r="F22" s="959">
        <f>'State gasoline'!K22</f>
        <v>8.9099999999999999E-2</v>
      </c>
      <c r="G22" s="897">
        <v>22807000</v>
      </c>
      <c r="H22" s="156">
        <v>1.5780000000000001</v>
      </c>
      <c r="I22" s="156">
        <f t="shared" si="11"/>
        <v>0.25</v>
      </c>
      <c r="J22" s="156">
        <f t="shared" si="12"/>
        <v>1.9908748000000001</v>
      </c>
      <c r="K22" s="156">
        <f t="shared" si="7"/>
        <v>1.8280000000000001</v>
      </c>
      <c r="L22" s="156">
        <f t="shared" si="8"/>
        <v>1.9908748000000001</v>
      </c>
      <c r="M22" s="952">
        <f t="shared" si="9"/>
        <v>0.16287479999999999</v>
      </c>
      <c r="N22" s="70">
        <f t="shared" si="10"/>
        <v>45405881.563600004</v>
      </c>
      <c r="O22" s="70">
        <f t="shared" si="2"/>
        <v>41691196</v>
      </c>
      <c r="P22" s="70">
        <f t="shared" si="3"/>
        <v>45405881.563600004</v>
      </c>
      <c r="Q22" s="70">
        <f t="shared" si="4"/>
        <v>0</v>
      </c>
    </row>
    <row r="23" spans="1:17" s="85" customFormat="1" x14ac:dyDescent="0.6">
      <c r="A23" s="60">
        <f t="shared" si="5"/>
        <v>20</v>
      </c>
      <c r="B23" s="85" t="s">
        <v>158</v>
      </c>
      <c r="C23" s="89">
        <f t="shared" si="6"/>
        <v>0</v>
      </c>
      <c r="D23" s="89"/>
      <c r="E23" s="89">
        <f t="shared" si="0"/>
        <v>0</v>
      </c>
      <c r="F23" s="959">
        <f>'State gasoline'!K23</f>
        <v>5.5E-2</v>
      </c>
      <c r="G23" s="897">
        <v>62925000</v>
      </c>
      <c r="H23" s="156">
        <v>1.907</v>
      </c>
      <c r="I23" s="156">
        <f t="shared" si="11"/>
        <v>0.25</v>
      </c>
      <c r="J23" s="156">
        <f t="shared" si="12"/>
        <v>2.2756349999999999</v>
      </c>
      <c r="K23" s="156">
        <f t="shared" si="7"/>
        <v>2.157</v>
      </c>
      <c r="L23" s="156">
        <f t="shared" si="8"/>
        <v>2.2756349999999999</v>
      </c>
      <c r="M23" s="952">
        <f t="shared" si="9"/>
        <v>0.11863499999999982</v>
      </c>
      <c r="N23" s="70">
        <f t="shared" si="10"/>
        <v>143194332.375</v>
      </c>
      <c r="O23" s="70">
        <f t="shared" si="2"/>
        <v>135729225</v>
      </c>
      <c r="P23" s="70">
        <f t="shared" si="3"/>
        <v>143194332.375</v>
      </c>
      <c r="Q23" s="70">
        <f t="shared" si="4"/>
        <v>0</v>
      </c>
    </row>
    <row r="24" spans="1:17" s="85" customFormat="1" x14ac:dyDescent="0.6">
      <c r="A24" s="60">
        <f t="shared" si="5"/>
        <v>21</v>
      </c>
      <c r="B24" s="85" t="s">
        <v>150</v>
      </c>
      <c r="C24" s="89">
        <f t="shared" si="6"/>
        <v>0</v>
      </c>
      <c r="D24" s="89"/>
      <c r="E24" s="89">
        <f t="shared" si="0"/>
        <v>0</v>
      </c>
      <c r="F24" s="959">
        <f>'State gasoline'!K24</f>
        <v>0.06</v>
      </c>
      <c r="G24" s="897">
        <v>64033000</v>
      </c>
      <c r="H24" s="156">
        <v>1.6479999999999999</v>
      </c>
      <c r="I24" s="156">
        <f t="shared" si="11"/>
        <v>0.25</v>
      </c>
      <c r="J24" s="156">
        <f t="shared" si="12"/>
        <v>2.0118800000000001</v>
      </c>
      <c r="K24" s="156">
        <f t="shared" si="7"/>
        <v>1.8979999999999999</v>
      </c>
      <c r="L24" s="156">
        <f t="shared" si="8"/>
        <v>2.0118800000000001</v>
      </c>
      <c r="M24" s="952">
        <f t="shared" si="9"/>
        <v>0.1138800000000002</v>
      </c>
      <c r="N24" s="70">
        <f t="shared" si="10"/>
        <v>128826712.04000001</v>
      </c>
      <c r="O24" s="70">
        <f t="shared" si="2"/>
        <v>121534634</v>
      </c>
      <c r="P24" s="70">
        <f t="shared" si="3"/>
        <v>128826712.04000001</v>
      </c>
      <c r="Q24" s="70">
        <f t="shared" si="4"/>
        <v>0</v>
      </c>
    </row>
    <row r="25" spans="1:17" s="85" customFormat="1" x14ac:dyDescent="0.6">
      <c r="A25" s="60">
        <f t="shared" si="5"/>
        <v>22</v>
      </c>
      <c r="B25" s="85" t="s">
        <v>166</v>
      </c>
      <c r="C25" s="89">
        <f t="shared" si="6"/>
        <v>0</v>
      </c>
      <c r="D25" s="89"/>
      <c r="E25" s="89">
        <f t="shared" si="0"/>
        <v>0</v>
      </c>
      <c r="F25" s="959">
        <f>'State gasoline'!K25</f>
        <v>6.25E-2</v>
      </c>
      <c r="G25" s="897">
        <v>112284000</v>
      </c>
      <c r="H25" s="156">
        <v>1.78</v>
      </c>
      <c r="I25" s="156">
        <f t="shared" si="11"/>
        <v>0.25</v>
      </c>
      <c r="J25" s="156">
        <f t="shared" si="12"/>
        <v>2.1568750000000003</v>
      </c>
      <c r="K25" s="156">
        <f t="shared" si="7"/>
        <v>2.0300000000000002</v>
      </c>
      <c r="L25" s="156">
        <f t="shared" si="8"/>
        <v>2.1568750000000003</v>
      </c>
      <c r="M25" s="952">
        <f t="shared" si="9"/>
        <v>0.12687500000000007</v>
      </c>
      <c r="N25" s="70">
        <f t="shared" si="10"/>
        <v>242182552.50000003</v>
      </c>
      <c r="O25" s="70">
        <f t="shared" si="2"/>
        <v>227936520.00000003</v>
      </c>
      <c r="P25" s="70">
        <f t="shared" si="3"/>
        <v>242182552.50000003</v>
      </c>
      <c r="Q25" s="70">
        <f t="shared" si="4"/>
        <v>0</v>
      </c>
    </row>
    <row r="26" spans="1:17" s="85" customFormat="1" x14ac:dyDescent="0.6">
      <c r="A26" s="60">
        <f t="shared" si="5"/>
        <v>23</v>
      </c>
      <c r="B26" s="85" t="s">
        <v>155</v>
      </c>
      <c r="C26" s="89">
        <f t="shared" si="6"/>
        <v>0</v>
      </c>
      <c r="D26" s="89"/>
      <c r="E26" s="89">
        <f t="shared" si="0"/>
        <v>0</v>
      </c>
      <c r="F26" s="959">
        <f>'State gasoline'!K26</f>
        <v>0.06</v>
      </c>
      <c r="G26" s="897">
        <v>55707000</v>
      </c>
      <c r="H26" s="156">
        <v>1.702</v>
      </c>
      <c r="I26" s="156">
        <f t="shared" si="11"/>
        <v>0.25</v>
      </c>
      <c r="J26" s="156">
        <f t="shared" si="12"/>
        <v>2.0691199999999998</v>
      </c>
      <c r="K26" s="156">
        <f t="shared" si="7"/>
        <v>1.9519999999999997</v>
      </c>
      <c r="L26" s="156">
        <f t="shared" si="8"/>
        <v>2.0691199999999998</v>
      </c>
      <c r="M26" s="952">
        <f t="shared" si="9"/>
        <v>0.11712000000000011</v>
      </c>
      <c r="N26" s="70">
        <f t="shared" si="10"/>
        <v>115264467.83999999</v>
      </c>
      <c r="O26" s="70">
        <f t="shared" si="2"/>
        <v>108740063.99999999</v>
      </c>
      <c r="P26" s="70">
        <f t="shared" si="3"/>
        <v>115264467.83999999</v>
      </c>
      <c r="Q26" s="70">
        <f t="shared" si="4"/>
        <v>0</v>
      </c>
    </row>
    <row r="27" spans="1:17" s="85" customFormat="1" x14ac:dyDescent="0.6">
      <c r="A27" s="60">
        <f t="shared" si="5"/>
        <v>24</v>
      </c>
      <c r="B27" s="85" t="s">
        <v>162</v>
      </c>
      <c r="C27" s="89">
        <f t="shared" si="6"/>
        <v>0</v>
      </c>
      <c r="D27" s="89"/>
      <c r="E27" s="89">
        <f t="shared" si="0"/>
        <v>0</v>
      </c>
      <c r="F27" s="959">
        <f>'State gasoline'!K27</f>
        <v>7.1999999999999995E-2</v>
      </c>
      <c r="G27" s="897">
        <v>43968000</v>
      </c>
      <c r="H27" s="156">
        <v>1.736</v>
      </c>
      <c r="I27" s="156">
        <f t="shared" si="11"/>
        <v>0.25</v>
      </c>
      <c r="J27" s="156">
        <f t="shared" si="12"/>
        <v>2.1289920000000002</v>
      </c>
      <c r="K27" s="156">
        <f t="shared" si="7"/>
        <v>1.986</v>
      </c>
      <c r="L27" s="156">
        <f t="shared" si="8"/>
        <v>2.1289920000000002</v>
      </c>
      <c r="M27" s="952">
        <f t="shared" si="9"/>
        <v>0.14299200000000023</v>
      </c>
      <c r="N27" s="70">
        <f t="shared" si="10"/>
        <v>93607520.256000012</v>
      </c>
      <c r="O27" s="70">
        <f t="shared" si="2"/>
        <v>87320448</v>
      </c>
      <c r="P27" s="70">
        <f t="shared" si="3"/>
        <v>93607520.256000012</v>
      </c>
      <c r="Q27" s="70">
        <f t="shared" si="4"/>
        <v>0</v>
      </c>
    </row>
    <row r="28" spans="1:17" s="85" customFormat="1" x14ac:dyDescent="0.6">
      <c r="A28" s="60">
        <f t="shared" si="5"/>
        <v>25</v>
      </c>
      <c r="B28" s="85" t="s">
        <v>183</v>
      </c>
      <c r="C28" s="89">
        <f t="shared" si="6"/>
        <v>0</v>
      </c>
      <c r="D28" s="89"/>
      <c r="E28" s="89">
        <f t="shared" si="0"/>
        <v>0</v>
      </c>
      <c r="F28" s="959">
        <f>'State gasoline'!K28</f>
        <v>7.0699999999999999E-2</v>
      </c>
      <c r="G28" s="897">
        <v>27158000</v>
      </c>
      <c r="H28" s="156">
        <v>1.6120000000000001</v>
      </c>
      <c r="I28" s="156">
        <f t="shared" si="11"/>
        <v>0.25</v>
      </c>
      <c r="J28" s="156">
        <f t="shared" si="12"/>
        <v>1.9936434000000001</v>
      </c>
      <c r="K28" s="156">
        <f t="shared" si="7"/>
        <v>1.8620000000000001</v>
      </c>
      <c r="L28" s="156">
        <f t="shared" si="8"/>
        <v>1.9936434000000001</v>
      </c>
      <c r="M28" s="952">
        <f t="shared" si="9"/>
        <v>0.13164339999999997</v>
      </c>
      <c r="N28" s="70">
        <f t="shared" si="10"/>
        <v>54143367.457199998</v>
      </c>
      <c r="O28" s="70">
        <f t="shared" si="2"/>
        <v>50568196</v>
      </c>
      <c r="P28" s="70">
        <f t="shared" si="3"/>
        <v>54143367.457199998</v>
      </c>
      <c r="Q28" s="70">
        <f t="shared" si="4"/>
        <v>0</v>
      </c>
    </row>
    <row r="29" spans="1:17" s="85" customFormat="1" x14ac:dyDescent="0.6">
      <c r="A29" s="60">
        <f t="shared" si="5"/>
        <v>26</v>
      </c>
      <c r="B29" s="85" t="s">
        <v>184</v>
      </c>
      <c r="C29" s="89">
        <f t="shared" si="6"/>
        <v>0</v>
      </c>
      <c r="D29" s="89"/>
      <c r="E29" s="89">
        <f t="shared" si="0"/>
        <v>0</v>
      </c>
      <c r="F29" s="959">
        <f>'State gasoline'!K29</f>
        <v>7.8100000000000003E-2</v>
      </c>
      <c r="G29" s="897">
        <v>39748000</v>
      </c>
      <c r="H29" s="156">
        <v>1.677</v>
      </c>
      <c r="I29" s="156">
        <f t="shared" si="11"/>
        <v>0.25</v>
      </c>
      <c r="J29" s="156">
        <f t="shared" si="12"/>
        <v>2.0774987</v>
      </c>
      <c r="K29" s="156">
        <f t="shared" si="7"/>
        <v>1.9269999999999998</v>
      </c>
      <c r="L29" s="156">
        <f t="shared" si="8"/>
        <v>2.0774987</v>
      </c>
      <c r="M29" s="952">
        <f t="shared" si="9"/>
        <v>0.15049870000000021</v>
      </c>
      <c r="N29" s="70">
        <f t="shared" si="10"/>
        <v>82576418.327600002</v>
      </c>
      <c r="O29" s="70">
        <f t="shared" si="2"/>
        <v>76594396</v>
      </c>
      <c r="P29" s="70">
        <f t="shared" si="3"/>
        <v>82576418.327600002</v>
      </c>
      <c r="Q29" s="70">
        <f t="shared" si="4"/>
        <v>0</v>
      </c>
    </row>
    <row r="30" spans="1:17" s="85" customFormat="1" x14ac:dyDescent="0.6">
      <c r="A30" s="60">
        <f t="shared" si="5"/>
        <v>27</v>
      </c>
      <c r="B30" s="85" t="s">
        <v>164</v>
      </c>
      <c r="C30" s="89">
        <f t="shared" si="6"/>
        <v>0</v>
      </c>
      <c r="D30" s="89"/>
      <c r="E30" s="89">
        <f t="shared" si="0"/>
        <v>0</v>
      </c>
      <c r="F30" s="959">
        <f>'State gasoline'!K30</f>
        <v>0</v>
      </c>
      <c r="G30" s="897">
        <v>2216000</v>
      </c>
      <c r="H30" s="156">
        <v>1.7210000000000001</v>
      </c>
      <c r="I30" s="156">
        <f t="shared" si="11"/>
        <v>0.25</v>
      </c>
      <c r="J30" s="156">
        <f t="shared" si="12"/>
        <v>1.9710000000000001</v>
      </c>
      <c r="K30" s="156">
        <f t="shared" si="7"/>
        <v>1.9710000000000001</v>
      </c>
      <c r="L30" s="156">
        <f t="shared" si="8"/>
        <v>1.9710000000000001</v>
      </c>
      <c r="M30" s="952">
        <f t="shared" si="9"/>
        <v>0</v>
      </c>
      <c r="N30" s="70">
        <f t="shared" si="10"/>
        <v>4367736</v>
      </c>
      <c r="O30" s="70">
        <f t="shared" si="2"/>
        <v>4367736</v>
      </c>
      <c r="P30" s="70">
        <f t="shared" si="3"/>
        <v>4367736</v>
      </c>
      <c r="Q30" s="70">
        <f t="shared" si="4"/>
        <v>0</v>
      </c>
    </row>
    <row r="31" spans="1:17" s="85" customFormat="1" x14ac:dyDescent="0.6">
      <c r="A31" s="60">
        <f t="shared" si="5"/>
        <v>28</v>
      </c>
      <c r="B31" s="85" t="s">
        <v>165</v>
      </c>
      <c r="C31" s="89">
        <f t="shared" si="6"/>
        <v>0</v>
      </c>
      <c r="D31" s="89"/>
      <c r="E31" s="89">
        <f t="shared" si="0"/>
        <v>0</v>
      </c>
      <c r="F31" s="959">
        <f>'State gasoline'!K31</f>
        <v>6.8000000000000005E-2</v>
      </c>
      <c r="G31" s="897">
        <v>13562000</v>
      </c>
      <c r="H31" s="156">
        <v>1.7050000000000001</v>
      </c>
      <c r="I31" s="156">
        <f t="shared" si="11"/>
        <v>0.25</v>
      </c>
      <c r="J31" s="156">
        <f t="shared" si="12"/>
        <v>2.0879400000000001</v>
      </c>
      <c r="K31" s="156">
        <f t="shared" si="7"/>
        <v>1.9550000000000001</v>
      </c>
      <c r="L31" s="156">
        <f t="shared" si="8"/>
        <v>2.0879400000000001</v>
      </c>
      <c r="M31" s="952">
        <f t="shared" si="9"/>
        <v>0.13294000000000006</v>
      </c>
      <c r="N31" s="70">
        <f t="shared" si="10"/>
        <v>28316642.280000001</v>
      </c>
      <c r="O31" s="70">
        <f t="shared" si="2"/>
        <v>26513710</v>
      </c>
      <c r="P31" s="70">
        <f t="shared" si="3"/>
        <v>28316642.280000001</v>
      </c>
      <c r="Q31" s="70">
        <f t="shared" si="4"/>
        <v>0</v>
      </c>
    </row>
    <row r="32" spans="1:17" s="85" customFormat="1" x14ac:dyDescent="0.6">
      <c r="A32" s="60">
        <f t="shared" si="5"/>
        <v>29</v>
      </c>
      <c r="B32" s="85" t="s">
        <v>147</v>
      </c>
      <c r="C32" s="89">
        <f t="shared" si="6"/>
        <v>0</v>
      </c>
      <c r="D32" s="89"/>
      <c r="E32" s="89">
        <f t="shared" si="0"/>
        <v>0</v>
      </c>
      <c r="F32" s="959">
        <f>'State gasoline'!K32</f>
        <v>7.9399999999999998E-2</v>
      </c>
      <c r="G32" s="897">
        <v>17153000</v>
      </c>
      <c r="H32" s="156">
        <v>1.76</v>
      </c>
      <c r="I32" s="156">
        <f t="shared" si="11"/>
        <v>0.25</v>
      </c>
      <c r="J32" s="156">
        <f t="shared" si="12"/>
        <v>2.1695939999999996</v>
      </c>
      <c r="K32" s="156">
        <f t="shared" si="7"/>
        <v>2.0099999999999998</v>
      </c>
      <c r="L32" s="156">
        <f t="shared" si="8"/>
        <v>2.1695939999999996</v>
      </c>
      <c r="M32" s="952">
        <f t="shared" si="9"/>
        <v>0.15959399999999979</v>
      </c>
      <c r="N32" s="70">
        <f t="shared" si="10"/>
        <v>37215045.881999992</v>
      </c>
      <c r="O32" s="70">
        <f t="shared" si="2"/>
        <v>34477530</v>
      </c>
      <c r="P32" s="70">
        <f t="shared" si="3"/>
        <v>37215045.881999992</v>
      </c>
      <c r="Q32" s="70">
        <f t="shared" si="4"/>
        <v>0</v>
      </c>
    </row>
    <row r="33" spans="1:17" s="85" customFormat="1" x14ac:dyDescent="0.6">
      <c r="A33" s="60">
        <f t="shared" si="5"/>
        <v>30</v>
      </c>
      <c r="B33" s="85" t="s">
        <v>170</v>
      </c>
      <c r="C33" s="89">
        <f t="shared" si="6"/>
        <v>0</v>
      </c>
      <c r="D33" s="89"/>
      <c r="E33" s="89">
        <f t="shared" si="0"/>
        <v>0</v>
      </c>
      <c r="F33" s="959">
        <f>'State gasoline'!K33</f>
        <v>0</v>
      </c>
      <c r="G33" s="897">
        <v>38127000</v>
      </c>
      <c r="H33" s="1152">
        <f>H25</f>
        <v>1.78</v>
      </c>
      <c r="I33" s="156">
        <f t="shared" si="11"/>
        <v>0.25</v>
      </c>
      <c r="J33" s="156">
        <f t="shared" si="12"/>
        <v>2.0300000000000002</v>
      </c>
      <c r="K33" s="156">
        <f t="shared" si="7"/>
        <v>2.0300000000000002</v>
      </c>
      <c r="L33" s="156">
        <f t="shared" si="8"/>
        <v>2.0300000000000002</v>
      </c>
      <c r="M33" s="952">
        <f t="shared" si="9"/>
        <v>0</v>
      </c>
      <c r="N33" s="70">
        <f t="shared" si="10"/>
        <v>77397810.000000015</v>
      </c>
      <c r="O33" s="70">
        <f t="shared" si="2"/>
        <v>77397810.000000015</v>
      </c>
      <c r="P33" s="70">
        <f t="shared" si="3"/>
        <v>77397810.000000015</v>
      </c>
      <c r="Q33" s="70">
        <f t="shared" si="4"/>
        <v>0</v>
      </c>
    </row>
    <row r="34" spans="1:17" s="85" customFormat="1" x14ac:dyDescent="0.6">
      <c r="A34" s="60">
        <f t="shared" si="5"/>
        <v>31</v>
      </c>
      <c r="B34" s="85" t="s">
        <v>187</v>
      </c>
      <c r="C34" s="89">
        <f t="shared" si="6"/>
        <v>0</v>
      </c>
      <c r="D34" s="89"/>
      <c r="E34" s="89">
        <f t="shared" si="0"/>
        <v>0</v>
      </c>
      <c r="F34" s="959">
        <f>'State gasoline'!K34</f>
        <v>6.9699999999999998E-2</v>
      </c>
      <c r="G34" s="897">
        <v>79495000</v>
      </c>
      <c r="H34" s="156">
        <v>1.6439999999999999</v>
      </c>
      <c r="I34" s="156">
        <f t="shared" si="11"/>
        <v>0.25</v>
      </c>
      <c r="J34" s="156">
        <f t="shared" si="12"/>
        <v>2.0260118</v>
      </c>
      <c r="K34" s="156">
        <f t="shared" si="7"/>
        <v>1.8939999999999999</v>
      </c>
      <c r="L34" s="156">
        <f t="shared" si="8"/>
        <v>2.0260118</v>
      </c>
      <c r="M34" s="952">
        <f t="shared" si="9"/>
        <v>0.13201180000000012</v>
      </c>
      <c r="N34" s="70">
        <f t="shared" si="10"/>
        <v>161057808.04100001</v>
      </c>
      <c r="O34" s="70">
        <f t="shared" si="2"/>
        <v>150563530</v>
      </c>
      <c r="P34" s="70">
        <f t="shared" si="3"/>
        <v>161057808.04100001</v>
      </c>
      <c r="Q34" s="70">
        <f t="shared" si="4"/>
        <v>0</v>
      </c>
    </row>
    <row r="35" spans="1:17" s="85" customFormat="1" x14ac:dyDescent="0.6">
      <c r="A35" s="60">
        <f t="shared" si="5"/>
        <v>32</v>
      </c>
      <c r="B35" s="85" t="s">
        <v>182</v>
      </c>
      <c r="C35" s="89">
        <f t="shared" si="6"/>
        <v>0</v>
      </c>
      <c r="D35" s="89"/>
      <c r="E35" s="89">
        <f t="shared" si="0"/>
        <v>0</v>
      </c>
      <c r="F35" s="959">
        <f>'State gasoline'!K35</f>
        <v>7.3499999999999996E-2</v>
      </c>
      <c r="G35" s="897">
        <v>12428000</v>
      </c>
      <c r="H35" s="156">
        <v>1.6459999999999999</v>
      </c>
      <c r="I35" s="156">
        <f t="shared" si="11"/>
        <v>0.25</v>
      </c>
      <c r="J35" s="156">
        <f t="shared" si="12"/>
        <v>2.0353559999999997</v>
      </c>
      <c r="K35" s="156">
        <f t="shared" si="7"/>
        <v>1.8959999999999999</v>
      </c>
      <c r="L35" s="156">
        <f t="shared" si="8"/>
        <v>2.0353559999999997</v>
      </c>
      <c r="M35" s="952">
        <f t="shared" si="9"/>
        <v>0.13935599999999981</v>
      </c>
      <c r="N35" s="70">
        <f t="shared" si="10"/>
        <v>25295404.367999997</v>
      </c>
      <c r="O35" s="70">
        <f t="shared" si="2"/>
        <v>23563488</v>
      </c>
      <c r="P35" s="70">
        <f t="shared" si="3"/>
        <v>25295404.367999997</v>
      </c>
      <c r="Q35" s="70">
        <f t="shared" si="4"/>
        <v>0</v>
      </c>
    </row>
    <row r="36" spans="1:17" s="85" customFormat="1" x14ac:dyDescent="0.6">
      <c r="A36" s="60">
        <f t="shared" si="5"/>
        <v>33</v>
      </c>
      <c r="B36" s="85" t="s">
        <v>140</v>
      </c>
      <c r="C36" s="89">
        <f t="shared" si="6"/>
        <v>0</v>
      </c>
      <c r="D36" s="89"/>
      <c r="E36" s="89">
        <f t="shared" ref="E36:E54" si="13">D36+C36</f>
        <v>0</v>
      </c>
      <c r="F36" s="959">
        <f>'State gasoline'!K36</f>
        <v>8.48E-2</v>
      </c>
      <c r="G36" s="897">
        <v>401843000</v>
      </c>
      <c r="H36" s="156">
        <v>1.7290000000000001</v>
      </c>
      <c r="I36" s="156">
        <f t="shared" si="11"/>
        <v>0.25</v>
      </c>
      <c r="J36" s="156">
        <f t="shared" si="12"/>
        <v>2.1468191999999999</v>
      </c>
      <c r="K36" s="156">
        <f t="shared" si="7"/>
        <v>1.9789999999999999</v>
      </c>
      <c r="L36" s="156">
        <f t="shared" si="8"/>
        <v>2.1468191999999999</v>
      </c>
      <c r="M36" s="952">
        <f t="shared" si="9"/>
        <v>0.16781920000000006</v>
      </c>
      <c r="N36" s="70">
        <f t="shared" si="10"/>
        <v>862684267.78559995</v>
      </c>
      <c r="O36" s="70">
        <f t="shared" ref="O36:O54" si="14">K36*G36</f>
        <v>795247297</v>
      </c>
      <c r="P36" s="70">
        <f t="shared" ref="P36:P54" si="15">L36*G36</f>
        <v>862684267.78559995</v>
      </c>
      <c r="Q36" s="70">
        <f t="shared" si="4"/>
        <v>0</v>
      </c>
    </row>
    <row r="37" spans="1:17" s="85" customFormat="1" x14ac:dyDescent="0.6">
      <c r="A37" s="60">
        <f t="shared" si="5"/>
        <v>34</v>
      </c>
      <c r="B37" s="85" t="s">
        <v>145</v>
      </c>
      <c r="C37" s="89">
        <f t="shared" si="6"/>
        <v>0</v>
      </c>
      <c r="D37" s="89"/>
      <c r="E37" s="89">
        <f t="shared" si="13"/>
        <v>0</v>
      </c>
      <c r="F37" s="959">
        <f>'State gasoline'!K37</f>
        <v>6.9000000000000006E-2</v>
      </c>
      <c r="G37" s="897">
        <v>53446000</v>
      </c>
      <c r="H37" s="156">
        <v>1.6539999999999999</v>
      </c>
      <c r="I37" s="156">
        <f t="shared" si="11"/>
        <v>0.25</v>
      </c>
      <c r="J37" s="156">
        <f t="shared" si="12"/>
        <v>2.0353759999999999</v>
      </c>
      <c r="K37" s="156">
        <f t="shared" si="7"/>
        <v>1.9039999999999999</v>
      </c>
      <c r="L37" s="156">
        <f t="shared" si="8"/>
        <v>2.0353759999999999</v>
      </c>
      <c r="M37" s="952">
        <f t="shared" si="9"/>
        <v>0.13137599999999994</v>
      </c>
      <c r="N37" s="70">
        <f t="shared" si="10"/>
        <v>108782705.69599999</v>
      </c>
      <c r="O37" s="70">
        <f t="shared" si="14"/>
        <v>101761184</v>
      </c>
      <c r="P37" s="70">
        <f t="shared" si="15"/>
        <v>108782705.69599999</v>
      </c>
      <c r="Q37" s="70">
        <f t="shared" si="4"/>
        <v>0</v>
      </c>
    </row>
    <row r="38" spans="1:17" s="85" customFormat="1" x14ac:dyDescent="0.6">
      <c r="A38" s="60">
        <f t="shared" si="5"/>
        <v>35</v>
      </c>
      <c r="B38" s="85" t="s">
        <v>173</v>
      </c>
      <c r="C38" s="89">
        <f t="shared" si="6"/>
        <v>0</v>
      </c>
      <c r="D38" s="89"/>
      <c r="E38" s="89">
        <f t="shared" si="13"/>
        <v>0</v>
      </c>
      <c r="F38" s="959">
        <f>'State gasoline'!K38</f>
        <v>6.5600000000000006E-2</v>
      </c>
      <c r="G38" s="897">
        <v>12762000</v>
      </c>
      <c r="H38" s="156">
        <v>1.7</v>
      </c>
      <c r="I38" s="156">
        <f t="shared" si="11"/>
        <v>0.25</v>
      </c>
      <c r="J38" s="156">
        <f t="shared" si="12"/>
        <v>2.0779200000000002</v>
      </c>
      <c r="K38" s="156">
        <f t="shared" si="7"/>
        <v>1.95</v>
      </c>
      <c r="L38" s="156">
        <f t="shared" si="8"/>
        <v>2.0779200000000002</v>
      </c>
      <c r="M38" s="952">
        <f t="shared" si="9"/>
        <v>0.12792000000000026</v>
      </c>
      <c r="N38" s="70">
        <f t="shared" si="10"/>
        <v>26518415.040000003</v>
      </c>
      <c r="O38" s="70">
        <f t="shared" si="14"/>
        <v>24885900</v>
      </c>
      <c r="P38" s="70">
        <f t="shared" si="15"/>
        <v>26518415.040000003</v>
      </c>
      <c r="Q38" s="70">
        <f t="shared" si="4"/>
        <v>0</v>
      </c>
    </row>
    <row r="39" spans="1:17" s="85" customFormat="1" x14ac:dyDescent="0.6">
      <c r="A39" s="60">
        <f t="shared" si="5"/>
        <v>36</v>
      </c>
      <c r="B39" s="85" t="s">
        <v>163</v>
      </c>
      <c r="C39" s="89">
        <f t="shared" si="6"/>
        <v>0</v>
      </c>
      <c r="D39" s="89"/>
      <c r="E39" s="89">
        <f t="shared" si="13"/>
        <v>0</v>
      </c>
      <c r="F39" s="959">
        <f>'State gasoline'!K39</f>
        <v>7.0999999999999994E-2</v>
      </c>
      <c r="G39" s="897">
        <v>85513000</v>
      </c>
      <c r="H39" s="156">
        <v>1.67</v>
      </c>
      <c r="I39" s="156">
        <f t="shared" si="11"/>
        <v>0.25</v>
      </c>
      <c r="J39" s="156">
        <f t="shared" si="12"/>
        <v>2.0563199999999999</v>
      </c>
      <c r="K39" s="156">
        <f t="shared" si="7"/>
        <v>1.92</v>
      </c>
      <c r="L39" s="156">
        <f t="shared" si="8"/>
        <v>2.0563199999999999</v>
      </c>
      <c r="M39" s="952">
        <f t="shared" si="9"/>
        <v>0.13632</v>
      </c>
      <c r="N39" s="70">
        <f t="shared" si="10"/>
        <v>175842092.16</v>
      </c>
      <c r="O39" s="70">
        <f t="shared" si="14"/>
        <v>164184960</v>
      </c>
      <c r="P39" s="70">
        <f t="shared" si="15"/>
        <v>175842092.16</v>
      </c>
      <c r="Q39" s="70">
        <f t="shared" si="4"/>
        <v>0</v>
      </c>
    </row>
    <row r="40" spans="1:17" s="85" customFormat="1" x14ac:dyDescent="0.6">
      <c r="A40" s="60">
        <f t="shared" si="5"/>
        <v>37</v>
      </c>
      <c r="B40" s="85" t="s">
        <v>185</v>
      </c>
      <c r="C40" s="89">
        <f t="shared" si="6"/>
        <v>0</v>
      </c>
      <c r="D40" s="89"/>
      <c r="E40" s="89">
        <f t="shared" si="13"/>
        <v>0</v>
      </c>
      <c r="F40" s="959">
        <f>'State gasoline'!K40</f>
        <v>8.77E-2</v>
      </c>
      <c r="G40" s="897">
        <v>34889000</v>
      </c>
      <c r="H40" s="156">
        <v>1.6220000000000001</v>
      </c>
      <c r="I40" s="156">
        <f t="shared" si="11"/>
        <v>0.25</v>
      </c>
      <c r="J40" s="156">
        <f t="shared" si="12"/>
        <v>2.0361743999999997</v>
      </c>
      <c r="K40" s="156">
        <f t="shared" si="7"/>
        <v>1.8719999999999999</v>
      </c>
      <c r="L40" s="156">
        <f t="shared" si="8"/>
        <v>2.0361743999999997</v>
      </c>
      <c r="M40" s="952">
        <f t="shared" si="9"/>
        <v>0.16417439999999983</v>
      </c>
      <c r="N40" s="70">
        <f t="shared" si="10"/>
        <v>71040088.641599983</v>
      </c>
      <c r="O40" s="70">
        <f t="shared" si="14"/>
        <v>65312207.999999993</v>
      </c>
      <c r="P40" s="70">
        <f t="shared" si="15"/>
        <v>71040088.641599983</v>
      </c>
      <c r="Q40" s="70">
        <f t="shared" si="4"/>
        <v>0</v>
      </c>
    </row>
    <row r="41" spans="1:17" s="85" customFormat="1" x14ac:dyDescent="0.6">
      <c r="A41" s="60">
        <f t="shared" si="5"/>
        <v>38</v>
      </c>
      <c r="B41" s="85" t="s">
        <v>153</v>
      </c>
      <c r="C41" s="89">
        <f t="shared" si="6"/>
        <v>0</v>
      </c>
      <c r="D41" s="89"/>
      <c r="E41" s="89">
        <f t="shared" si="13"/>
        <v>0</v>
      </c>
      <c r="F41" s="959">
        <f>'State gasoline'!K41</f>
        <v>0</v>
      </c>
      <c r="G41" s="897">
        <v>16050000</v>
      </c>
      <c r="H41" s="156">
        <v>1.72</v>
      </c>
      <c r="I41" s="156">
        <f t="shared" si="11"/>
        <v>0.25</v>
      </c>
      <c r="J41" s="156">
        <f t="shared" si="12"/>
        <v>1.97</v>
      </c>
      <c r="K41" s="156">
        <f t="shared" si="7"/>
        <v>1.97</v>
      </c>
      <c r="L41" s="156">
        <f t="shared" si="8"/>
        <v>1.97</v>
      </c>
      <c r="M41" s="952">
        <f t="shared" si="9"/>
        <v>0</v>
      </c>
      <c r="N41" s="70">
        <f t="shared" si="10"/>
        <v>31618500</v>
      </c>
      <c r="O41" s="70">
        <f t="shared" si="14"/>
        <v>31618500</v>
      </c>
      <c r="P41" s="70">
        <f t="shared" si="15"/>
        <v>31618500</v>
      </c>
      <c r="Q41" s="70">
        <f t="shared" si="4"/>
        <v>0</v>
      </c>
    </row>
    <row r="42" spans="1:17" s="85" customFormat="1" x14ac:dyDescent="0.6">
      <c r="A42" s="60">
        <f t="shared" si="5"/>
        <v>39</v>
      </c>
      <c r="B42" s="85" t="s">
        <v>138</v>
      </c>
      <c r="C42" s="89">
        <f t="shared" si="6"/>
        <v>0</v>
      </c>
      <c r="D42" s="89"/>
      <c r="E42" s="89">
        <f t="shared" si="13"/>
        <v>0</v>
      </c>
      <c r="F42" s="959">
        <f>'State gasoline'!K42</f>
        <v>6.3399999999999998E-2</v>
      </c>
      <c r="G42" s="897">
        <v>135844000</v>
      </c>
      <c r="H42" s="156">
        <v>1.667</v>
      </c>
      <c r="I42" s="156">
        <f t="shared" si="11"/>
        <v>0.25</v>
      </c>
      <c r="J42" s="156">
        <f t="shared" si="12"/>
        <v>2.0385377999999998</v>
      </c>
      <c r="K42" s="156">
        <f t="shared" si="7"/>
        <v>1.917</v>
      </c>
      <c r="L42" s="156">
        <f t="shared" si="8"/>
        <v>2.0385377999999998</v>
      </c>
      <c r="M42" s="952">
        <f t="shared" si="9"/>
        <v>0.12153779999999981</v>
      </c>
      <c r="N42" s="70">
        <f t="shared" si="10"/>
        <v>276923128.90319997</v>
      </c>
      <c r="O42" s="70">
        <f t="shared" si="14"/>
        <v>260412948</v>
      </c>
      <c r="P42" s="70">
        <f t="shared" si="15"/>
        <v>276923128.90319997</v>
      </c>
      <c r="Q42" s="70">
        <f t="shared" si="4"/>
        <v>0</v>
      </c>
    </row>
    <row r="43" spans="1:17" s="85" customFormat="1" x14ac:dyDescent="0.6">
      <c r="A43" s="60">
        <f t="shared" si="5"/>
        <v>40</v>
      </c>
      <c r="B43" s="85" t="s">
        <v>146</v>
      </c>
      <c r="C43" s="89">
        <f t="shared" si="6"/>
        <v>0</v>
      </c>
      <c r="D43" s="89"/>
      <c r="E43" s="89">
        <f t="shared" si="13"/>
        <v>0</v>
      </c>
      <c r="F43" s="959">
        <f>'State gasoline'!K43</f>
        <v>7.0000000000000007E-2</v>
      </c>
      <c r="G43" s="897">
        <v>22595000</v>
      </c>
      <c r="H43" s="1152">
        <f>H25</f>
        <v>1.78</v>
      </c>
      <c r="I43" s="156">
        <f t="shared" si="11"/>
        <v>0.25</v>
      </c>
      <c r="J43" s="156">
        <f t="shared" si="12"/>
        <v>2.1721000000000004</v>
      </c>
      <c r="K43" s="156">
        <f t="shared" si="7"/>
        <v>2.0300000000000002</v>
      </c>
      <c r="L43" s="156">
        <f t="shared" si="8"/>
        <v>2.1721000000000004</v>
      </c>
      <c r="M43" s="952">
        <f t="shared" si="9"/>
        <v>0.14210000000000012</v>
      </c>
      <c r="N43" s="70">
        <f t="shared" si="10"/>
        <v>49078599.500000007</v>
      </c>
      <c r="O43" s="70">
        <f t="shared" si="14"/>
        <v>45867850.000000007</v>
      </c>
      <c r="P43" s="70">
        <f t="shared" si="15"/>
        <v>49078599.500000007</v>
      </c>
      <c r="Q43" s="70">
        <f t="shared" si="4"/>
        <v>0</v>
      </c>
    </row>
    <row r="44" spans="1:17" s="85" customFormat="1" x14ac:dyDescent="0.6">
      <c r="A44" s="60">
        <f t="shared" si="5"/>
        <v>41</v>
      </c>
      <c r="B44" s="85" t="s">
        <v>186</v>
      </c>
      <c r="C44" s="89">
        <f t="shared" si="6"/>
        <v>0</v>
      </c>
      <c r="D44" s="89"/>
      <c r="E44" s="89">
        <f t="shared" si="13"/>
        <v>0</v>
      </c>
      <c r="F44" s="959">
        <f>'State gasoline'!K44</f>
        <v>7.1300000000000002E-2</v>
      </c>
      <c r="G44" s="897">
        <v>23163000</v>
      </c>
      <c r="H44" s="156">
        <v>1.66</v>
      </c>
      <c r="I44" s="156">
        <f t="shared" si="11"/>
        <v>0.25</v>
      </c>
      <c r="J44" s="156">
        <f t="shared" si="12"/>
        <v>2.0461829999999996</v>
      </c>
      <c r="K44" s="156">
        <f t="shared" si="7"/>
        <v>1.91</v>
      </c>
      <c r="L44" s="156">
        <f t="shared" si="8"/>
        <v>2.0461829999999996</v>
      </c>
      <c r="M44" s="952">
        <f t="shared" si="9"/>
        <v>0.13618299999999972</v>
      </c>
      <c r="N44" s="70">
        <f t="shared" si="10"/>
        <v>47395736.828999989</v>
      </c>
      <c r="O44" s="70">
        <f t="shared" si="14"/>
        <v>44241330</v>
      </c>
      <c r="P44" s="70">
        <f t="shared" si="15"/>
        <v>47395736.828999989</v>
      </c>
      <c r="Q44" s="70">
        <f t="shared" si="4"/>
        <v>0</v>
      </c>
    </row>
    <row r="45" spans="1:17" s="85" customFormat="1" x14ac:dyDescent="0.6">
      <c r="A45" s="60">
        <f t="shared" si="5"/>
        <v>42</v>
      </c>
      <c r="B45" s="85" t="s">
        <v>159</v>
      </c>
      <c r="C45" s="89">
        <f t="shared" si="6"/>
        <v>0</v>
      </c>
      <c r="D45" s="89"/>
      <c r="E45" s="89">
        <f t="shared" si="13"/>
        <v>0</v>
      </c>
      <c r="F45" s="959">
        <f>'State gasoline'!K45</f>
        <v>5.8299999999999998E-2</v>
      </c>
      <c r="G45" s="897">
        <v>5588000</v>
      </c>
      <c r="H45" s="156">
        <v>1.7450000000000001</v>
      </c>
      <c r="I45" s="156">
        <f t="shared" si="11"/>
        <v>0.25</v>
      </c>
      <c r="J45" s="156">
        <f t="shared" si="12"/>
        <v>2.1113085000000003</v>
      </c>
      <c r="K45" s="156">
        <f t="shared" si="7"/>
        <v>1.9950000000000001</v>
      </c>
      <c r="L45" s="156">
        <f t="shared" si="8"/>
        <v>2.1113085000000003</v>
      </c>
      <c r="M45" s="952">
        <f t="shared" si="9"/>
        <v>0.11630850000000015</v>
      </c>
      <c r="N45" s="70">
        <f t="shared" si="10"/>
        <v>11797991.898000002</v>
      </c>
      <c r="O45" s="70">
        <f t="shared" si="14"/>
        <v>11148060</v>
      </c>
      <c r="P45" s="70">
        <f t="shared" si="15"/>
        <v>11797991.898000002</v>
      </c>
      <c r="Q45" s="70">
        <f t="shared" si="4"/>
        <v>0</v>
      </c>
    </row>
    <row r="46" spans="1:17" s="85" customFormat="1" x14ac:dyDescent="0.6">
      <c r="A46" s="60">
        <f t="shared" si="5"/>
        <v>43</v>
      </c>
      <c r="B46" s="85" t="s">
        <v>177</v>
      </c>
      <c r="C46" s="89">
        <f t="shared" si="6"/>
        <v>0</v>
      </c>
      <c r="D46" s="89"/>
      <c r="E46" s="89">
        <f t="shared" si="13"/>
        <v>0</v>
      </c>
      <c r="F46" s="959">
        <f>'State gasoline'!K46</f>
        <v>9.4500000000000001E-2</v>
      </c>
      <c r="G46" s="897">
        <v>34524000</v>
      </c>
      <c r="H46" s="156">
        <v>1.649</v>
      </c>
      <c r="I46" s="156">
        <f t="shared" si="11"/>
        <v>0.25</v>
      </c>
      <c r="J46" s="156">
        <f t="shared" si="12"/>
        <v>2.0784555</v>
      </c>
      <c r="K46" s="156">
        <f t="shared" si="7"/>
        <v>1.899</v>
      </c>
      <c r="L46" s="156">
        <f t="shared" si="8"/>
        <v>2.0784555</v>
      </c>
      <c r="M46" s="952">
        <f t="shared" si="9"/>
        <v>0.17945549999999999</v>
      </c>
      <c r="N46" s="70">
        <f t="shared" si="10"/>
        <v>71756597.681999996</v>
      </c>
      <c r="O46" s="70">
        <f t="shared" si="14"/>
        <v>65561076</v>
      </c>
      <c r="P46" s="70">
        <f t="shared" si="15"/>
        <v>71756597.681999996</v>
      </c>
      <c r="Q46" s="70">
        <f t="shared" si="4"/>
        <v>0</v>
      </c>
    </row>
    <row r="47" spans="1:17" s="85" customFormat="1" x14ac:dyDescent="0.6">
      <c r="A47" s="60">
        <f t="shared" si="5"/>
        <v>44</v>
      </c>
      <c r="B47" s="85" t="s">
        <v>180</v>
      </c>
      <c r="C47" s="89">
        <f t="shared" si="6"/>
        <v>0</v>
      </c>
      <c r="D47" s="89"/>
      <c r="E47" s="89">
        <f t="shared" si="13"/>
        <v>0</v>
      </c>
      <c r="F47" s="959">
        <f>'State gasoline'!K47</f>
        <v>8.0500000000000002E-2</v>
      </c>
      <c r="G47" s="897">
        <v>120586000</v>
      </c>
      <c r="H47" s="156">
        <v>1.615</v>
      </c>
      <c r="I47" s="156">
        <f t="shared" si="11"/>
        <v>0.25</v>
      </c>
      <c r="J47" s="156">
        <f t="shared" si="12"/>
        <v>2.0151325</v>
      </c>
      <c r="K47" s="156">
        <f t="shared" si="7"/>
        <v>1.865</v>
      </c>
      <c r="L47" s="156">
        <f t="shared" si="8"/>
        <v>2.0151325</v>
      </c>
      <c r="M47" s="952">
        <f t="shared" si="9"/>
        <v>0.1501325</v>
      </c>
      <c r="N47" s="70">
        <f t="shared" si="10"/>
        <v>242996767.64500001</v>
      </c>
      <c r="O47" s="70">
        <f t="shared" si="14"/>
        <v>224892890</v>
      </c>
      <c r="P47" s="70">
        <f t="shared" si="15"/>
        <v>242996767.64500001</v>
      </c>
      <c r="Q47" s="70">
        <f t="shared" si="4"/>
        <v>0</v>
      </c>
    </row>
    <row r="48" spans="1:17" s="85" customFormat="1" x14ac:dyDescent="0.6">
      <c r="A48" s="60">
        <f t="shared" si="5"/>
        <v>45</v>
      </c>
      <c r="B48" s="85" t="s">
        <v>161</v>
      </c>
      <c r="C48" s="89">
        <f t="shared" si="6"/>
        <v>0</v>
      </c>
      <c r="D48" s="89"/>
      <c r="E48" s="89">
        <f t="shared" si="13"/>
        <v>0</v>
      </c>
      <c r="F48" s="959">
        <f>'State gasoline'!K48</f>
        <v>6.6799999999999998E-2</v>
      </c>
      <c r="G48" s="897">
        <v>15396000</v>
      </c>
      <c r="H48" s="156">
        <v>1.7070000000000001</v>
      </c>
      <c r="I48" s="156">
        <f t="shared" si="11"/>
        <v>0.25</v>
      </c>
      <c r="J48" s="156">
        <f t="shared" si="12"/>
        <v>2.0877276</v>
      </c>
      <c r="K48" s="156">
        <f t="shared" si="7"/>
        <v>1.9570000000000001</v>
      </c>
      <c r="L48" s="156">
        <f t="shared" si="8"/>
        <v>2.0877276</v>
      </c>
      <c r="M48" s="952">
        <f t="shared" si="9"/>
        <v>0.13072759999999994</v>
      </c>
      <c r="N48" s="70">
        <f t="shared" si="10"/>
        <v>32142654.1296</v>
      </c>
      <c r="O48" s="70">
        <f t="shared" si="14"/>
        <v>30129972</v>
      </c>
      <c r="P48" s="70">
        <f t="shared" si="15"/>
        <v>32142654.1296</v>
      </c>
      <c r="Q48" s="70">
        <f t="shared" si="4"/>
        <v>0</v>
      </c>
    </row>
    <row r="49" spans="1:18" s="85" customFormat="1" x14ac:dyDescent="0.6">
      <c r="A49" s="60">
        <f t="shared" si="5"/>
        <v>46</v>
      </c>
      <c r="B49" s="85" t="s">
        <v>156</v>
      </c>
      <c r="C49" s="89">
        <f t="shared" si="6"/>
        <v>0</v>
      </c>
      <c r="D49" s="89"/>
      <c r="E49" s="89">
        <f t="shared" si="13"/>
        <v>0</v>
      </c>
      <c r="F49" s="959">
        <f>'State gasoline'!K49</f>
        <v>6.1400000000000003E-2</v>
      </c>
      <c r="G49" s="897">
        <v>34452000</v>
      </c>
      <c r="H49" s="1152">
        <f>H25</f>
        <v>1.78</v>
      </c>
      <c r="I49" s="156">
        <f t="shared" si="11"/>
        <v>0.25</v>
      </c>
      <c r="J49" s="156">
        <f t="shared" si="12"/>
        <v>2.1546419999999999</v>
      </c>
      <c r="K49" s="156">
        <f t="shared" si="7"/>
        <v>2.0300000000000002</v>
      </c>
      <c r="L49" s="156">
        <f t="shared" si="8"/>
        <v>2.1546419999999999</v>
      </c>
      <c r="M49" s="952">
        <f t="shared" si="9"/>
        <v>0.1246419999999997</v>
      </c>
      <c r="N49" s="70">
        <f t="shared" si="10"/>
        <v>74231726.184</v>
      </c>
      <c r="O49" s="70">
        <f t="shared" si="14"/>
        <v>69937560.000000015</v>
      </c>
      <c r="P49" s="70">
        <f t="shared" si="15"/>
        <v>74231726.184</v>
      </c>
      <c r="Q49" s="70">
        <f t="shared" si="4"/>
        <v>0</v>
      </c>
    </row>
    <row r="50" spans="1:18" s="85" customFormat="1" x14ac:dyDescent="0.6">
      <c r="A50" s="60">
        <f t="shared" si="5"/>
        <v>47</v>
      </c>
      <c r="B50" s="85" t="s">
        <v>174</v>
      </c>
      <c r="C50" s="89">
        <f t="shared" si="6"/>
        <v>0</v>
      </c>
      <c r="D50" s="89"/>
      <c r="E50" s="89">
        <f t="shared" si="13"/>
        <v>0</v>
      </c>
      <c r="F50" s="959">
        <f>'State gasoline'!K50</f>
        <v>5.6300000000000003E-2</v>
      </c>
      <c r="G50" s="897">
        <v>66777000</v>
      </c>
      <c r="H50" s="156">
        <v>1.653</v>
      </c>
      <c r="I50" s="156">
        <f t="shared" si="11"/>
        <v>0.25</v>
      </c>
      <c r="J50" s="156">
        <f t="shared" si="12"/>
        <v>2.0101388999999998</v>
      </c>
      <c r="K50" s="156">
        <f t="shared" si="7"/>
        <v>1.9029999999999998</v>
      </c>
      <c r="L50" s="156">
        <f t="shared" si="8"/>
        <v>2.0101388999999998</v>
      </c>
      <c r="M50" s="952">
        <f t="shared" si="9"/>
        <v>0.10713890000000004</v>
      </c>
      <c r="N50" s="70">
        <f t="shared" si="10"/>
        <v>134231045.32529998</v>
      </c>
      <c r="O50" s="70">
        <f t="shared" si="14"/>
        <v>127076630.99999999</v>
      </c>
      <c r="P50" s="70">
        <f t="shared" si="15"/>
        <v>134231045.32529998</v>
      </c>
      <c r="Q50" s="70">
        <f t="shared" si="4"/>
        <v>0</v>
      </c>
    </row>
    <row r="51" spans="1:18" s="85" customFormat="1" x14ac:dyDescent="0.6">
      <c r="A51" s="60">
        <f t="shared" si="5"/>
        <v>48</v>
      </c>
      <c r="B51" s="85" t="s">
        <v>139</v>
      </c>
      <c r="C51" s="89">
        <f t="shared" si="6"/>
        <v>0</v>
      </c>
      <c r="D51" s="89"/>
      <c r="E51" s="89">
        <f t="shared" si="13"/>
        <v>0</v>
      </c>
      <c r="F51" s="959">
        <f>'State gasoline'!K51</f>
        <v>8.8900000000000007E-2</v>
      </c>
      <c r="G51" s="897">
        <v>54067000</v>
      </c>
      <c r="H51" s="156">
        <v>1.73</v>
      </c>
      <c r="I51" s="156">
        <f t="shared" si="11"/>
        <v>0.25</v>
      </c>
      <c r="J51" s="156">
        <f t="shared" si="12"/>
        <v>2.1560220000000001</v>
      </c>
      <c r="K51" s="156">
        <f t="shared" si="7"/>
        <v>1.9800000000000002</v>
      </c>
      <c r="L51" s="156">
        <f t="shared" si="8"/>
        <v>2.1560220000000001</v>
      </c>
      <c r="M51" s="952">
        <f t="shared" si="9"/>
        <v>0.1760219999999999</v>
      </c>
      <c r="N51" s="70">
        <f t="shared" si="10"/>
        <v>116569641.47400001</v>
      </c>
      <c r="O51" s="70">
        <f t="shared" si="14"/>
        <v>107052660.00000001</v>
      </c>
      <c r="P51" s="70">
        <f t="shared" si="15"/>
        <v>116569641.47400001</v>
      </c>
      <c r="Q51" s="70">
        <f t="shared" si="4"/>
        <v>0</v>
      </c>
    </row>
    <row r="52" spans="1:18" s="85" customFormat="1" x14ac:dyDescent="0.6">
      <c r="A52" s="60">
        <f t="shared" si="5"/>
        <v>49</v>
      </c>
      <c r="B52" s="85" t="s">
        <v>148</v>
      </c>
      <c r="C52" s="89">
        <f t="shared" si="6"/>
        <v>0</v>
      </c>
      <c r="D52" s="89"/>
      <c r="E52" s="89">
        <f t="shared" si="13"/>
        <v>0</v>
      </c>
      <c r="F52" s="959">
        <f>'State gasoline'!K52</f>
        <v>6.0699999999999997E-2</v>
      </c>
      <c r="G52" s="897">
        <v>19233000</v>
      </c>
      <c r="H52" s="156">
        <v>1.716</v>
      </c>
      <c r="I52" s="156">
        <f t="shared" si="11"/>
        <v>0.25</v>
      </c>
      <c r="J52" s="156">
        <f t="shared" si="12"/>
        <v>2.0853362</v>
      </c>
      <c r="K52" s="156">
        <f t="shared" si="7"/>
        <v>1.966</v>
      </c>
      <c r="L52" s="156">
        <f t="shared" si="8"/>
        <v>2.0853362</v>
      </c>
      <c r="M52" s="952">
        <f t="shared" si="9"/>
        <v>0.1193362</v>
      </c>
      <c r="N52" s="70">
        <f t="shared" si="10"/>
        <v>40107271.134599999</v>
      </c>
      <c r="O52" s="70">
        <f t="shared" si="14"/>
        <v>37812078</v>
      </c>
      <c r="P52" s="70">
        <f t="shared" si="15"/>
        <v>40107271.134599999</v>
      </c>
      <c r="Q52" s="70">
        <f t="shared" si="4"/>
        <v>0</v>
      </c>
    </row>
    <row r="53" spans="1:18" s="85" customFormat="1" x14ac:dyDescent="0.6">
      <c r="A53" s="60">
        <f t="shared" si="5"/>
        <v>50</v>
      </c>
      <c r="B53" s="85" t="s">
        <v>149</v>
      </c>
      <c r="C53" s="89">
        <f t="shared" si="6"/>
        <v>0</v>
      </c>
      <c r="D53" s="89"/>
      <c r="E53" s="89">
        <f t="shared" si="13"/>
        <v>0</v>
      </c>
      <c r="F53" s="959">
        <f>'State gasoline'!K53</f>
        <v>5.4300000000000001E-2</v>
      </c>
      <c r="G53" s="897">
        <v>29987000</v>
      </c>
      <c r="H53" s="156">
        <v>1.726</v>
      </c>
      <c r="I53" s="156">
        <f t="shared" si="11"/>
        <v>0.25</v>
      </c>
      <c r="J53" s="156">
        <f t="shared" si="12"/>
        <v>2.0832967999999998</v>
      </c>
      <c r="K53" s="156">
        <f t="shared" si="7"/>
        <v>1.9759999999999998</v>
      </c>
      <c r="L53" s="156">
        <f t="shared" si="8"/>
        <v>2.0832967999999998</v>
      </c>
      <c r="M53" s="952">
        <f t="shared" si="9"/>
        <v>0.10729680000000008</v>
      </c>
      <c r="N53" s="70">
        <f t="shared" si="10"/>
        <v>62471821.141599998</v>
      </c>
      <c r="O53" s="70">
        <f t="shared" si="14"/>
        <v>59254311.999999993</v>
      </c>
      <c r="P53" s="70">
        <f t="shared" si="15"/>
        <v>62471821.141599998</v>
      </c>
      <c r="Q53" s="70">
        <f t="shared" si="4"/>
        <v>0</v>
      </c>
    </row>
    <row r="54" spans="1:18" s="85" customFormat="1" x14ac:dyDescent="0.6">
      <c r="A54" s="60">
        <f t="shared" si="5"/>
        <v>51</v>
      </c>
      <c r="B54" s="85" t="s">
        <v>169</v>
      </c>
      <c r="C54" s="89">
        <f t="shared" si="6"/>
        <v>0</v>
      </c>
      <c r="D54" s="89"/>
      <c r="E54" s="89">
        <f t="shared" si="13"/>
        <v>0</v>
      </c>
      <c r="F54" s="959">
        <f>'State gasoline'!K54</f>
        <v>5.4699999999999999E-2</v>
      </c>
      <c r="G54" s="897">
        <v>11199000</v>
      </c>
      <c r="H54" s="156">
        <v>1.7290000000000001</v>
      </c>
      <c r="I54" s="156">
        <f t="shared" si="11"/>
        <v>0.25</v>
      </c>
      <c r="J54" s="156">
        <f t="shared" si="12"/>
        <v>2.0872513000000001</v>
      </c>
      <c r="K54" s="156">
        <f t="shared" si="7"/>
        <v>1.9790000000000001</v>
      </c>
      <c r="L54" s="156">
        <f t="shared" si="8"/>
        <v>2.0872513000000001</v>
      </c>
      <c r="M54" s="952">
        <f t="shared" si="9"/>
        <v>0.10825130000000005</v>
      </c>
      <c r="N54" s="70">
        <f t="shared" si="10"/>
        <v>23375127.308700003</v>
      </c>
      <c r="O54" s="70">
        <f t="shared" si="14"/>
        <v>22162821</v>
      </c>
      <c r="P54" s="70">
        <f t="shared" si="15"/>
        <v>23375127.308700003</v>
      </c>
      <c r="Q54" s="70">
        <f t="shared" si="4"/>
        <v>0</v>
      </c>
    </row>
    <row r="55" spans="1:18" s="85" customFormat="1" x14ac:dyDescent="0.6">
      <c r="C55" s="89"/>
      <c r="D55" s="89"/>
      <c r="E55" s="89"/>
      <c r="F55" s="959"/>
      <c r="G55" s="913"/>
      <c r="H55" s="156"/>
      <c r="I55" s="156"/>
      <c r="J55" s="156"/>
      <c r="K55" s="156">
        <f t="shared" si="7"/>
        <v>0</v>
      </c>
      <c r="L55" s="156">
        <f t="shared" si="8"/>
        <v>0</v>
      </c>
      <c r="M55" s="952">
        <f t="shared" si="9"/>
        <v>0</v>
      </c>
      <c r="N55" s="70">
        <f t="shared" si="10"/>
        <v>0</v>
      </c>
      <c r="O55" s="70"/>
      <c r="P55" s="70"/>
    </row>
    <row r="56" spans="1:18" s="104" customFormat="1" x14ac:dyDescent="0.6">
      <c r="B56" s="104" t="s">
        <v>42</v>
      </c>
      <c r="C56" s="942"/>
      <c r="D56" s="942"/>
      <c r="E56" s="942"/>
      <c r="F56" s="959"/>
      <c r="G56" s="951">
        <f>SUM(G4:G55)</f>
        <v>2601318000</v>
      </c>
      <c r="H56" s="881"/>
      <c r="I56" s="156">
        <f t="shared" si="11"/>
        <v>0</v>
      </c>
      <c r="J56" s="156"/>
      <c r="K56" s="156">
        <f t="shared" si="7"/>
        <v>0</v>
      </c>
      <c r="L56" s="881">
        <f t="shared" si="8"/>
        <v>0</v>
      </c>
      <c r="M56" s="952">
        <f t="shared" si="9"/>
        <v>0</v>
      </c>
      <c r="N56" s="593">
        <f>SUM(N4:N55)</f>
        <v>5476974066.8012991</v>
      </c>
      <c r="O56" s="593">
        <f>SUM(O4:O55)</f>
        <v>5122001331</v>
      </c>
      <c r="P56" s="593">
        <f>SUM(P4:P55)</f>
        <v>5476974066.8012991</v>
      </c>
      <c r="Q56" s="593">
        <f>SUM(Q4:Q55)</f>
        <v>0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60"/>
      <c r="G57" s="954"/>
      <c r="H57" s="237"/>
      <c r="I57" s="237"/>
      <c r="J57" s="237"/>
      <c r="K57" s="237">
        <f t="shared" si="7"/>
        <v>0</v>
      </c>
      <c r="L57" s="237">
        <f t="shared" si="8"/>
        <v>0</v>
      </c>
      <c r="M57" s="955">
        <f t="shared" si="9"/>
        <v>0</v>
      </c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174"/>
      <c r="H58" s="156"/>
      <c r="I58" s="156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178"/>
      <c r="G59" s="957">
        <v>2601317000</v>
      </c>
      <c r="H59" s="156"/>
      <c r="I59" s="156"/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/>
      <c r="D60" s="89"/>
      <c r="E60" s="89"/>
      <c r="F60" s="178"/>
      <c r="G60" s="360">
        <f>1-G56/G59</f>
        <v>-3.8442066085941917E-7</v>
      </c>
      <c r="H60" s="156" t="s">
        <v>953</v>
      </c>
      <c r="I60" s="156"/>
      <c r="J60" s="156"/>
      <c r="K60" s="156"/>
      <c r="L60" s="156"/>
      <c r="M60" s="156"/>
      <c r="N60" s="70"/>
      <c r="O60" s="70" t="s">
        <v>26</v>
      </c>
      <c r="P60" s="70">
        <f>N56-O56</f>
        <v>354972735.8012991</v>
      </c>
      <c r="Q60" s="881">
        <f>P60/$G$56</f>
        <v>0.13645880119281806</v>
      </c>
    </row>
    <row r="61" spans="1:18" s="85" customFormat="1" x14ac:dyDescent="0.6">
      <c r="C61" s="89"/>
      <c r="D61" s="89"/>
      <c r="E61" s="89"/>
      <c r="F61" s="174" t="s">
        <v>1746</v>
      </c>
      <c r="G61" s="21">
        <f>LARGE($G$4:$G$54,1)</f>
        <v>401843000</v>
      </c>
      <c r="H61" s="156"/>
      <c r="I61" s="156"/>
      <c r="J61" s="156"/>
      <c r="K61" s="156"/>
      <c r="L61" s="156"/>
      <c r="M61" s="156"/>
      <c r="N61" s="70"/>
      <c r="O61" s="70" t="s">
        <v>654</v>
      </c>
      <c r="P61" s="70">
        <f>P56-O56</f>
        <v>354972735.8012991</v>
      </c>
      <c r="Q61" s="881">
        <f>P61/$G$56</f>
        <v>0.13645880119281806</v>
      </c>
    </row>
    <row r="62" spans="1:18" s="85" customFormat="1" x14ac:dyDescent="0.6">
      <c r="C62" s="89"/>
      <c r="D62" s="89"/>
      <c r="E62" s="89"/>
      <c r="F62" s="174" t="s">
        <v>1744</v>
      </c>
      <c r="G62" s="21">
        <f>LARGE($G$4:$G$54,2)</f>
        <v>151890000</v>
      </c>
      <c r="H62" s="156"/>
      <c r="I62" s="156"/>
      <c r="J62" s="156"/>
      <c r="K62" s="156"/>
      <c r="L62" s="156"/>
      <c r="M62" s="156"/>
      <c r="N62" s="70"/>
      <c r="O62" s="70" t="s">
        <v>602</v>
      </c>
      <c r="P62" s="70">
        <f>P60-P61</f>
        <v>0</v>
      </c>
      <c r="Q62" s="881">
        <f>P62/$G$56</f>
        <v>0</v>
      </c>
    </row>
    <row r="63" spans="1:18" s="85" customFormat="1" x14ac:dyDescent="0.6">
      <c r="C63" s="89"/>
      <c r="D63" s="89"/>
      <c r="E63" s="89"/>
      <c r="F63" s="174" t="s">
        <v>1745</v>
      </c>
      <c r="G63" s="21">
        <f>LARGE($G$4:$G$54,3)</f>
        <v>135844000</v>
      </c>
      <c r="H63" s="156"/>
      <c r="I63" s="156"/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174"/>
      <c r="H64" s="156"/>
      <c r="I64" s="156"/>
      <c r="J64" s="156"/>
      <c r="K64" s="156"/>
      <c r="L64" s="156"/>
      <c r="M64" s="156"/>
      <c r="N64" s="70"/>
      <c r="O64" s="70" t="s">
        <v>686</v>
      </c>
      <c r="Q64" s="506">
        <f>O56/G56</f>
        <v>1.9690023791785549</v>
      </c>
    </row>
    <row r="65" spans="3:18" s="85" customFormat="1" x14ac:dyDescent="0.6">
      <c r="C65" s="89"/>
      <c r="D65" s="89"/>
      <c r="E65" s="89"/>
      <c r="F65" s="174"/>
      <c r="H65" s="156"/>
      <c r="I65" s="156"/>
      <c r="J65" s="156"/>
      <c r="K65" s="156"/>
      <c r="L65" s="156"/>
      <c r="M65" s="156"/>
      <c r="N65" s="70"/>
      <c r="O65" s="70" t="s">
        <v>645</v>
      </c>
      <c r="Q65" s="506">
        <f>N56/G56</f>
        <v>2.105461180371373</v>
      </c>
    </row>
    <row r="66" spans="3:18" s="85" customFormat="1" x14ac:dyDescent="0.6">
      <c r="C66" s="89"/>
      <c r="D66" s="89"/>
      <c r="E66" s="89"/>
      <c r="F66" s="174"/>
      <c r="H66" s="156"/>
      <c r="I66" s="156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174"/>
      <c r="H67" s="156"/>
      <c r="I67" s="156"/>
      <c r="J67" s="156"/>
      <c r="K67" s="156"/>
      <c r="L67" s="156"/>
      <c r="M67" s="156"/>
      <c r="N67" s="70"/>
      <c r="O67" s="17"/>
      <c r="P67" s="1"/>
      <c r="Q67" s="17"/>
      <c r="R67" s="826"/>
    </row>
    <row r="68" spans="3:18" s="85" customFormat="1" x14ac:dyDescent="0.6">
      <c r="C68" s="89"/>
      <c r="D68" s="89"/>
      <c r="E68" s="89"/>
      <c r="F68" s="174"/>
      <c r="H68" s="156"/>
      <c r="I68" s="156"/>
      <c r="J68" s="156"/>
      <c r="K68" s="156"/>
      <c r="L68" s="156"/>
      <c r="M68" s="156"/>
      <c r="N68" s="70"/>
      <c r="O68" s="1"/>
      <c r="P68" s="1"/>
      <c r="Q68" s="70"/>
      <c r="R68" s="17"/>
    </row>
    <row r="69" spans="3:18" s="85" customFormat="1" x14ac:dyDescent="0.6">
      <c r="C69" s="89"/>
      <c r="D69" s="89"/>
      <c r="E69" s="89"/>
      <c r="F69" s="174"/>
      <c r="H69" s="156"/>
      <c r="I69" s="156"/>
      <c r="J69" s="156"/>
      <c r="K69" s="156"/>
      <c r="L69" s="156"/>
      <c r="M69" s="156"/>
      <c r="N69" s="70"/>
      <c r="O69" s="1"/>
      <c r="P69" s="1"/>
      <c r="Q69" s="70"/>
      <c r="R69" s="17"/>
    </row>
    <row r="70" spans="3:18" s="85" customFormat="1" x14ac:dyDescent="0.6">
      <c r="C70" s="89"/>
      <c r="D70" s="89"/>
      <c r="E70" s="89"/>
      <c r="F70" s="174"/>
      <c r="H70" s="156"/>
      <c r="I70" s="156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174"/>
      <c r="H71" s="156"/>
      <c r="I71" s="156"/>
      <c r="J71" s="156"/>
      <c r="K71" s="156"/>
      <c r="L71" s="156"/>
      <c r="M71" s="156"/>
      <c r="N71" s="70"/>
      <c r="O71" s="1"/>
      <c r="P71" s="1"/>
      <c r="Q71" s="891"/>
      <c r="R71" s="929"/>
    </row>
    <row r="72" spans="3:18" s="85" customFormat="1" x14ac:dyDescent="0.6">
      <c r="C72" s="89"/>
      <c r="D72" s="89"/>
      <c r="E72" s="89"/>
      <c r="F72" s="174"/>
      <c r="H72" s="156"/>
      <c r="I72" s="156"/>
      <c r="J72" s="156"/>
      <c r="K72" s="156"/>
      <c r="L72" s="156"/>
      <c r="M72" s="156"/>
      <c r="N72" s="70"/>
      <c r="O72" s="1"/>
      <c r="P72" s="1"/>
      <c r="Q72" s="891"/>
      <c r="R72" s="929"/>
    </row>
    <row r="73" spans="3:18" s="85" customFormat="1" x14ac:dyDescent="0.6">
      <c r="C73" s="89"/>
      <c r="D73" s="89"/>
      <c r="E73" s="89"/>
      <c r="F73" s="174"/>
      <c r="H73" s="156"/>
      <c r="I73" s="156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174"/>
      <c r="H74" s="156"/>
      <c r="I74" s="156"/>
      <c r="J74" s="156"/>
      <c r="K74" s="156"/>
      <c r="L74" s="156"/>
      <c r="M74" s="156"/>
      <c r="N74" s="70"/>
      <c r="O74" s="1"/>
      <c r="P74" s="1"/>
      <c r="Q74" s="821"/>
      <c r="R74" s="17"/>
    </row>
    <row r="75" spans="3:18" s="85" customFormat="1" x14ac:dyDescent="0.6">
      <c r="C75" s="89"/>
      <c r="D75" s="89"/>
      <c r="E75" s="89"/>
      <c r="F75" s="174"/>
      <c r="H75" s="156"/>
      <c r="I75" s="156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174"/>
      <c r="H76" s="156"/>
      <c r="I76" s="156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174"/>
      <c r="H77" s="156"/>
      <c r="I77" s="156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174"/>
      <c r="H78" s="156"/>
      <c r="I78" s="156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174"/>
      <c r="H79" s="156"/>
      <c r="I79" s="156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85" customFormat="1" x14ac:dyDescent="0.6">
      <c r="C80" s="89"/>
      <c r="D80" s="89"/>
      <c r="E80" s="89"/>
      <c r="F80" s="174"/>
      <c r="H80" s="156"/>
      <c r="I80" s="156"/>
      <c r="J80" s="156"/>
      <c r="K80" s="156"/>
      <c r="L80" s="156"/>
      <c r="M80" s="156"/>
      <c r="N80" s="70"/>
      <c r="O80" s="17"/>
      <c r="P80" s="17"/>
      <c r="Q80" s="70"/>
      <c r="R80" s="1"/>
    </row>
    <row r="81" spans="3:16" s="85" customFormat="1" x14ac:dyDescent="0.6">
      <c r="C81" s="89"/>
      <c r="D81" s="89"/>
      <c r="E81" s="89"/>
      <c r="F81" s="174"/>
      <c r="H81" s="156"/>
      <c r="I81" s="156"/>
      <c r="J81" s="156"/>
      <c r="K81" s="156"/>
      <c r="L81" s="156"/>
      <c r="M81" s="156"/>
      <c r="N81" s="70"/>
      <c r="O81" s="70"/>
      <c r="P81" s="70"/>
    </row>
    <row r="82" spans="3:16" s="85" customFormat="1" x14ac:dyDescent="0.6">
      <c r="C82" s="89"/>
      <c r="D82" s="89"/>
      <c r="E82" s="89"/>
      <c r="F82" s="174"/>
      <c r="H82" s="156"/>
      <c r="I82" s="156"/>
      <c r="J82" s="156"/>
      <c r="K82" s="156"/>
      <c r="L82" s="156"/>
      <c r="M82" s="156"/>
      <c r="N82" s="70"/>
      <c r="O82" s="70"/>
      <c r="P82" s="70"/>
    </row>
    <row r="83" spans="3:16" s="85" customFormat="1" x14ac:dyDescent="0.6">
      <c r="C83" s="89"/>
      <c r="D83" s="89"/>
      <c r="E83" s="89"/>
      <c r="F83" s="174"/>
      <c r="H83" s="156"/>
      <c r="I83" s="156"/>
      <c r="J83" s="156"/>
      <c r="K83" s="156"/>
      <c r="L83" s="156"/>
      <c r="M83" s="156"/>
      <c r="N83" s="70"/>
      <c r="O83" s="70"/>
      <c r="P83" s="70"/>
    </row>
    <row r="84" spans="3:16" s="85" customFormat="1" x14ac:dyDescent="0.6">
      <c r="C84" s="89"/>
      <c r="D84" s="89"/>
      <c r="E84" s="89"/>
      <c r="F84" s="174"/>
      <c r="H84" s="156"/>
      <c r="I84" s="156"/>
      <c r="J84" s="156"/>
      <c r="K84" s="156"/>
      <c r="L84" s="156"/>
      <c r="M84" s="156"/>
      <c r="N84" s="70"/>
      <c r="O84" s="70"/>
      <c r="P84" s="70"/>
    </row>
    <row r="85" spans="3:16" s="85" customFormat="1" x14ac:dyDescent="0.6">
      <c r="C85" s="89"/>
      <c r="D85" s="89"/>
      <c r="E85" s="89"/>
      <c r="F85" s="174"/>
      <c r="H85" s="156"/>
      <c r="I85" s="156"/>
      <c r="J85" s="156"/>
      <c r="K85" s="156"/>
      <c r="L85" s="156"/>
      <c r="M85" s="156"/>
      <c r="N85" s="70"/>
      <c r="O85" s="70"/>
      <c r="P85" s="70"/>
    </row>
    <row r="86" spans="3:16" s="85" customFormat="1" x14ac:dyDescent="0.6">
      <c r="C86" s="89"/>
      <c r="D86" s="89"/>
      <c r="E86" s="89"/>
      <c r="F86" s="174"/>
      <c r="H86" s="156"/>
      <c r="I86" s="156"/>
      <c r="J86" s="156"/>
      <c r="K86" s="156"/>
      <c r="L86" s="156"/>
      <c r="M86" s="156"/>
      <c r="N86" s="70"/>
      <c r="O86" s="70"/>
      <c r="P86" s="7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3.59765625" style="1" customWidth="1"/>
    <col min="3" max="3" width="10.5" style="1160" bestFit="1" customWidth="1"/>
    <col min="4" max="4" width="9" style="13" bestFit="1" customWidth="1"/>
    <col min="5" max="5" width="11.34765625" style="13" customWidth="1"/>
    <col min="6" max="6" width="16.09765625" style="13" bestFit="1" customWidth="1"/>
    <col min="7" max="7" width="10.5" style="55" customWidth="1"/>
    <col min="8" max="8" width="10.84765625" style="7" bestFit="1" customWidth="1"/>
    <col min="9" max="9" width="11.09765625" style="1" bestFit="1" customWidth="1"/>
    <col min="10" max="10" width="11.09765625" style="10" bestFit="1" customWidth="1"/>
    <col min="11" max="11" width="12.5" style="411" bestFit="1" customWidth="1"/>
    <col min="12" max="12" width="9.34765625" style="10" bestFit="1" customWidth="1"/>
    <col min="13" max="13" width="9.5" style="28" customWidth="1"/>
    <col min="14" max="14" width="9.5" style="331" customWidth="1"/>
    <col min="15" max="16" width="10.34765625" style="10" customWidth="1"/>
    <col min="17" max="17" width="15" style="271" bestFit="1" customWidth="1"/>
    <col min="18" max="18" width="9.5" style="271" customWidth="1"/>
    <col min="19" max="19" width="15.84765625" style="271" customWidth="1"/>
    <col min="20" max="20" width="9.5" style="10" customWidth="1"/>
    <col min="21" max="21" width="16" style="70" bestFit="1" customWidth="1"/>
    <col min="22" max="22" width="19.59765625" style="57" bestFit="1" customWidth="1"/>
    <col min="23" max="23" width="15" style="17" bestFit="1" customWidth="1"/>
    <col min="24" max="24" width="17.5" style="17" bestFit="1" customWidth="1"/>
    <col min="25" max="25" width="10.59765625" style="10" bestFit="1" customWidth="1"/>
    <col min="26" max="26" width="17.5" style="17" bestFit="1" customWidth="1"/>
    <col min="27" max="16384" width="10.84765625" style="1"/>
  </cols>
  <sheetData>
    <row r="1" spans="1:26" x14ac:dyDescent="0.6">
      <c r="A1" s="24" t="s">
        <v>1092</v>
      </c>
      <c r="C1" s="1154" t="s">
        <v>855</v>
      </c>
      <c r="D1" s="19"/>
      <c r="E1" s="19"/>
      <c r="G1" s="107"/>
      <c r="L1" s="55"/>
    </row>
    <row r="2" spans="1:26" s="2" customFormat="1" x14ac:dyDescent="0.6">
      <c r="C2" s="1155" t="s">
        <v>1094</v>
      </c>
      <c r="D2" s="14" t="s">
        <v>875</v>
      </c>
      <c r="E2" s="14"/>
      <c r="F2" s="14"/>
      <c r="G2" s="56"/>
      <c r="H2" s="8" t="s">
        <v>87</v>
      </c>
      <c r="I2" s="11" t="s">
        <v>638</v>
      </c>
      <c r="J2" s="11" t="s">
        <v>638</v>
      </c>
      <c r="K2" s="455" t="s">
        <v>627</v>
      </c>
      <c r="L2" s="11" t="s">
        <v>627</v>
      </c>
      <c r="M2" s="71" t="s">
        <v>194</v>
      </c>
      <c r="N2" s="332" t="s">
        <v>194</v>
      </c>
      <c r="O2" s="11" t="s">
        <v>194</v>
      </c>
      <c r="P2" s="11" t="s">
        <v>650</v>
      </c>
      <c r="Q2" s="272" t="s">
        <v>397</v>
      </c>
      <c r="R2" s="272" t="s">
        <v>881</v>
      </c>
      <c r="S2" s="272" t="s">
        <v>1747</v>
      </c>
      <c r="T2" s="11" t="s">
        <v>42</v>
      </c>
      <c r="U2" s="114"/>
      <c r="V2" s="58"/>
      <c r="W2" s="18" t="s">
        <v>42</v>
      </c>
      <c r="X2" s="18"/>
      <c r="Y2" s="11" t="s">
        <v>645</v>
      </c>
      <c r="Z2" s="18"/>
    </row>
    <row r="3" spans="1:26" s="2" customFormat="1" x14ac:dyDescent="0.6">
      <c r="C3" s="1155" t="s">
        <v>94</v>
      </c>
      <c r="D3" s="14" t="s">
        <v>1093</v>
      </c>
      <c r="E3" s="14" t="s">
        <v>1097</v>
      </c>
      <c r="F3" s="14" t="s">
        <v>25</v>
      </c>
      <c r="G3" s="56" t="s">
        <v>41</v>
      </c>
      <c r="H3" s="8" t="s">
        <v>22</v>
      </c>
      <c r="I3" s="11" t="s">
        <v>649</v>
      </c>
      <c r="J3" s="11" t="s">
        <v>639</v>
      </c>
      <c r="K3" s="6" t="s">
        <v>661</v>
      </c>
      <c r="L3" s="11" t="s">
        <v>606</v>
      </c>
      <c r="M3" s="71" t="s">
        <v>84</v>
      </c>
      <c r="N3" s="332" t="s">
        <v>651</v>
      </c>
      <c r="O3" s="11" t="s">
        <v>652</v>
      </c>
      <c r="P3" s="11" t="s">
        <v>403</v>
      </c>
      <c r="Q3" s="272" t="s">
        <v>79</v>
      </c>
      <c r="R3" s="272" t="s">
        <v>79</v>
      </c>
      <c r="S3" s="272" t="s">
        <v>85</v>
      </c>
      <c r="T3" s="11" t="s">
        <v>198</v>
      </c>
      <c r="U3" s="114" t="s">
        <v>602</v>
      </c>
      <c r="V3" s="58" t="s">
        <v>76</v>
      </c>
      <c r="W3" s="18" t="s">
        <v>77</v>
      </c>
      <c r="X3" s="18" t="s">
        <v>34</v>
      </c>
      <c r="Y3" s="11" t="s">
        <v>639</v>
      </c>
      <c r="Z3" s="18" t="s">
        <v>642</v>
      </c>
    </row>
    <row r="4" spans="1:26" x14ac:dyDescent="0.6">
      <c r="A4" s="61">
        <v>1</v>
      </c>
      <c r="B4" s="44" t="s">
        <v>37</v>
      </c>
      <c r="C4" s="1156">
        <v>184940</v>
      </c>
      <c r="D4" s="961">
        <f>C4-Diesel!C4-'Res dist'!C4-'Com dist'!C4</f>
        <v>25974</v>
      </c>
      <c r="E4" s="961">
        <f>1547+114</f>
        <v>1661</v>
      </c>
      <c r="F4" s="345">
        <f>(D4+E4)*Assumptions!$C$16</f>
        <v>8658598200</v>
      </c>
      <c r="G4" s="399">
        <v>1</v>
      </c>
      <c r="H4" s="297">
        <f>Assumptions!$C$115</f>
        <v>3.7854100000000002</v>
      </c>
      <c r="I4" s="389"/>
      <c r="J4" s="301">
        <f>'State Ind Dist'!S64</f>
        <v>1.6930090350738356</v>
      </c>
      <c r="K4" s="452"/>
      <c r="L4" s="306"/>
      <c r="M4" s="329"/>
      <c r="N4" s="329">
        <f>M4*J4</f>
        <v>0</v>
      </c>
      <c r="O4" s="329">
        <f>N4*K4</f>
        <v>0</v>
      </c>
      <c r="P4" s="313"/>
      <c r="Q4" s="314"/>
      <c r="R4" s="1053">
        <f>L4+P4</f>
        <v>0</v>
      </c>
      <c r="S4" s="1047"/>
      <c r="T4" s="310"/>
      <c r="U4" s="366">
        <f>S4-Q4</f>
        <v>0</v>
      </c>
      <c r="V4" s="336">
        <f>-'OECD distillate subsidies'!F2</f>
        <v>-16991174</v>
      </c>
      <c r="W4" s="342">
        <f>V4*G4</f>
        <v>-16991174</v>
      </c>
      <c r="X4" s="111">
        <f>U4+W4</f>
        <v>-16991174</v>
      </c>
      <c r="Y4" s="320">
        <f t="shared" ref="Y4:Y34" si="0">(J4+L4)*(1+M4)</f>
        <v>1.6930090350738356</v>
      </c>
      <c r="Z4" s="342">
        <f>Y4*F4+W4</f>
        <v>14642093809.674049</v>
      </c>
    </row>
    <row r="5" spans="1:26" s="2" customFormat="1" x14ac:dyDescent="0.6">
      <c r="A5" s="40" t="s">
        <v>394</v>
      </c>
      <c r="B5" s="40"/>
      <c r="C5" s="1157"/>
      <c r="D5" s="1153"/>
      <c r="E5" s="1153"/>
      <c r="F5" s="346"/>
      <c r="G5" s="418"/>
      <c r="H5" s="298"/>
      <c r="I5" s="385"/>
      <c r="J5" s="302"/>
      <c r="K5" s="456"/>
      <c r="L5" s="307"/>
      <c r="M5" s="358"/>
      <c r="N5" s="333"/>
      <c r="O5" s="316"/>
      <c r="P5" s="316"/>
      <c r="Q5" s="317"/>
      <c r="R5" s="1051"/>
      <c r="S5" s="1052"/>
      <c r="T5" s="311"/>
      <c r="U5" s="367"/>
      <c r="V5" s="338"/>
      <c r="W5" s="343"/>
      <c r="X5" s="165"/>
      <c r="Y5" s="316"/>
      <c r="Z5" s="343"/>
    </row>
    <row r="6" spans="1:26" x14ac:dyDescent="0.6">
      <c r="A6" s="46">
        <f>A4+1</f>
        <v>2</v>
      </c>
      <c r="B6" s="44" t="s">
        <v>0</v>
      </c>
      <c r="C6" s="1156">
        <v>10879</v>
      </c>
      <c r="D6" s="961">
        <f>C6-Diesel!C6-'Res dist'!C6-'Com dist'!C6</f>
        <v>525</v>
      </c>
      <c r="E6" s="961">
        <f>1+3</f>
        <v>4</v>
      </c>
      <c r="F6" s="345">
        <f>(D6+E6)*Assumptions!$C$16</f>
        <v>165746280</v>
      </c>
      <c r="G6" s="391">
        <f>Assumptions!$H$3</f>
        <v>1.1863330000000001</v>
      </c>
      <c r="H6" s="297">
        <f>Assumptions!$C$115</f>
        <v>3.7854100000000002</v>
      </c>
      <c r="I6" s="422">
        <f>'Com dist'!G6</f>
        <v>0.44879000000000002</v>
      </c>
      <c r="J6" s="301">
        <f t="shared" ref="J6:J26" si="1">I6*G6*H6</f>
        <v>2.015406744958649</v>
      </c>
      <c r="K6" s="427">
        <v>0.48</v>
      </c>
      <c r="L6" s="286">
        <f>K6*G6*H6</f>
        <v>2.1555632647344001</v>
      </c>
      <c r="M6" s="322">
        <f>'Com dist'!K6</f>
        <v>0</v>
      </c>
      <c r="N6" s="329">
        <f t="shared" ref="N6:N26" si="2">M6*J6</f>
        <v>0</v>
      </c>
      <c r="O6" s="281">
        <f t="shared" ref="O6:O26" si="3">M6*L6</f>
        <v>0</v>
      </c>
      <c r="P6" s="281">
        <f>O6+N6</f>
        <v>0</v>
      </c>
      <c r="Q6" s="314">
        <f t="shared" ref="Q6:Q26" si="4">N6*F6</f>
        <v>0</v>
      </c>
      <c r="R6" s="1053">
        <f t="shared" ref="R6:R39" si="5">L6+P6</f>
        <v>2.1555632647344001</v>
      </c>
      <c r="S6" s="1047">
        <f t="shared" ref="S6:S65" si="6">R6*F6</f>
        <v>357276592.43438202</v>
      </c>
      <c r="T6" s="268">
        <f t="shared" ref="T6:T26" si="7">O6+L6</f>
        <v>2.1555632647344001</v>
      </c>
      <c r="U6" s="366">
        <f t="shared" ref="U6:U26" si="8">F6*T6</f>
        <v>357276592.43438202</v>
      </c>
      <c r="V6" s="336">
        <f>-'OECD distillate subsidies'!F51</f>
        <v>0</v>
      </c>
      <c r="W6" s="342">
        <f>-'OECD distillate subsidies'!F51</f>
        <v>0</v>
      </c>
      <c r="X6" s="111">
        <f t="shared" ref="X6:X26" si="9">U6+W6</f>
        <v>357276592.43438202</v>
      </c>
      <c r="Y6" s="281">
        <f t="shared" si="0"/>
        <v>4.1709700096930487</v>
      </c>
      <c r="Z6" s="342">
        <f t="shared" ref="Z6:Z26" si="10">Y6*F6+W6</f>
        <v>691322763.09818673</v>
      </c>
    </row>
    <row r="7" spans="1:26" x14ac:dyDescent="0.6">
      <c r="A7" s="46">
        <f>A6+1</f>
        <v>3</v>
      </c>
      <c r="B7" s="44" t="s">
        <v>1</v>
      </c>
      <c r="C7" s="1156">
        <v>4285</v>
      </c>
      <c r="D7" s="961">
        <f>C7-Diesel!C7-'Res dist'!C7-'Com dist'!C7</f>
        <v>392</v>
      </c>
      <c r="E7" s="961">
        <v>4</v>
      </c>
      <c r="F7" s="345">
        <f>(D7+E7)*Assumptions!$C$16</f>
        <v>124074720</v>
      </c>
      <c r="G7" s="391">
        <f>Assumptions!$H$15</f>
        <v>4.5997000000000003E-2</v>
      </c>
      <c r="H7" s="297">
        <f>Assumptions!$C$115</f>
        <v>3.7854100000000002</v>
      </c>
      <c r="I7" s="386">
        <f>'Com dist'!G7</f>
        <v>12.333</v>
      </c>
      <c r="J7" s="301">
        <f t="shared" si="1"/>
        <v>2.1473911739954099</v>
      </c>
      <c r="K7" s="428">
        <v>10.95</v>
      </c>
      <c r="L7" s="286">
        <f t="shared" ref="L7:L39" si="11">K7*G7*H7</f>
        <v>1.9065866662814999</v>
      </c>
      <c r="M7" s="322">
        <f>'Com dist'!K7</f>
        <v>0</v>
      </c>
      <c r="N7" s="329">
        <f t="shared" si="2"/>
        <v>0</v>
      </c>
      <c r="O7" s="281">
        <f t="shared" si="3"/>
        <v>0</v>
      </c>
      <c r="P7" s="281">
        <f t="shared" ref="P7:P39" si="12">O7+N7</f>
        <v>0</v>
      </c>
      <c r="Q7" s="314">
        <f t="shared" si="4"/>
        <v>0</v>
      </c>
      <c r="R7" s="1053">
        <f t="shared" si="5"/>
        <v>1.9065866662814999</v>
      </c>
      <c r="S7" s="1047">
        <f t="shared" si="6"/>
        <v>236559206.77461055</v>
      </c>
      <c r="T7" s="268">
        <f t="shared" si="7"/>
        <v>1.9065866662814999</v>
      </c>
      <c r="U7" s="366">
        <f t="shared" si="8"/>
        <v>236559206.77461055</v>
      </c>
      <c r="V7" s="336">
        <f>-'OECD distillate subsidies'!F60</f>
        <v>-446686016</v>
      </c>
      <c r="W7" s="342">
        <f t="shared" ref="W7:W26" si="13">V7*G7</f>
        <v>-20546216.677952003</v>
      </c>
      <c r="X7" s="111">
        <f t="shared" si="9"/>
        <v>216012990.09665856</v>
      </c>
      <c r="Y7" s="281">
        <f t="shared" si="0"/>
        <v>4.05397784027691</v>
      </c>
      <c r="Z7" s="342">
        <f t="shared" si="10"/>
        <v>482449948.74061036</v>
      </c>
    </row>
    <row r="8" spans="1:26" x14ac:dyDescent="0.6">
      <c r="A8" s="46">
        <f t="shared" ref="A8:A26" si="14">A7+1</f>
        <v>4</v>
      </c>
      <c r="B8" s="44" t="s">
        <v>2</v>
      </c>
      <c r="C8" s="1156">
        <v>3245</v>
      </c>
      <c r="D8" s="961">
        <f>C8-Diesel!C8-'Res dist'!C8-'Com dist'!C8</f>
        <v>611</v>
      </c>
      <c r="E8" s="961">
        <f>5+3</f>
        <v>8</v>
      </c>
      <c r="F8" s="345">
        <f>(D8+E8)*Assumptions!$C$16</f>
        <v>193945080</v>
      </c>
      <c r="G8" s="391">
        <f>Assumptions!$H$16</f>
        <v>0.15934999999999999</v>
      </c>
      <c r="H8" s="297">
        <f>Assumptions!$C$115</f>
        <v>3.7854100000000002</v>
      </c>
      <c r="I8" s="423">
        <f>'Com dist'!G8</f>
        <v>4.8600000000000003</v>
      </c>
      <c r="J8" s="301">
        <f t="shared" si="1"/>
        <v>2.9315767058100004</v>
      </c>
      <c r="K8" s="429">
        <v>2.9969999999999999</v>
      </c>
      <c r="L8" s="286">
        <f t="shared" si="11"/>
        <v>1.8078056352495</v>
      </c>
      <c r="M8" s="322">
        <f>'Com dist'!K8</f>
        <v>0</v>
      </c>
      <c r="N8" s="329">
        <f t="shared" si="2"/>
        <v>0</v>
      </c>
      <c r="O8" s="281">
        <f t="shared" si="3"/>
        <v>0</v>
      </c>
      <c r="P8" s="281">
        <f t="shared" si="12"/>
        <v>0</v>
      </c>
      <c r="Q8" s="314">
        <f t="shared" si="4"/>
        <v>0</v>
      </c>
      <c r="R8" s="1053">
        <f t="shared" si="5"/>
        <v>1.8078056352495</v>
      </c>
      <c r="S8" s="1047">
        <f t="shared" si="6"/>
        <v>350615008.5529151</v>
      </c>
      <c r="T8" s="268">
        <f t="shared" si="7"/>
        <v>1.8078056352495</v>
      </c>
      <c r="U8" s="366">
        <f t="shared" si="8"/>
        <v>350615008.5529151</v>
      </c>
      <c r="V8" s="336">
        <f>-'OECD distillate subsidies'!F63</f>
        <v>0</v>
      </c>
      <c r="W8" s="342">
        <f t="shared" si="13"/>
        <v>0</v>
      </c>
      <c r="X8" s="111">
        <f t="shared" si="9"/>
        <v>350615008.5529151</v>
      </c>
      <c r="Y8" s="281">
        <f t="shared" si="0"/>
        <v>4.7393823410595006</v>
      </c>
      <c r="Z8" s="342">
        <f t="shared" si="10"/>
        <v>919179887.28737211</v>
      </c>
    </row>
    <row r="9" spans="1:26" x14ac:dyDescent="0.6">
      <c r="A9" s="46">
        <f t="shared" si="14"/>
        <v>5</v>
      </c>
      <c r="B9" s="44" t="s">
        <v>3</v>
      </c>
      <c r="C9" s="1156">
        <v>50371</v>
      </c>
      <c r="D9" s="961">
        <f>C9-Diesel!C9-'Res dist'!C9-'Com dist'!C9</f>
        <v>941</v>
      </c>
      <c r="E9" s="961">
        <f>145+56</f>
        <v>201</v>
      </c>
      <c r="F9" s="345">
        <f>(D9+E9)*Assumptions!$C$16</f>
        <v>357811440</v>
      </c>
      <c r="G9" s="391">
        <f>Assumptions!$H$3</f>
        <v>1.1863330000000001</v>
      </c>
      <c r="H9" s="297">
        <f>Assumptions!$C$115</f>
        <v>3.7854100000000002</v>
      </c>
      <c r="I9" s="422">
        <f>'Com dist'!G9</f>
        <v>0.36285000000000001</v>
      </c>
      <c r="J9" s="301">
        <f t="shared" si="1"/>
        <v>1.6294711054351607</v>
      </c>
      <c r="K9" s="427">
        <v>0.47</v>
      </c>
      <c r="L9" s="286">
        <f t="shared" si="11"/>
        <v>2.1106556967191001</v>
      </c>
      <c r="M9" s="322">
        <f>'Com dist'!K9</f>
        <v>0</v>
      </c>
      <c r="N9" s="329">
        <f t="shared" si="2"/>
        <v>0</v>
      </c>
      <c r="O9" s="281">
        <f t="shared" si="3"/>
        <v>0</v>
      </c>
      <c r="P9" s="281">
        <f t="shared" si="12"/>
        <v>0</v>
      </c>
      <c r="Q9" s="314">
        <f t="shared" si="4"/>
        <v>0</v>
      </c>
      <c r="R9" s="1053">
        <f t="shared" si="5"/>
        <v>2.1106556967191001</v>
      </c>
      <c r="S9" s="1047">
        <f t="shared" si="6"/>
        <v>755216754.18726444</v>
      </c>
      <c r="T9" s="268">
        <f t="shared" si="7"/>
        <v>2.1106556967191001</v>
      </c>
      <c r="U9" s="366">
        <f t="shared" si="8"/>
        <v>755216754.18726444</v>
      </c>
      <c r="V9" s="336">
        <f>-'OECD distillate subsidies'!F69</f>
        <v>-6742629</v>
      </c>
      <c r="W9" s="342">
        <f t="shared" si="13"/>
        <v>-7999003.2894570008</v>
      </c>
      <c r="X9" s="111">
        <f t="shared" si="9"/>
        <v>747217750.89780748</v>
      </c>
      <c r="Y9" s="281">
        <f t="shared" si="0"/>
        <v>3.7401268021542609</v>
      </c>
      <c r="Z9" s="342">
        <f t="shared" si="10"/>
        <v>1330261153.571954</v>
      </c>
    </row>
    <row r="10" spans="1:26" x14ac:dyDescent="0.6">
      <c r="A10" s="46">
        <f t="shared" si="14"/>
        <v>6</v>
      </c>
      <c r="B10" s="44" t="s">
        <v>4</v>
      </c>
      <c r="C10" s="1156">
        <v>682</v>
      </c>
      <c r="D10" s="961">
        <f>C10-Diesel!C10-'Res dist'!C10-'Com dist'!C10</f>
        <v>146</v>
      </c>
      <c r="E10" s="961">
        <v>0</v>
      </c>
      <c r="F10" s="345">
        <f>(D10+E10)*Assumptions!$C$16</f>
        <v>45744720</v>
      </c>
      <c r="G10" s="391">
        <f>Assumptions!$H$3</f>
        <v>1.1863330000000001</v>
      </c>
      <c r="H10" s="297">
        <f>Assumptions!$C$115</f>
        <v>3.7854100000000002</v>
      </c>
      <c r="I10" s="422">
        <f>'Com dist'!G10</f>
        <v>0.51593</v>
      </c>
      <c r="J10" s="301">
        <f t="shared" si="1"/>
        <v>2.3169161566133729</v>
      </c>
      <c r="K10" s="427">
        <v>0.39300000000000002</v>
      </c>
      <c r="L10" s="286">
        <f t="shared" si="11"/>
        <v>1.7648674230012902</v>
      </c>
      <c r="M10" s="322">
        <f>'Com dist'!K10</f>
        <v>0</v>
      </c>
      <c r="N10" s="329">
        <f t="shared" si="2"/>
        <v>0</v>
      </c>
      <c r="O10" s="281">
        <f t="shared" si="3"/>
        <v>0</v>
      </c>
      <c r="P10" s="281">
        <f t="shared" si="12"/>
        <v>0</v>
      </c>
      <c r="Q10" s="314">
        <f t="shared" si="4"/>
        <v>0</v>
      </c>
      <c r="R10" s="1053">
        <f t="shared" si="5"/>
        <v>1.7648674230012902</v>
      </c>
      <c r="S10" s="1047">
        <f t="shared" si="6"/>
        <v>80733366.102315575</v>
      </c>
      <c r="T10" s="268">
        <f t="shared" si="7"/>
        <v>1.7648674230012902</v>
      </c>
      <c r="U10" s="366">
        <f t="shared" si="8"/>
        <v>80733366.102315575</v>
      </c>
      <c r="V10" s="336">
        <f>-'OECD distillate subsidies'!F76</f>
        <v>-1088000</v>
      </c>
      <c r="W10" s="342">
        <f t="shared" si="13"/>
        <v>-1290730.304</v>
      </c>
      <c r="X10" s="111">
        <f t="shared" si="9"/>
        <v>79442635.79831557</v>
      </c>
      <c r="Y10" s="281">
        <f t="shared" si="0"/>
        <v>4.0817835796146635</v>
      </c>
      <c r="Z10" s="342">
        <f t="shared" si="10"/>
        <v>185429316.64607051</v>
      </c>
    </row>
    <row r="11" spans="1:26" x14ac:dyDescent="0.6">
      <c r="A11" s="46">
        <f t="shared" si="14"/>
        <v>7</v>
      </c>
      <c r="B11" s="44" t="s">
        <v>5</v>
      </c>
      <c r="C11" s="1156">
        <v>3952</v>
      </c>
      <c r="D11" s="961">
        <f>C11-Diesel!C11-'Res dist'!C11-'Com dist'!C11</f>
        <v>322</v>
      </c>
      <c r="E11" s="961">
        <f>246+13</f>
        <v>259</v>
      </c>
      <c r="F11" s="345">
        <f>(D11+E11)*Assumptions!$C$16</f>
        <v>182038920</v>
      </c>
      <c r="G11" s="391">
        <f>Assumptions!$H$3</f>
        <v>1.1863330000000001</v>
      </c>
      <c r="H11" s="297">
        <f>Assumptions!$C$115</f>
        <v>3.7854100000000002</v>
      </c>
      <c r="I11" s="422">
        <f>'Com dist'!G11</f>
        <v>0.55526999999999993</v>
      </c>
      <c r="J11" s="301">
        <f t="shared" si="1"/>
        <v>2.4935825291855629</v>
      </c>
      <c r="K11" s="427">
        <v>0.33</v>
      </c>
      <c r="L11" s="286">
        <f t="shared" si="11"/>
        <v>1.4819497445049004</v>
      </c>
      <c r="M11" s="322">
        <f>'Com dist'!K11</f>
        <v>0</v>
      </c>
      <c r="N11" s="329">
        <f t="shared" si="2"/>
        <v>0</v>
      </c>
      <c r="O11" s="281">
        <f t="shared" si="3"/>
        <v>0</v>
      </c>
      <c r="P11" s="281">
        <f t="shared" si="12"/>
        <v>0</v>
      </c>
      <c r="Q11" s="314">
        <f t="shared" si="4"/>
        <v>0</v>
      </c>
      <c r="R11" s="1053">
        <f t="shared" si="5"/>
        <v>1.4819497445049004</v>
      </c>
      <c r="S11" s="1047">
        <f t="shared" si="6"/>
        <v>269772530.98394799</v>
      </c>
      <c r="T11" s="268">
        <f t="shared" si="7"/>
        <v>1.4819497445049004</v>
      </c>
      <c r="U11" s="366">
        <f t="shared" si="8"/>
        <v>269772530.98394799</v>
      </c>
      <c r="V11" s="336">
        <f>-'OECD distillate subsidies'!F82</f>
        <v>-197452165</v>
      </c>
      <c r="W11" s="342">
        <f t="shared" si="13"/>
        <v>-234244019.26094502</v>
      </c>
      <c r="X11" s="111">
        <f t="shared" si="9"/>
        <v>35528511.72300297</v>
      </c>
      <c r="Y11" s="281">
        <f t="shared" si="0"/>
        <v>3.9755322736904635</v>
      </c>
      <c r="Z11" s="342">
        <f t="shared" si="10"/>
        <v>489457582.26681131</v>
      </c>
    </row>
    <row r="12" spans="1:26" x14ac:dyDescent="0.6">
      <c r="A12" s="46">
        <f t="shared" si="14"/>
        <v>8</v>
      </c>
      <c r="B12" s="44" t="s">
        <v>6</v>
      </c>
      <c r="C12" s="1156">
        <v>26373</v>
      </c>
      <c r="D12" s="961">
        <f>C12-Diesel!C12-'Res dist'!C12-'Com dist'!C12</f>
        <v>2794</v>
      </c>
      <c r="E12" s="961">
        <f>810+14</f>
        <v>824</v>
      </c>
      <c r="F12" s="345">
        <f>(D12+E12)*Assumptions!$C$16</f>
        <v>1133591760</v>
      </c>
      <c r="G12" s="391">
        <f>Assumptions!$H$3</f>
        <v>1.1863330000000001</v>
      </c>
      <c r="H12" s="297">
        <f>Assumptions!$C$115</f>
        <v>3.7854100000000002</v>
      </c>
      <c r="I12" s="422">
        <f>'Com dist'!G12</f>
        <v>0.41799999999999998</v>
      </c>
      <c r="J12" s="301">
        <f t="shared" si="1"/>
        <v>1.8771363430395402</v>
      </c>
      <c r="K12" s="427">
        <v>0.36799999999999999</v>
      </c>
      <c r="L12" s="286">
        <f t="shared" si="11"/>
        <v>1.6525985029630401</v>
      </c>
      <c r="M12" s="322">
        <f>'Com dist'!K12</f>
        <v>0</v>
      </c>
      <c r="N12" s="329">
        <f t="shared" si="2"/>
        <v>0</v>
      </c>
      <c r="O12" s="281">
        <f t="shared" si="3"/>
        <v>0</v>
      </c>
      <c r="P12" s="281">
        <f t="shared" si="12"/>
        <v>0</v>
      </c>
      <c r="Q12" s="314">
        <f t="shared" si="4"/>
        <v>0</v>
      </c>
      <c r="R12" s="1053">
        <f t="shared" si="5"/>
        <v>1.6525985029630401</v>
      </c>
      <c r="S12" s="1047">
        <f t="shared" si="6"/>
        <v>1873372045.5472379</v>
      </c>
      <c r="T12" s="268">
        <f t="shared" si="7"/>
        <v>1.6525985029630401</v>
      </c>
      <c r="U12" s="366">
        <f t="shared" si="8"/>
        <v>1873372045.5472379</v>
      </c>
      <c r="V12" s="336">
        <f>-'OECD distillate subsidies'!F91</f>
        <v>-416270000</v>
      </c>
      <c r="W12" s="342">
        <f t="shared" si="13"/>
        <v>-493834837.91000003</v>
      </c>
      <c r="X12" s="111">
        <f t="shared" si="9"/>
        <v>1379537207.6372378</v>
      </c>
      <c r="Y12" s="281">
        <f t="shared" si="0"/>
        <v>3.5297348460025804</v>
      </c>
      <c r="Z12" s="342">
        <f t="shared" si="10"/>
        <v>3507443498.5033941</v>
      </c>
    </row>
    <row r="13" spans="1:26" x14ac:dyDescent="0.6">
      <c r="A13" s="46">
        <f t="shared" si="14"/>
        <v>9</v>
      </c>
      <c r="B13" s="44" t="s">
        <v>7</v>
      </c>
      <c r="C13" s="1156">
        <v>43979</v>
      </c>
      <c r="D13" s="961">
        <f>C13-Diesel!C13-'Res dist'!C13-'Com dist'!C13</f>
        <v>5217</v>
      </c>
      <c r="E13" s="961">
        <f>75+1</f>
        <v>76</v>
      </c>
      <c r="F13" s="345">
        <f>(D13+E13)*Assumptions!$C$16</f>
        <v>1658402760</v>
      </c>
      <c r="G13" s="391">
        <f>Assumptions!$H$3</f>
        <v>1.1863330000000001</v>
      </c>
      <c r="H13" s="297">
        <f>Assumptions!$C$115</f>
        <v>3.7854100000000002</v>
      </c>
      <c r="I13" s="422">
        <f>'Com dist'!G13</f>
        <v>0.4143</v>
      </c>
      <c r="J13" s="301">
        <f t="shared" si="1"/>
        <v>1.8605205428738794</v>
      </c>
      <c r="K13" s="427">
        <v>0.46800000000000003</v>
      </c>
      <c r="L13" s="286">
        <f t="shared" si="11"/>
        <v>2.1016741831160406</v>
      </c>
      <c r="M13" s="322">
        <f>'Com dist'!K13</f>
        <v>0</v>
      </c>
      <c r="N13" s="329">
        <f t="shared" si="2"/>
        <v>0</v>
      </c>
      <c r="O13" s="281">
        <f t="shared" si="3"/>
        <v>0</v>
      </c>
      <c r="P13" s="281">
        <f t="shared" si="12"/>
        <v>0</v>
      </c>
      <c r="Q13" s="314">
        <f t="shared" si="4"/>
        <v>0</v>
      </c>
      <c r="R13" s="1053">
        <f t="shared" si="5"/>
        <v>2.1016741831160406</v>
      </c>
      <c r="S13" s="1047">
        <f t="shared" si="6"/>
        <v>3485422265.9003873</v>
      </c>
      <c r="T13" s="268">
        <f t="shared" si="7"/>
        <v>2.1016741831160406</v>
      </c>
      <c r="U13" s="366">
        <f t="shared" si="8"/>
        <v>3485422265.9003873</v>
      </c>
      <c r="V13" s="336">
        <f>-'OECD distillate subsidies'!F95</f>
        <v>-2255210822</v>
      </c>
      <c r="W13" s="342">
        <f t="shared" si="13"/>
        <v>-2675431020.095726</v>
      </c>
      <c r="X13" s="111">
        <f t="shared" si="9"/>
        <v>809991245.80466127</v>
      </c>
      <c r="Y13" s="281">
        <f t="shared" si="0"/>
        <v>3.96219472598992</v>
      </c>
      <c r="Z13" s="342">
        <f t="shared" si="10"/>
        <v>3895483649.1434011</v>
      </c>
    </row>
    <row r="14" spans="1:26" x14ac:dyDescent="0.6">
      <c r="A14" s="46">
        <f t="shared" si="14"/>
        <v>10</v>
      </c>
      <c r="B14" s="44" t="s">
        <v>8</v>
      </c>
      <c r="C14" s="1156">
        <v>3277</v>
      </c>
      <c r="D14" s="961">
        <f>C14-Diesel!C14-'Res dist'!C14-'Com dist'!C14</f>
        <v>306</v>
      </c>
      <c r="E14" s="961">
        <v>18</v>
      </c>
      <c r="F14" s="345">
        <f>(D14+E14)*Assumptions!$C$16</f>
        <v>101515680</v>
      </c>
      <c r="G14" s="391">
        <f>Assumptions!$H$3</f>
        <v>1.1863330000000001</v>
      </c>
      <c r="H14" s="297">
        <f>Assumptions!$C$115</f>
        <v>3.7854100000000002</v>
      </c>
      <c r="I14" s="422">
        <f>'Com dist'!G14</f>
        <v>0.46773999999999999</v>
      </c>
      <c r="J14" s="301">
        <f t="shared" si="1"/>
        <v>2.1005065863476426</v>
      </c>
      <c r="K14" s="427">
        <v>0.47899999999999998</v>
      </c>
      <c r="L14" s="286">
        <f t="shared" si="11"/>
        <v>2.1510725079328701</v>
      </c>
      <c r="M14" s="322">
        <f>'Com dist'!K14</f>
        <v>0</v>
      </c>
      <c r="N14" s="329">
        <f t="shared" si="2"/>
        <v>0</v>
      </c>
      <c r="O14" s="281">
        <f t="shared" si="3"/>
        <v>0</v>
      </c>
      <c r="P14" s="281">
        <f t="shared" si="12"/>
        <v>0</v>
      </c>
      <c r="Q14" s="314">
        <f t="shared" si="4"/>
        <v>0</v>
      </c>
      <c r="R14" s="1053">
        <f t="shared" si="5"/>
        <v>2.1510725079328701</v>
      </c>
      <c r="S14" s="1047">
        <f t="shared" si="6"/>
        <v>218367588.37211069</v>
      </c>
      <c r="T14" s="268">
        <f t="shared" si="7"/>
        <v>2.1510725079328701</v>
      </c>
      <c r="U14" s="366">
        <f t="shared" si="8"/>
        <v>218367588.37211069</v>
      </c>
      <c r="V14" s="336">
        <f>-'OECD distillate subsidies'!F112</f>
        <v>-88866986</v>
      </c>
      <c r="W14" s="342">
        <f t="shared" si="13"/>
        <v>-105425838.102338</v>
      </c>
      <c r="X14" s="111">
        <f t="shared" si="9"/>
        <v>112941750.26977269</v>
      </c>
      <c r="Y14" s="281">
        <f t="shared" si="0"/>
        <v>4.2515790942805127</v>
      </c>
      <c r="Z14" s="342">
        <f t="shared" si="10"/>
        <v>326176104.72733235</v>
      </c>
    </row>
    <row r="15" spans="1:26" x14ac:dyDescent="0.6">
      <c r="A15" s="46">
        <f t="shared" si="14"/>
        <v>11</v>
      </c>
      <c r="B15" s="44" t="s">
        <v>9</v>
      </c>
      <c r="C15" s="1156">
        <v>25747</v>
      </c>
      <c r="D15" s="961">
        <f>C15-Diesel!C15-'Res dist'!C15-'Com dist'!C15</f>
        <v>2622</v>
      </c>
      <c r="E15" s="961">
        <f>84+21</f>
        <v>105</v>
      </c>
      <c r="F15" s="345">
        <f>(D15+E15)*Assumptions!$C$16</f>
        <v>854423640</v>
      </c>
      <c r="G15" s="391">
        <f>Assumptions!$H$3</f>
        <v>1.1863330000000001</v>
      </c>
      <c r="H15" s="297">
        <f>Assumptions!$C$115</f>
        <v>3.7854100000000002</v>
      </c>
      <c r="I15" s="422">
        <f>'Com dist'!G15</f>
        <v>0.57145000000000001</v>
      </c>
      <c r="J15" s="301">
        <f t="shared" si="1"/>
        <v>2.5662429742343189</v>
      </c>
      <c r="K15" s="427">
        <v>0.61699999999999999</v>
      </c>
      <c r="L15" s="286">
        <f t="shared" si="11"/>
        <v>2.7707969465440105</v>
      </c>
      <c r="M15" s="322">
        <f>'Com dist'!K15</f>
        <v>0</v>
      </c>
      <c r="N15" s="329">
        <f t="shared" si="2"/>
        <v>0</v>
      </c>
      <c r="O15" s="281">
        <f t="shared" si="3"/>
        <v>0</v>
      </c>
      <c r="P15" s="281">
        <f t="shared" si="12"/>
        <v>0</v>
      </c>
      <c r="Q15" s="314">
        <f t="shared" si="4"/>
        <v>0</v>
      </c>
      <c r="R15" s="1053">
        <f t="shared" si="5"/>
        <v>2.7707969465440105</v>
      </c>
      <c r="S15" s="1047">
        <f t="shared" si="6"/>
        <v>2367434412.7670188</v>
      </c>
      <c r="T15" s="268">
        <f t="shared" si="7"/>
        <v>2.7707969465440105</v>
      </c>
      <c r="U15" s="366">
        <f t="shared" si="8"/>
        <v>2367434412.7670188</v>
      </c>
      <c r="V15" s="336">
        <f>-'OECD distillate subsidies'!F121</f>
        <v>-3895797329</v>
      </c>
      <c r="W15" s="342">
        <f t="shared" si="13"/>
        <v>-4621712932.7045574</v>
      </c>
      <c r="X15" s="111">
        <f t="shared" si="9"/>
        <v>-2254278519.9375386</v>
      </c>
      <c r="Y15" s="281">
        <f t="shared" si="0"/>
        <v>5.337039920778329</v>
      </c>
      <c r="Z15" s="342">
        <f t="shared" si="10"/>
        <v>-61619856.76782608</v>
      </c>
    </row>
    <row r="16" spans="1:26" x14ac:dyDescent="0.6">
      <c r="A16" s="46">
        <f t="shared" si="14"/>
        <v>12</v>
      </c>
      <c r="B16" s="44" t="s">
        <v>10</v>
      </c>
      <c r="C16" s="1156">
        <v>1816</v>
      </c>
      <c r="D16" s="961">
        <f>C16-Diesel!C16-'Res dist'!C16-'Com dist'!C16</f>
        <v>31</v>
      </c>
      <c r="E16" s="961">
        <v>1</v>
      </c>
      <c r="F16" s="345">
        <f>(D16+E16)*Assumptions!$C$16</f>
        <v>10026240</v>
      </c>
      <c r="G16" s="391">
        <f>Assumptions!$H$3</f>
        <v>1.1863330000000001</v>
      </c>
      <c r="H16" s="297">
        <f>Assumptions!$C$115</f>
        <v>3.7854100000000002</v>
      </c>
      <c r="I16" s="422">
        <f>'Com dist'!G16</f>
        <v>0.45843</v>
      </c>
      <c r="J16" s="301">
        <f t="shared" si="1"/>
        <v>2.0586976405253981</v>
      </c>
      <c r="K16" s="427">
        <v>0.33500000000000002</v>
      </c>
      <c r="L16" s="286">
        <f t="shared" si="11"/>
        <v>1.5044035285125501</v>
      </c>
      <c r="M16" s="322">
        <f>'Com dist'!K16</f>
        <v>0</v>
      </c>
      <c r="N16" s="329">
        <f t="shared" si="2"/>
        <v>0</v>
      </c>
      <c r="O16" s="281">
        <f t="shared" si="3"/>
        <v>0</v>
      </c>
      <c r="P16" s="281">
        <f t="shared" si="12"/>
        <v>0</v>
      </c>
      <c r="Q16" s="314">
        <f t="shared" si="4"/>
        <v>0</v>
      </c>
      <c r="R16" s="1053">
        <f t="shared" si="5"/>
        <v>1.5044035285125501</v>
      </c>
      <c r="S16" s="1047">
        <f t="shared" si="6"/>
        <v>15083510.833713671</v>
      </c>
      <c r="T16" s="268">
        <f t="shared" si="7"/>
        <v>1.5044035285125501</v>
      </c>
      <c r="U16" s="366">
        <f t="shared" si="8"/>
        <v>15083510.833713671</v>
      </c>
      <c r="V16" s="336">
        <f>-'OECD distillate subsidies'!F144</f>
        <v>-1000000</v>
      </c>
      <c r="W16" s="342">
        <f t="shared" si="13"/>
        <v>-1186333</v>
      </c>
      <c r="X16" s="111">
        <f t="shared" si="9"/>
        <v>13897177.833713671</v>
      </c>
      <c r="Y16" s="281">
        <f t="shared" si="0"/>
        <v>3.5631011690379482</v>
      </c>
      <c r="Z16" s="342">
        <f t="shared" si="10"/>
        <v>34538174.465055041</v>
      </c>
    </row>
    <row r="17" spans="1:26" x14ac:dyDescent="0.6">
      <c r="A17" s="46">
        <f t="shared" si="14"/>
        <v>13</v>
      </c>
      <c r="B17" s="44" t="s">
        <v>11</v>
      </c>
      <c r="C17" s="1156">
        <v>3063</v>
      </c>
      <c r="D17" s="961">
        <f>C17-Diesel!C17-'Res dist'!C17-'Com dist'!C17</f>
        <v>493</v>
      </c>
      <c r="E17" s="961">
        <v>5</v>
      </c>
      <c r="F17" s="345">
        <f>(D17+E17)*Assumptions!$C$16</f>
        <v>156033360</v>
      </c>
      <c r="G17" s="391">
        <f>Assumptions!$H$17</f>
        <v>3.8049999999999998E-3</v>
      </c>
      <c r="H17" s="297">
        <f>Assumptions!$C$115</f>
        <v>3.7854100000000002</v>
      </c>
      <c r="I17" s="459">
        <f>'Com dist'!G17</f>
        <v>0</v>
      </c>
      <c r="J17" s="1163">
        <f>$K$67</f>
        <v>1.82</v>
      </c>
      <c r="K17" s="468">
        <v>110.35</v>
      </c>
      <c r="L17" s="286">
        <f t="shared" si="11"/>
        <v>1.5894245752674998</v>
      </c>
      <c r="M17" s="322"/>
      <c r="N17" s="329">
        <f t="shared" si="2"/>
        <v>0</v>
      </c>
      <c r="O17" s="281">
        <f t="shared" si="3"/>
        <v>0</v>
      </c>
      <c r="P17" s="281">
        <f t="shared" si="12"/>
        <v>0</v>
      </c>
      <c r="Q17" s="314">
        <f t="shared" si="4"/>
        <v>0</v>
      </c>
      <c r="R17" s="1053">
        <f t="shared" si="5"/>
        <v>1.5894245752674998</v>
      </c>
      <c r="S17" s="1047">
        <f t="shared" si="6"/>
        <v>248003256.9455609</v>
      </c>
      <c r="T17" s="268">
        <f t="shared" si="7"/>
        <v>1.5894245752674998</v>
      </c>
      <c r="U17" s="366">
        <f t="shared" si="8"/>
        <v>248003256.9455609</v>
      </c>
      <c r="V17" s="336">
        <f>-'OECD distillate subsidies'!F146</f>
        <v>-39300000000</v>
      </c>
      <c r="W17" s="342">
        <f t="shared" si="13"/>
        <v>-149536500</v>
      </c>
      <c r="X17" s="111">
        <f t="shared" si="9"/>
        <v>98466756.945560902</v>
      </c>
      <c r="Y17" s="281">
        <f t="shared" si="0"/>
        <v>3.4094245752674999</v>
      </c>
      <c r="Z17" s="342">
        <f t="shared" si="10"/>
        <v>382447472.14556092</v>
      </c>
    </row>
    <row r="18" spans="1:26" x14ac:dyDescent="0.6">
      <c r="A18" s="46">
        <f t="shared" si="14"/>
        <v>14</v>
      </c>
      <c r="B18" s="44" t="s">
        <v>12</v>
      </c>
      <c r="C18" s="1156">
        <v>6869</v>
      </c>
      <c r="D18" s="961">
        <f>C18-Diesel!C18-'Res dist'!C18-'Com dist'!C18</f>
        <v>984</v>
      </c>
      <c r="E18" s="961">
        <v>19</v>
      </c>
      <c r="F18" s="345">
        <f>(D18+E18)*Assumptions!$C$16</f>
        <v>314259960</v>
      </c>
      <c r="G18" s="391">
        <f>Assumptions!$H$3</f>
        <v>1.1863330000000001</v>
      </c>
      <c r="H18" s="297">
        <f>Assumptions!$C$115</f>
        <v>3.7854100000000002</v>
      </c>
      <c r="I18" s="422">
        <f>'Com dist'!G18</f>
        <v>0.36035</v>
      </c>
      <c r="J18" s="301">
        <f t="shared" si="1"/>
        <v>1.6182442134313355</v>
      </c>
      <c r="K18" s="427">
        <v>0.49</v>
      </c>
      <c r="L18" s="286">
        <f t="shared" si="11"/>
        <v>2.2004708327497</v>
      </c>
      <c r="M18" s="322"/>
      <c r="N18" s="329">
        <f t="shared" si="2"/>
        <v>0</v>
      </c>
      <c r="O18" s="281">
        <f t="shared" si="3"/>
        <v>0</v>
      </c>
      <c r="P18" s="281">
        <f t="shared" si="12"/>
        <v>0</v>
      </c>
      <c r="Q18" s="314">
        <f t="shared" si="4"/>
        <v>0</v>
      </c>
      <c r="R18" s="1053">
        <f t="shared" si="5"/>
        <v>2.2004708327497</v>
      </c>
      <c r="S18" s="1047">
        <f t="shared" si="6"/>
        <v>691519875.88108742</v>
      </c>
      <c r="T18" s="268">
        <f t="shared" si="7"/>
        <v>2.2004708327497</v>
      </c>
      <c r="U18" s="366">
        <f t="shared" si="8"/>
        <v>691519875.88108742</v>
      </c>
      <c r="V18" s="336">
        <f>-'OECD distillate subsidies'!F150</f>
        <v>0</v>
      </c>
      <c r="W18" s="342">
        <f t="shared" si="13"/>
        <v>0</v>
      </c>
      <c r="X18" s="111">
        <f t="shared" si="9"/>
        <v>691519875.88108742</v>
      </c>
      <c r="Y18" s="281">
        <f t="shared" si="0"/>
        <v>3.8187150461810355</v>
      </c>
      <c r="Z18" s="342">
        <f t="shared" si="10"/>
        <v>1200069237.6642504</v>
      </c>
    </row>
    <row r="19" spans="1:26" x14ac:dyDescent="0.6">
      <c r="A19" s="46">
        <f t="shared" si="14"/>
        <v>15</v>
      </c>
      <c r="B19" s="44" t="s">
        <v>13</v>
      </c>
      <c r="C19" s="1156">
        <v>7155</v>
      </c>
      <c r="D19" s="961">
        <f>C19-Diesel!C19-'Res dist'!C19-'Com dist'!C19</f>
        <v>574</v>
      </c>
      <c r="E19" s="961">
        <f>1+2</f>
        <v>3</v>
      </c>
      <c r="F19" s="345">
        <f>(D19+E19)*Assumptions!$C$16</f>
        <v>180785640</v>
      </c>
      <c r="G19" s="391">
        <f>Assumptions!$H$3</f>
        <v>1.1863330000000001</v>
      </c>
      <c r="H19" s="297">
        <f>Assumptions!$C$115</f>
        <v>3.7854100000000002</v>
      </c>
      <c r="I19" s="422">
        <f>'Com dist'!G19</f>
        <v>0.35743999999999998</v>
      </c>
      <c r="J19" s="301">
        <f t="shared" si="1"/>
        <v>1.6051761111388834</v>
      </c>
      <c r="K19" s="427">
        <v>0.39700000000000002</v>
      </c>
      <c r="L19" s="286">
        <f t="shared" si="11"/>
        <v>1.7828304502074102</v>
      </c>
      <c r="M19" s="322"/>
      <c r="N19" s="329">
        <f t="shared" si="2"/>
        <v>0</v>
      </c>
      <c r="O19" s="281">
        <f t="shared" si="3"/>
        <v>0</v>
      </c>
      <c r="P19" s="281">
        <f t="shared" si="12"/>
        <v>0</v>
      </c>
      <c r="Q19" s="314">
        <f t="shared" si="4"/>
        <v>0</v>
      </c>
      <c r="R19" s="1053">
        <f t="shared" si="5"/>
        <v>1.7828304502074102</v>
      </c>
      <c r="S19" s="1047">
        <f t="shared" si="6"/>
        <v>322310143.9522348</v>
      </c>
      <c r="T19" s="268">
        <f t="shared" si="7"/>
        <v>1.7828304502074102</v>
      </c>
      <c r="U19" s="366">
        <f t="shared" si="8"/>
        <v>322310143.9522348</v>
      </c>
      <c r="V19" s="336">
        <f>-'OECD distillate subsidies'!F152</f>
        <v>-30104066</v>
      </c>
      <c r="W19" s="342">
        <f t="shared" si="13"/>
        <v>-35713446.929978006</v>
      </c>
      <c r="X19" s="111">
        <f t="shared" si="9"/>
        <v>286596697.02225679</v>
      </c>
      <c r="Y19" s="281">
        <f t="shared" si="0"/>
        <v>3.3880065613462937</v>
      </c>
      <c r="Z19" s="342">
        <f t="shared" si="10"/>
        <v>576789487.58721101</v>
      </c>
    </row>
    <row r="20" spans="1:26" x14ac:dyDescent="0.6">
      <c r="A20" s="46">
        <f t="shared" si="14"/>
        <v>16</v>
      </c>
      <c r="B20" s="44" t="s">
        <v>14</v>
      </c>
      <c r="C20" s="1156">
        <v>11854</v>
      </c>
      <c r="D20" s="961">
        <f>C20-Diesel!C20-'Res dist'!C20-'Com dist'!C20</f>
        <v>1889</v>
      </c>
      <c r="E20" s="961">
        <f>1+19</f>
        <v>20</v>
      </c>
      <c r="F20" s="345">
        <f>(D20+E20)*Assumptions!$C$16</f>
        <v>598127880</v>
      </c>
      <c r="G20" s="391">
        <f>Assumptions!$H$18</f>
        <v>0.28262100000000001</v>
      </c>
      <c r="H20" s="297">
        <f>Assumptions!$C$115</f>
        <v>3.7854100000000002</v>
      </c>
      <c r="I20" s="424">
        <f>'Com dist'!G20</f>
        <v>2.0699999999999998</v>
      </c>
      <c r="J20" s="301">
        <f t="shared" si="1"/>
        <v>2.2145612643927</v>
      </c>
      <c r="K20" s="431">
        <v>1.4590000000000001</v>
      </c>
      <c r="L20" s="286">
        <f t="shared" si="11"/>
        <v>1.5608912486709903</v>
      </c>
      <c r="M20" s="322"/>
      <c r="N20" s="329">
        <f t="shared" si="2"/>
        <v>0</v>
      </c>
      <c r="O20" s="281">
        <f t="shared" si="3"/>
        <v>0</v>
      </c>
      <c r="P20" s="281">
        <f t="shared" si="12"/>
        <v>0</v>
      </c>
      <c r="Q20" s="314">
        <f t="shared" si="4"/>
        <v>0</v>
      </c>
      <c r="R20" s="1053">
        <f t="shared" si="5"/>
        <v>1.5608912486709903</v>
      </c>
      <c r="S20" s="1047">
        <f t="shared" si="6"/>
        <v>933612573.47813225</v>
      </c>
      <c r="T20" s="268">
        <f t="shared" si="7"/>
        <v>1.5608912486709903</v>
      </c>
      <c r="U20" s="366">
        <f t="shared" si="8"/>
        <v>933612573.47813225</v>
      </c>
      <c r="V20" s="336">
        <f>-'OECD distillate subsidies'!F159</f>
        <v>-1627191685</v>
      </c>
      <c r="W20" s="342">
        <f t="shared" si="13"/>
        <v>-459878541.20638502</v>
      </c>
      <c r="X20" s="111">
        <f t="shared" si="9"/>
        <v>473734032.27174723</v>
      </c>
      <c r="Y20" s="281">
        <f t="shared" si="0"/>
        <v>3.7754525130636902</v>
      </c>
      <c r="Z20" s="342">
        <f t="shared" si="10"/>
        <v>1798324866.4730721</v>
      </c>
    </row>
    <row r="21" spans="1:26" x14ac:dyDescent="0.6">
      <c r="A21" s="46">
        <f t="shared" si="14"/>
        <v>17</v>
      </c>
      <c r="B21" s="44" t="s">
        <v>15</v>
      </c>
      <c r="C21" s="1156">
        <v>4409</v>
      </c>
      <c r="D21" s="961">
        <f>C21-Diesel!C21-'Res dist'!C21-'Com dist'!C21</f>
        <v>531</v>
      </c>
      <c r="E21" s="961">
        <v>21</v>
      </c>
      <c r="F21" s="345">
        <f>(D21+E21)*Assumptions!$C$16</f>
        <v>172952640</v>
      </c>
      <c r="G21" s="391">
        <f>Assumptions!$H$3</f>
        <v>1.1863330000000001</v>
      </c>
      <c r="H21" s="297">
        <f>Assumptions!$C$115</f>
        <v>3.7854100000000002</v>
      </c>
      <c r="I21" s="422">
        <f>'Com dist'!G21</f>
        <v>0</v>
      </c>
      <c r="J21" s="1163">
        <f>$K$67</f>
        <v>1.82</v>
      </c>
      <c r="K21" s="427">
        <v>0.40200000000000002</v>
      </c>
      <c r="L21" s="286">
        <f t="shared" si="11"/>
        <v>1.8052842342150603</v>
      </c>
      <c r="M21" s="322"/>
      <c r="N21" s="329">
        <f t="shared" si="2"/>
        <v>0</v>
      </c>
      <c r="O21" s="281">
        <f t="shared" si="3"/>
        <v>0</v>
      </c>
      <c r="P21" s="281">
        <f t="shared" si="12"/>
        <v>0</v>
      </c>
      <c r="Q21" s="314">
        <f t="shared" si="4"/>
        <v>0</v>
      </c>
      <c r="R21" s="1053">
        <f t="shared" si="5"/>
        <v>1.8052842342150603</v>
      </c>
      <c r="S21" s="1047">
        <f t="shared" si="6"/>
        <v>312228674.257873</v>
      </c>
      <c r="T21" s="268">
        <f t="shared" si="7"/>
        <v>1.8052842342150603</v>
      </c>
      <c r="U21" s="366">
        <f t="shared" si="8"/>
        <v>312228674.257873</v>
      </c>
      <c r="V21" s="336">
        <f>-'OECD distillate subsidies'!F162</f>
        <v>-97772642</v>
      </c>
      <c r="W21" s="342">
        <f t="shared" si="13"/>
        <v>-115990911.70178601</v>
      </c>
      <c r="X21" s="111">
        <f t="shared" si="9"/>
        <v>196237762.55608699</v>
      </c>
      <c r="Y21" s="281">
        <f t="shared" si="0"/>
        <v>3.6252842342150604</v>
      </c>
      <c r="Z21" s="342">
        <f t="shared" si="10"/>
        <v>511011567.35608697</v>
      </c>
    </row>
    <row r="22" spans="1:26" x14ac:dyDescent="0.6">
      <c r="A22" s="46">
        <f t="shared" si="14"/>
        <v>18</v>
      </c>
      <c r="B22" s="44" t="s">
        <v>16</v>
      </c>
      <c r="C22" s="1156">
        <v>1555</v>
      </c>
      <c r="D22" s="961">
        <f>C22-Diesel!C22-'Res dist'!C22-'Com dist'!C22</f>
        <v>110</v>
      </c>
      <c r="E22" s="961">
        <f>1+3</f>
        <v>4</v>
      </c>
      <c r="F22" s="345">
        <f>(D22+E22)*Assumptions!$C$16</f>
        <v>35718480</v>
      </c>
      <c r="G22" s="391">
        <f>Assumptions!$H$3</f>
        <v>1.1863330000000001</v>
      </c>
      <c r="H22" s="297">
        <f>Assumptions!$C$115</f>
        <v>3.7854100000000002</v>
      </c>
      <c r="I22" s="422">
        <f>'Com dist'!G22</f>
        <v>0.44569999999999999</v>
      </c>
      <c r="J22" s="301">
        <f t="shared" si="1"/>
        <v>2.0015303064419214</v>
      </c>
      <c r="K22" s="427">
        <v>0.46200000000000002</v>
      </c>
      <c r="L22" s="286">
        <f t="shared" si="11"/>
        <v>2.0747296423068606</v>
      </c>
      <c r="M22" s="322"/>
      <c r="N22" s="329">
        <f t="shared" si="2"/>
        <v>0</v>
      </c>
      <c r="O22" s="281">
        <f t="shared" si="3"/>
        <v>0</v>
      </c>
      <c r="P22" s="281">
        <f t="shared" si="12"/>
        <v>0</v>
      </c>
      <c r="Q22" s="314">
        <f t="shared" si="4"/>
        <v>0</v>
      </c>
      <c r="R22" s="1053">
        <f t="shared" si="5"/>
        <v>2.0747296423068606</v>
      </c>
      <c r="S22" s="1047">
        <f t="shared" si="6"/>
        <v>74106189.234144762</v>
      </c>
      <c r="T22" s="268">
        <f t="shared" si="7"/>
        <v>2.0747296423068606</v>
      </c>
      <c r="U22" s="366">
        <f t="shared" si="8"/>
        <v>74106189.234144762</v>
      </c>
      <c r="V22" s="336">
        <f>-'OECD distillate subsidies'!F171</f>
        <v>-32069434</v>
      </c>
      <c r="W22" s="342">
        <f t="shared" si="13"/>
        <v>-38045027.845522001</v>
      </c>
      <c r="X22" s="111">
        <f t="shared" si="9"/>
        <v>36061161.388622761</v>
      </c>
      <c r="Y22" s="281">
        <f t="shared" si="0"/>
        <v>4.0762599487487821</v>
      </c>
      <c r="Z22" s="342">
        <f t="shared" si="10"/>
        <v>107552781.60866238</v>
      </c>
    </row>
    <row r="23" spans="1:26" x14ac:dyDescent="0.6">
      <c r="A23" s="46">
        <f t="shared" si="14"/>
        <v>19</v>
      </c>
      <c r="B23" s="44" t="s">
        <v>17</v>
      </c>
      <c r="C23" s="1156">
        <v>1359</v>
      </c>
      <c r="D23" s="961">
        <f>C23-Diesel!C23-'Res dist'!C23-'Com dist'!C23</f>
        <v>94</v>
      </c>
      <c r="E23" s="961">
        <v>0</v>
      </c>
      <c r="F23" s="345">
        <f>(D23+E23)*Assumptions!$C$16</f>
        <v>29452080</v>
      </c>
      <c r="G23" s="391">
        <f>Assumptions!$H$3</f>
        <v>1.1863330000000001</v>
      </c>
      <c r="H23" s="297">
        <f>Assumptions!$C$115</f>
        <v>3.7854100000000002</v>
      </c>
      <c r="I23" s="422">
        <f>'Com dist'!G23</f>
        <v>0.49469999999999997</v>
      </c>
      <c r="J23" s="301">
        <f t="shared" si="1"/>
        <v>2.2215773897168911</v>
      </c>
      <c r="K23" s="427">
        <v>0.36799999999999999</v>
      </c>
      <c r="L23" s="286">
        <f t="shared" si="11"/>
        <v>1.6525985029630401</v>
      </c>
      <c r="M23" s="322"/>
      <c r="N23" s="329">
        <f t="shared" si="2"/>
        <v>0</v>
      </c>
      <c r="O23" s="281">
        <f t="shared" si="3"/>
        <v>0</v>
      </c>
      <c r="P23" s="281">
        <f t="shared" si="12"/>
        <v>0</v>
      </c>
      <c r="Q23" s="314">
        <f t="shared" si="4"/>
        <v>0</v>
      </c>
      <c r="R23" s="1053">
        <f t="shared" si="5"/>
        <v>1.6525985029630401</v>
      </c>
      <c r="S23" s="1047">
        <f t="shared" si="6"/>
        <v>48672463.317147695</v>
      </c>
      <c r="T23" s="268">
        <f t="shared" si="7"/>
        <v>1.6525985029630401</v>
      </c>
      <c r="U23" s="366">
        <f t="shared" si="8"/>
        <v>48672463.317147695</v>
      </c>
      <c r="V23" s="336">
        <f>-'OECD distillate subsidies'!F178</f>
        <v>0</v>
      </c>
      <c r="W23" s="342">
        <f t="shared" si="13"/>
        <v>0</v>
      </c>
      <c r="X23" s="111">
        <f t="shared" si="9"/>
        <v>48672463.317147695</v>
      </c>
      <c r="Y23" s="281">
        <f t="shared" si="0"/>
        <v>3.874175892679931</v>
      </c>
      <c r="Z23" s="342">
        <f t="shared" si="10"/>
        <v>114102538.32528074</v>
      </c>
    </row>
    <row r="24" spans="1:26" x14ac:dyDescent="0.6">
      <c r="A24" s="46">
        <f t="shared" si="14"/>
        <v>20</v>
      </c>
      <c r="B24" s="44" t="s">
        <v>18</v>
      </c>
      <c r="C24" s="1156">
        <v>3519</v>
      </c>
      <c r="D24" s="961">
        <f>C24-Diesel!C24-'Res dist'!C24-'Com dist'!C24</f>
        <v>935</v>
      </c>
      <c r="E24" s="961">
        <f>5+4</f>
        <v>9</v>
      </c>
      <c r="F24" s="345">
        <f>(D24+E24)*Assumptions!$C$16</f>
        <v>295774080</v>
      </c>
      <c r="G24" s="391">
        <f>Assumptions!$H$3</f>
        <v>1.1863330000000001</v>
      </c>
      <c r="H24" s="297">
        <f>Assumptions!$C$115</f>
        <v>3.7854100000000002</v>
      </c>
      <c r="I24" s="422">
        <f>'Com dist'!G24</f>
        <v>0.49907000000000001</v>
      </c>
      <c r="J24" s="301">
        <f t="shared" si="1"/>
        <v>2.2412019969395773</v>
      </c>
      <c r="K24" s="427">
        <v>0.50600000000000001</v>
      </c>
      <c r="L24" s="286">
        <f t="shared" si="11"/>
        <v>2.2723229415741804</v>
      </c>
      <c r="M24" s="322"/>
      <c r="N24" s="329">
        <f t="shared" si="2"/>
        <v>0</v>
      </c>
      <c r="O24" s="281">
        <f t="shared" si="3"/>
        <v>0</v>
      </c>
      <c r="P24" s="281">
        <f t="shared" si="12"/>
        <v>0</v>
      </c>
      <c r="Q24" s="314">
        <f t="shared" si="4"/>
        <v>0</v>
      </c>
      <c r="R24" s="1053">
        <f t="shared" si="5"/>
        <v>2.2723229415741804</v>
      </c>
      <c r="S24" s="1047">
        <f t="shared" si="6"/>
        <v>672094227.50699699</v>
      </c>
      <c r="T24" s="268">
        <f t="shared" si="7"/>
        <v>2.2723229415741804</v>
      </c>
      <c r="U24" s="366">
        <f t="shared" si="8"/>
        <v>672094227.50699699</v>
      </c>
      <c r="V24" s="336">
        <f>-'OECD distillate subsidies'!F180</f>
        <v>-502550324</v>
      </c>
      <c r="W24" s="342">
        <f t="shared" si="13"/>
        <v>-596192033.52189207</v>
      </c>
      <c r="X24" s="111">
        <f t="shared" si="9"/>
        <v>75902193.985104918</v>
      </c>
      <c r="Y24" s="281">
        <f t="shared" si="0"/>
        <v>4.5135249385137577</v>
      </c>
      <c r="Z24" s="342">
        <f t="shared" si="10"/>
        <v>738791652.72407126</v>
      </c>
    </row>
    <row r="25" spans="1:26" x14ac:dyDescent="0.6">
      <c r="A25" s="46">
        <f t="shared" si="14"/>
        <v>21</v>
      </c>
      <c r="B25" s="44" t="s">
        <v>19</v>
      </c>
      <c r="C25" s="1156">
        <v>4350</v>
      </c>
      <c r="D25" s="961">
        <f>C25-Diesel!C25-'Res dist'!C25-'Com dist'!C25</f>
        <v>349</v>
      </c>
      <c r="E25" s="961">
        <f>3+28</f>
        <v>31</v>
      </c>
      <c r="F25" s="345">
        <f>(D25+E25)*Assumptions!$C$16</f>
        <v>119061600</v>
      </c>
      <c r="G25" s="391">
        <f>Assumptions!$H$19</f>
        <v>0.119739</v>
      </c>
      <c r="H25" s="297">
        <f>Assumptions!$C$115</f>
        <v>3.7854100000000002</v>
      </c>
      <c r="I25" s="425">
        <f>'Com dist'!G25</f>
        <v>3.8650000000000002</v>
      </c>
      <c r="J25" s="301">
        <f t="shared" si="1"/>
        <v>1.7518545688813503</v>
      </c>
      <c r="K25" s="432">
        <v>5.0510000000000002</v>
      </c>
      <c r="L25" s="286">
        <f t="shared" si="11"/>
        <v>2.2894223615574898</v>
      </c>
      <c r="M25" s="322"/>
      <c r="N25" s="329">
        <f t="shared" si="2"/>
        <v>0</v>
      </c>
      <c r="O25" s="281">
        <f t="shared" si="3"/>
        <v>0</v>
      </c>
      <c r="P25" s="281">
        <f t="shared" si="12"/>
        <v>0</v>
      </c>
      <c r="Q25" s="314">
        <f t="shared" si="4"/>
        <v>0</v>
      </c>
      <c r="R25" s="1053">
        <f t="shared" si="5"/>
        <v>2.2894223615574898</v>
      </c>
      <c r="S25" s="1047">
        <f t="shared" si="6"/>
        <v>272582289.44281322</v>
      </c>
      <c r="T25" s="268">
        <f t="shared" si="7"/>
        <v>2.2894223615574898</v>
      </c>
      <c r="U25" s="366">
        <f t="shared" si="8"/>
        <v>272582289.44281322</v>
      </c>
      <c r="V25" s="336">
        <f>-'OECD distillate subsidies'!F187</f>
        <v>-1158387719</v>
      </c>
      <c r="W25" s="342">
        <f t="shared" si="13"/>
        <v>-138704187.08534101</v>
      </c>
      <c r="X25" s="111">
        <f t="shared" si="9"/>
        <v>133878102.35747221</v>
      </c>
      <c r="Y25" s="281">
        <f t="shared" si="0"/>
        <v>4.0412769304388405</v>
      </c>
      <c r="Z25" s="342">
        <f t="shared" si="10"/>
        <v>342456710.29579604</v>
      </c>
    </row>
    <row r="26" spans="1:26" ht="15.9" thickBot="1" x14ac:dyDescent="0.65">
      <c r="A26" s="15">
        <f t="shared" si="14"/>
        <v>22</v>
      </c>
      <c r="B26" s="47" t="s">
        <v>20</v>
      </c>
      <c r="C26" s="1158">
        <v>27745</v>
      </c>
      <c r="D26" s="962">
        <f>C26-Diesel!C26-'Res dist'!C26-'Com dist'!C26</f>
        <v>2130</v>
      </c>
      <c r="E26" s="962">
        <f>42+60</f>
        <v>102</v>
      </c>
      <c r="F26" s="347">
        <f>(D26+E26)*Assumptions!$C$16</f>
        <v>699330240</v>
      </c>
      <c r="G26" s="419">
        <f>Assumptions!$H$20</f>
        <v>1.337591</v>
      </c>
      <c r="H26" s="299">
        <f>Assumptions!$C$115</f>
        <v>3.7854100000000002</v>
      </c>
      <c r="I26" s="421">
        <f>'Com dist'!G26</f>
        <v>0.35389999999999999</v>
      </c>
      <c r="J26" s="371">
        <f t="shared" si="1"/>
        <v>1.7919126099130089</v>
      </c>
      <c r="K26" s="440">
        <v>0.57999999999999996</v>
      </c>
      <c r="L26" s="308">
        <f t="shared" si="11"/>
        <v>2.9367316014397997</v>
      </c>
      <c r="M26" s="359"/>
      <c r="N26" s="334">
        <f t="shared" si="2"/>
        <v>0</v>
      </c>
      <c r="O26" s="318">
        <f t="shared" si="3"/>
        <v>0</v>
      </c>
      <c r="P26" s="318">
        <f t="shared" si="12"/>
        <v>0</v>
      </c>
      <c r="Q26" s="319">
        <f t="shared" si="4"/>
        <v>0</v>
      </c>
      <c r="R26" s="1054">
        <f t="shared" si="5"/>
        <v>2.9367316014397997</v>
      </c>
      <c r="S26" s="1048">
        <f t="shared" si="6"/>
        <v>2053745215.6504796</v>
      </c>
      <c r="T26" s="269">
        <f t="shared" si="7"/>
        <v>2.9367316014397997</v>
      </c>
      <c r="U26" s="368">
        <f t="shared" si="8"/>
        <v>2053745215.6504796</v>
      </c>
      <c r="V26" s="340">
        <f>-'OECD distillate subsidies'!F202</f>
        <v>-1234505539</v>
      </c>
      <c r="W26" s="344">
        <f t="shared" si="13"/>
        <v>-1651263498.416549</v>
      </c>
      <c r="X26" s="163">
        <f t="shared" si="9"/>
        <v>402481717.23393059</v>
      </c>
      <c r="Y26" s="318">
        <f t="shared" si="0"/>
        <v>4.7286442113528082</v>
      </c>
      <c r="Z26" s="344">
        <f t="shared" si="10"/>
        <v>1655620392.7834213</v>
      </c>
    </row>
    <row r="27" spans="1:26" ht="15.9" thickTop="1" x14ac:dyDescent="0.6">
      <c r="A27" s="48" t="s">
        <v>392</v>
      </c>
      <c r="B27" s="44"/>
      <c r="C27" s="1156"/>
      <c r="D27" s="961"/>
      <c r="E27" s="961"/>
      <c r="F27" s="345"/>
      <c r="G27" s="399"/>
      <c r="H27" s="297"/>
      <c r="I27" s="383"/>
      <c r="J27" s="301"/>
      <c r="K27" s="457"/>
      <c r="L27" s="306"/>
      <c r="M27" s="322"/>
      <c r="N27" s="329"/>
      <c r="O27" s="320"/>
      <c r="P27" s="320"/>
      <c r="Q27" s="314"/>
      <c r="R27" s="1053"/>
      <c r="S27" s="1047"/>
      <c r="T27" s="310"/>
      <c r="U27" s="366"/>
      <c r="V27" s="336"/>
      <c r="W27" s="342"/>
      <c r="X27" s="111"/>
      <c r="Y27" s="320"/>
      <c r="Z27" s="342"/>
    </row>
    <row r="28" spans="1:26" x14ac:dyDescent="0.6">
      <c r="A28" s="61">
        <f>A26+1</f>
        <v>23</v>
      </c>
      <c r="B28" s="44" t="s">
        <v>38</v>
      </c>
      <c r="C28" s="1156">
        <v>26148</v>
      </c>
      <c r="D28" s="961">
        <f>C28-Diesel!C28-'Res dist'!C28-'Com dist'!C28</f>
        <v>5748</v>
      </c>
      <c r="E28" s="961">
        <v>302</v>
      </c>
      <c r="F28" s="345">
        <f>(D28+E28)*Assumptions!$C$16</f>
        <v>1895586000</v>
      </c>
      <c r="G28" s="399">
        <f>Assumptions!$H$4</f>
        <v>0.78824099999999997</v>
      </c>
      <c r="H28" s="297">
        <f>Assumptions!$C$115</f>
        <v>3.7854100000000002</v>
      </c>
      <c r="I28" s="441">
        <f>'Com dist'!G28</f>
        <v>0.62492999999999999</v>
      </c>
      <c r="J28" s="301">
        <f t="shared" ref="J28:J34" si="15">I28*G28*H28</f>
        <v>1.8646757353057832</v>
      </c>
      <c r="K28" s="447">
        <v>0.26500000000000001</v>
      </c>
      <c r="L28" s="306">
        <f t="shared" si="11"/>
        <v>0.79071107140965002</v>
      </c>
      <c r="M28" s="1072"/>
      <c r="N28" s="329">
        <f t="shared" ref="N28:N34" si="16">M28*J28</f>
        <v>0</v>
      </c>
      <c r="O28" s="320">
        <f t="shared" ref="O28:O34" si="17">M28*L28</f>
        <v>0</v>
      </c>
      <c r="P28" s="320">
        <f t="shared" si="12"/>
        <v>0</v>
      </c>
      <c r="Q28" s="314">
        <f t="shared" ref="Q28:Q34" si="18">N28*F28</f>
        <v>0</v>
      </c>
      <c r="R28" s="1053">
        <f t="shared" si="5"/>
        <v>0.79071107140965002</v>
      </c>
      <c r="S28" s="1047">
        <f t="shared" si="6"/>
        <v>1498860837.0091329</v>
      </c>
      <c r="T28" s="310">
        <f t="shared" ref="T28:T34" si="19">O28+L28</f>
        <v>0.79071107140965002</v>
      </c>
      <c r="U28" s="366">
        <f t="shared" ref="U28:U34" si="20">F28*T28</f>
        <v>1498860837.0091329</v>
      </c>
      <c r="V28" s="336">
        <f>-'OECD distillate subsidies'!F208</f>
        <v>-460802097</v>
      </c>
      <c r="W28" s="342">
        <f t="shared" ref="W28:W34" si="21">V28*G28</f>
        <v>-363223105.741377</v>
      </c>
      <c r="X28" s="111">
        <f t="shared" ref="X28:X34" si="22">U28+W28</f>
        <v>1135637731.267756</v>
      </c>
      <c r="Y28" s="320">
        <f t="shared" si="0"/>
        <v>2.6553868067154331</v>
      </c>
      <c r="Z28" s="342">
        <f t="shared" ref="Z28:Z34" si="23">Y28*F28+W28</f>
        <v>4670290949.6531038</v>
      </c>
    </row>
    <row r="29" spans="1:26" x14ac:dyDescent="0.6">
      <c r="A29" s="61">
        <f t="shared" ref="A29:A34" si="24">A28+1</f>
        <v>24</v>
      </c>
      <c r="B29" s="44" t="s">
        <v>39</v>
      </c>
      <c r="C29" s="1156">
        <v>4215</v>
      </c>
      <c r="D29" s="961">
        <f>C29-Diesel!C29-'Res dist'!C29-'Com dist'!C29</f>
        <v>807</v>
      </c>
      <c r="E29" s="961">
        <v>3</v>
      </c>
      <c r="F29" s="345">
        <f>(D29+E29)*Assumptions!$C$16</f>
        <v>253789200</v>
      </c>
      <c r="G29" s="399">
        <f>Assumptions!$H$5</f>
        <v>0.12035</v>
      </c>
      <c r="H29" s="297">
        <f>Assumptions!$C$115</f>
        <v>3.7854100000000002</v>
      </c>
      <c r="I29" s="425">
        <f>'Com dist'!G29</f>
        <v>6.2489999999999997</v>
      </c>
      <c r="J29" s="301">
        <f t="shared" si="15"/>
        <v>2.8468825102814996</v>
      </c>
      <c r="K29" s="432">
        <v>4.45</v>
      </c>
      <c r="L29" s="306">
        <f t="shared" si="11"/>
        <v>2.0273047160750002</v>
      </c>
      <c r="M29" s="322"/>
      <c r="N29" s="329">
        <f t="shared" si="16"/>
        <v>0</v>
      </c>
      <c r="O29" s="320">
        <f t="shared" si="17"/>
        <v>0</v>
      </c>
      <c r="P29" s="320">
        <f t="shared" si="12"/>
        <v>0</v>
      </c>
      <c r="Q29" s="314">
        <f t="shared" si="18"/>
        <v>0</v>
      </c>
      <c r="R29" s="1053">
        <f t="shared" si="5"/>
        <v>2.0273047160750002</v>
      </c>
      <c r="S29" s="1047">
        <f t="shared" si="6"/>
        <v>514508042.04890144</v>
      </c>
      <c r="T29" s="310">
        <f t="shared" si="19"/>
        <v>2.0273047160750002</v>
      </c>
      <c r="U29" s="366">
        <f t="shared" si="20"/>
        <v>514508042.04890144</v>
      </c>
      <c r="V29" s="336">
        <f>-'OECD distillate subsidies'!F243</f>
        <v>-2119619872</v>
      </c>
      <c r="W29" s="342">
        <f t="shared" si="21"/>
        <v>-255096251.5952</v>
      </c>
      <c r="X29" s="111">
        <f t="shared" si="22"/>
        <v>259411790.45370144</v>
      </c>
      <c r="Y29" s="320">
        <f t="shared" si="0"/>
        <v>4.8741872263564998</v>
      </c>
      <c r="Z29" s="342">
        <f t="shared" si="23"/>
        <v>981919825.23203492</v>
      </c>
    </row>
    <row r="30" spans="1:26" x14ac:dyDescent="0.6">
      <c r="A30" s="61">
        <f t="shared" si="24"/>
        <v>25</v>
      </c>
      <c r="B30" s="44" t="s">
        <v>40</v>
      </c>
      <c r="C30" s="1156">
        <v>5657</v>
      </c>
      <c r="D30" s="961">
        <f>C30-Diesel!C30-'Res dist'!C30-'Com dist'!C30</f>
        <v>370</v>
      </c>
      <c r="E30" s="961">
        <f>3+5</f>
        <v>8</v>
      </c>
      <c r="F30" s="345">
        <f>(D30+E30)*Assumptions!$C$16</f>
        <v>118434960</v>
      </c>
      <c r="G30" s="399">
        <f>Assumptions!$H$6</f>
        <v>1.010632</v>
      </c>
      <c r="H30" s="297">
        <f>Assumptions!$C$115</f>
        <v>3.7854100000000002</v>
      </c>
      <c r="I30" s="443">
        <f>'Com dist'!G30</f>
        <v>0.47189999999999999</v>
      </c>
      <c r="J30" s="301">
        <f t="shared" si="15"/>
        <v>1.8053272924967281</v>
      </c>
      <c r="K30" s="449">
        <v>0.76300000000000001</v>
      </c>
      <c r="L30" s="306">
        <f t="shared" si="11"/>
        <v>2.9189758935685601</v>
      </c>
      <c r="M30" s="322"/>
      <c r="N30" s="329">
        <f t="shared" si="16"/>
        <v>0</v>
      </c>
      <c r="O30" s="320">
        <f t="shared" si="17"/>
        <v>0</v>
      </c>
      <c r="P30" s="320">
        <f t="shared" si="12"/>
        <v>0</v>
      </c>
      <c r="Q30" s="314">
        <f t="shared" si="18"/>
        <v>0</v>
      </c>
      <c r="R30" s="1053">
        <f t="shared" si="5"/>
        <v>2.9189758935685601</v>
      </c>
      <c r="S30" s="1047">
        <f t="shared" si="6"/>
        <v>345708793.19575667</v>
      </c>
      <c r="T30" s="310">
        <f t="shared" si="19"/>
        <v>2.9189758935685601</v>
      </c>
      <c r="U30" s="366">
        <f t="shared" si="20"/>
        <v>345708793.19575667</v>
      </c>
      <c r="V30" s="336">
        <f>-'OECD distillate subsidies'!F254</f>
        <v>-93396092</v>
      </c>
      <c r="W30" s="342">
        <f t="shared" si="21"/>
        <v>-94389079.250144005</v>
      </c>
      <c r="X30" s="111">
        <f t="shared" si="22"/>
        <v>251319713.94561267</v>
      </c>
      <c r="Y30" s="320">
        <f t="shared" si="0"/>
        <v>4.7243031860652884</v>
      </c>
      <c r="Z30" s="342">
        <f t="shared" si="23"/>
        <v>465133579.61937094</v>
      </c>
    </row>
    <row r="31" spans="1:26" x14ac:dyDescent="0.6">
      <c r="A31" s="46">
        <f t="shared" si="24"/>
        <v>26</v>
      </c>
      <c r="B31" s="44" t="s">
        <v>31</v>
      </c>
      <c r="C31" s="1156">
        <v>36372</v>
      </c>
      <c r="D31" s="961">
        <f>C31-Diesel!C31-'Res dist'!C31-'Com dist'!C31</f>
        <v>7557</v>
      </c>
      <c r="E31" s="961">
        <f>1350</f>
        <v>1350</v>
      </c>
      <c r="F31" s="345">
        <f>(D31+E31)*Assumptions!$C$16</f>
        <v>2790741240</v>
      </c>
      <c r="G31" s="399">
        <f>Assumptions!$H$7</f>
        <v>8.829E-3</v>
      </c>
      <c r="H31" s="297">
        <f>Assumptions!$C$115</f>
        <v>3.7854100000000002</v>
      </c>
      <c r="I31" s="484">
        <f>'Com dist'!G31</f>
        <v>64.533000000000001</v>
      </c>
      <c r="J31" s="301">
        <f t="shared" si="15"/>
        <v>2.1567822311063702</v>
      </c>
      <c r="K31" s="469">
        <v>34.6</v>
      </c>
      <c r="L31" s="306">
        <f t="shared" si="11"/>
        <v>1.1563799171940001</v>
      </c>
      <c r="M31" s="322"/>
      <c r="N31" s="329">
        <f t="shared" si="16"/>
        <v>0</v>
      </c>
      <c r="O31" s="320">
        <f t="shared" si="17"/>
        <v>0</v>
      </c>
      <c r="P31" s="320">
        <f t="shared" si="12"/>
        <v>0</v>
      </c>
      <c r="Q31" s="314">
        <f t="shared" si="18"/>
        <v>0</v>
      </c>
      <c r="R31" s="1053">
        <f t="shared" si="5"/>
        <v>1.1563799171940001</v>
      </c>
      <c r="S31" s="1047">
        <f t="shared" si="6"/>
        <v>3227157124.0210814</v>
      </c>
      <c r="T31" s="310">
        <f t="shared" si="19"/>
        <v>1.1563799171940001</v>
      </c>
      <c r="U31" s="366">
        <f t="shared" si="20"/>
        <v>3227157124.0210814</v>
      </c>
      <c r="V31" s="336">
        <f>-'OECD distillate subsidies'!F263</f>
        <v>0</v>
      </c>
      <c r="W31" s="342">
        <f t="shared" si="21"/>
        <v>0</v>
      </c>
      <c r="X31" s="111">
        <f t="shared" si="22"/>
        <v>3227157124.0210814</v>
      </c>
      <c r="Y31" s="320">
        <f t="shared" si="0"/>
        <v>3.3131621483003704</v>
      </c>
      <c r="Z31" s="342">
        <f t="shared" si="23"/>
        <v>9246178242.06884</v>
      </c>
    </row>
    <row r="32" spans="1:26" x14ac:dyDescent="0.6">
      <c r="A32" s="46">
        <f t="shared" si="24"/>
        <v>27</v>
      </c>
      <c r="B32" s="44" t="s">
        <v>47</v>
      </c>
      <c r="C32" s="1156">
        <v>21314</v>
      </c>
      <c r="D32" s="961">
        <f>C32-Diesel!C32-'Res dist'!C32-'Com dist'!C32</f>
        <v>3054</v>
      </c>
      <c r="E32" s="961">
        <v>94</v>
      </c>
      <c r="F32" s="345">
        <f>(D32+E32)*Assumptions!$C$16</f>
        <v>986331360</v>
      </c>
      <c r="G32" s="399">
        <f>Assumptions!$H$8</f>
        <v>9.3000000000000005E-4</v>
      </c>
      <c r="H32" s="297">
        <f>Assumptions!$C$115</f>
        <v>3.7854100000000002</v>
      </c>
      <c r="I32" s="485">
        <f>'Com dist'!G32</f>
        <v>0</v>
      </c>
      <c r="J32" s="1163">
        <f>$K$67</f>
        <v>1.82</v>
      </c>
      <c r="K32" s="470">
        <v>528.75</v>
      </c>
      <c r="L32" s="306">
        <f t="shared" si="11"/>
        <v>1.8614280498750002</v>
      </c>
      <c r="M32" s="322"/>
      <c r="N32" s="329">
        <f t="shared" si="16"/>
        <v>0</v>
      </c>
      <c r="O32" s="320">
        <f t="shared" si="17"/>
        <v>0</v>
      </c>
      <c r="P32" s="320">
        <f t="shared" si="12"/>
        <v>0</v>
      </c>
      <c r="Q32" s="314">
        <f t="shared" si="18"/>
        <v>0</v>
      </c>
      <c r="R32" s="1053">
        <f t="shared" si="5"/>
        <v>1.8614280498750002</v>
      </c>
      <c r="S32" s="1047">
        <f t="shared" si="6"/>
        <v>1835984859.9753568</v>
      </c>
      <c r="T32" s="310">
        <f t="shared" si="19"/>
        <v>1.8614280498750002</v>
      </c>
      <c r="U32" s="366">
        <f t="shared" si="20"/>
        <v>1835984859.9753568</v>
      </c>
      <c r="V32" s="336">
        <f>-'OECD distillate subsidies'!F268</f>
        <v>-1337511000000</v>
      </c>
      <c r="W32" s="342">
        <f t="shared" si="21"/>
        <v>-1243885230</v>
      </c>
      <c r="X32" s="111">
        <f t="shared" si="22"/>
        <v>592099629.97535682</v>
      </c>
      <c r="Y32" s="320">
        <f t="shared" si="0"/>
        <v>3.6814280498750005</v>
      </c>
      <c r="Z32" s="342">
        <f t="shared" si="23"/>
        <v>2387222705.1753569</v>
      </c>
    </row>
    <row r="33" spans="1:28" x14ac:dyDescent="0.6">
      <c r="A33" s="46">
        <f t="shared" si="24"/>
        <v>28</v>
      </c>
      <c r="B33" s="44" t="s">
        <v>32</v>
      </c>
      <c r="C33" s="1156">
        <v>18323</v>
      </c>
      <c r="D33" s="961">
        <f>C33-Diesel!C33-'Res dist'!C33-'Com dist'!C33</f>
        <v>4845</v>
      </c>
      <c r="E33" s="961">
        <v>1083</v>
      </c>
      <c r="F33" s="345">
        <f>(D33+E33)*Assumptions!$C$16</f>
        <v>1857360960</v>
      </c>
      <c r="G33" s="399">
        <f>Assumptions!$H$9</f>
        <v>0.77382200000000001</v>
      </c>
      <c r="H33" s="297">
        <f>Assumptions!$C$115</f>
        <v>3.7854100000000002</v>
      </c>
      <c r="I33" s="389">
        <f>'Com dist'!G33</f>
        <v>0</v>
      </c>
      <c r="J33" s="1163">
        <f>$K$67</f>
        <v>1.82</v>
      </c>
      <c r="K33" s="447">
        <v>0.39200000000000002</v>
      </c>
      <c r="L33" s="306">
        <f t="shared" si="11"/>
        <v>1.1482595465118399</v>
      </c>
      <c r="M33" s="322"/>
      <c r="N33" s="329">
        <f t="shared" si="16"/>
        <v>0</v>
      </c>
      <c r="O33" s="320">
        <f t="shared" si="17"/>
        <v>0</v>
      </c>
      <c r="P33" s="320">
        <f t="shared" si="12"/>
        <v>0</v>
      </c>
      <c r="Q33" s="314">
        <f t="shared" si="18"/>
        <v>0</v>
      </c>
      <c r="R33" s="1053">
        <f t="shared" si="5"/>
        <v>1.1482595465118399</v>
      </c>
      <c r="S33" s="1047">
        <f t="shared" si="6"/>
        <v>2132732453.6383955</v>
      </c>
      <c r="T33" s="310">
        <f t="shared" si="19"/>
        <v>1.1482595465118399</v>
      </c>
      <c r="U33" s="366">
        <f t="shared" si="20"/>
        <v>2132732453.6383955</v>
      </c>
      <c r="V33" s="336">
        <f>-'OECD distillate subsidies'!F274</f>
        <v>-1835070000</v>
      </c>
      <c r="W33" s="342">
        <f t="shared" si="21"/>
        <v>-1420017537.54</v>
      </c>
      <c r="X33" s="111">
        <f t="shared" si="22"/>
        <v>712714916.09839559</v>
      </c>
      <c r="Y33" s="320">
        <f t="shared" si="0"/>
        <v>2.96825954651184</v>
      </c>
      <c r="Z33" s="342">
        <f t="shared" si="23"/>
        <v>4093111863.2983961</v>
      </c>
    </row>
    <row r="34" spans="1:28" ht="15.9" thickBot="1" x14ac:dyDescent="0.65">
      <c r="A34" s="15">
        <f t="shared" si="24"/>
        <v>29</v>
      </c>
      <c r="B34" s="47" t="s">
        <v>33</v>
      </c>
      <c r="C34" s="1158">
        <v>2812</v>
      </c>
      <c r="D34" s="962">
        <f>C34-Diesel!C34-'Res dist'!C34-'Com dist'!C34</f>
        <v>730</v>
      </c>
      <c r="E34" s="962">
        <v>0</v>
      </c>
      <c r="F34" s="347">
        <f>(D34+E34)*Assumptions!$C$16</f>
        <v>228723600</v>
      </c>
      <c r="G34" s="417">
        <f>Assumptions!$H$10</f>
        <v>0.70460400000000001</v>
      </c>
      <c r="H34" s="299">
        <f>Assumptions!$C$115</f>
        <v>3.7854100000000002</v>
      </c>
      <c r="I34" s="445">
        <f>'Com dist'!G34</f>
        <v>0.61750000000000005</v>
      </c>
      <c r="J34" s="303">
        <f t="shared" si="15"/>
        <v>1.6470052795677002</v>
      </c>
      <c r="K34" s="471">
        <v>4.0000000000000001E-3</v>
      </c>
      <c r="L34" s="309">
        <f t="shared" si="11"/>
        <v>1.0668860110560001E-2</v>
      </c>
      <c r="M34" s="359"/>
      <c r="N34" s="334">
        <f t="shared" si="16"/>
        <v>0</v>
      </c>
      <c r="O34" s="321">
        <f t="shared" si="17"/>
        <v>0</v>
      </c>
      <c r="P34" s="321">
        <f t="shared" si="12"/>
        <v>0</v>
      </c>
      <c r="Q34" s="319">
        <f t="shared" si="18"/>
        <v>0</v>
      </c>
      <c r="R34" s="1054">
        <f t="shared" si="5"/>
        <v>1.0668860110560001E-2</v>
      </c>
      <c r="S34" s="1048">
        <f t="shared" si="6"/>
        <v>2440220.0923836813</v>
      </c>
      <c r="T34" s="312">
        <f t="shared" si="19"/>
        <v>1.0668860110560001E-2</v>
      </c>
      <c r="U34" s="368">
        <f t="shared" si="20"/>
        <v>2440220.0923836813</v>
      </c>
      <c r="V34" s="340">
        <f>-'OECD distillate subsidies'!F291</f>
        <v>0</v>
      </c>
      <c r="W34" s="344">
        <f t="shared" si="21"/>
        <v>0</v>
      </c>
      <c r="X34" s="163">
        <f t="shared" si="22"/>
        <v>2440220.0923836813</v>
      </c>
      <c r="Y34" s="321">
        <f t="shared" si="0"/>
        <v>1.6576741396782602</v>
      </c>
      <c r="Z34" s="344">
        <f t="shared" si="23"/>
        <v>379149196.85411453</v>
      </c>
    </row>
    <row r="35" spans="1:28" ht="15.9" thickTop="1" x14ac:dyDescent="0.6">
      <c r="A35" s="49" t="s">
        <v>393</v>
      </c>
      <c r="B35" s="50"/>
      <c r="C35" s="1156"/>
      <c r="D35" s="961"/>
      <c r="E35" s="961"/>
      <c r="F35" s="345"/>
      <c r="G35" s="391"/>
      <c r="H35" s="297"/>
      <c r="I35" s="295"/>
      <c r="J35" s="304"/>
      <c r="K35" s="393"/>
      <c r="L35" s="306"/>
      <c r="M35" s="322"/>
      <c r="N35" s="329"/>
      <c r="O35" s="320"/>
      <c r="P35" s="320"/>
      <c r="Q35" s="314"/>
      <c r="R35" s="1053"/>
      <c r="S35" s="1047"/>
      <c r="T35" s="310"/>
      <c r="U35" s="366"/>
      <c r="V35" s="336"/>
      <c r="W35" s="342"/>
      <c r="X35" s="111"/>
      <c r="Y35" s="320"/>
      <c r="Z35" s="342"/>
    </row>
    <row r="36" spans="1:28" x14ac:dyDescent="0.6">
      <c r="A36" s="73">
        <f>A34+1</f>
        <v>30</v>
      </c>
      <c r="B36" s="50" t="s">
        <v>46</v>
      </c>
      <c r="C36" s="1156">
        <v>169669</v>
      </c>
      <c r="D36" s="961">
        <f>C36-Diesel!C36-'Res dist'!C36-'Com dist'!C36</f>
        <v>32443</v>
      </c>
      <c r="E36" s="961">
        <v>224</v>
      </c>
      <c r="F36" s="348">
        <f>(D36+E36)*Assumptions!$C$16</f>
        <v>10235224440</v>
      </c>
      <c r="G36" s="399">
        <f>Assumptions!$H$11</f>
        <v>0.152529</v>
      </c>
      <c r="H36" s="297">
        <f>Assumptions!$C$115</f>
        <v>3.7854100000000002</v>
      </c>
      <c r="I36" s="295">
        <f>'Com dist'!G36</f>
        <v>0</v>
      </c>
      <c r="J36" s="666">
        <v>1.63</v>
      </c>
      <c r="K36" s="1058">
        <v>1.2</v>
      </c>
      <c r="L36" s="306">
        <f t="shared" si="11"/>
        <v>0.692861762268</v>
      </c>
      <c r="M36" s="322"/>
      <c r="N36" s="329">
        <f>M36*J36</f>
        <v>0</v>
      </c>
      <c r="O36" s="320">
        <f>M36*L36</f>
        <v>0</v>
      </c>
      <c r="P36" s="320">
        <f t="shared" si="12"/>
        <v>0</v>
      </c>
      <c r="Q36" s="314">
        <f>N36*F36</f>
        <v>0</v>
      </c>
      <c r="R36" s="1053">
        <f t="shared" si="5"/>
        <v>0.692861762268</v>
      </c>
      <c r="S36" s="1047">
        <f t="shared" si="6"/>
        <v>7091595642.7069035</v>
      </c>
      <c r="T36" s="310">
        <f>O36+L36</f>
        <v>0.692861762268</v>
      </c>
      <c r="U36" s="366">
        <f>F36*T36</f>
        <v>7091595642.7069035</v>
      </c>
      <c r="V36" s="336">
        <f>-'OECD distillate subsidies'!F293</f>
        <v>0</v>
      </c>
      <c r="W36" s="342">
        <f>V36*G36</f>
        <v>0</v>
      </c>
      <c r="X36" s="111">
        <f>U36+W36</f>
        <v>7091595642.7069035</v>
      </c>
      <c r="Y36" s="320">
        <f t="shared" ref="Y36:Y65" si="25">(J36+L36)*(1+M36)</f>
        <v>2.3228617622679999</v>
      </c>
      <c r="Z36" s="342">
        <f>Y36*F36+W36</f>
        <v>23775011479.906902</v>
      </c>
      <c r="AA36" s="10"/>
    </row>
    <row r="37" spans="1:28" x14ac:dyDescent="0.6">
      <c r="A37" s="46">
        <f>A36+1</f>
        <v>31</v>
      </c>
      <c r="B37" s="50" t="s">
        <v>49</v>
      </c>
      <c r="C37" s="1156">
        <v>67343</v>
      </c>
      <c r="D37" s="961">
        <f>C37-Diesel!C37-'Res dist'!C37-'Com dist'!C37</f>
        <v>13237</v>
      </c>
      <c r="E37" s="961">
        <v>7079</v>
      </c>
      <c r="F37" s="348">
        <f>(D37+E37)*Assumptions!$C$16</f>
        <v>6365409120</v>
      </c>
      <c r="G37" s="399">
        <f>Assumptions!$H$12</f>
        <v>1.5587E-2</v>
      </c>
      <c r="H37" s="297">
        <f>Assumptions!$C$115</f>
        <v>3.7854100000000002</v>
      </c>
      <c r="I37" s="1073">
        <f>'Com dist'!G37</f>
        <v>0</v>
      </c>
      <c r="J37" s="1077">
        <f>$K$67</f>
        <v>1.82</v>
      </c>
      <c r="K37" s="1074">
        <v>10.66</v>
      </c>
      <c r="L37" s="306">
        <f t="shared" si="11"/>
        <v>0.62897395924220001</v>
      </c>
      <c r="M37" s="322"/>
      <c r="N37" s="329">
        <f>M37*J37</f>
        <v>0</v>
      </c>
      <c r="O37" s="320">
        <f>M37*L37</f>
        <v>0</v>
      </c>
      <c r="P37" s="320">
        <f t="shared" si="12"/>
        <v>0</v>
      </c>
      <c r="Q37" s="314">
        <f>N37*F37</f>
        <v>0</v>
      </c>
      <c r="R37" s="1053">
        <f t="shared" si="5"/>
        <v>0.62897395924220001</v>
      </c>
      <c r="S37" s="1047">
        <f t="shared" si="6"/>
        <v>4003676576.4028082</v>
      </c>
      <c r="T37" s="310">
        <f>O37+L37</f>
        <v>0.62897395924220001</v>
      </c>
      <c r="U37" s="366">
        <f>F37*T37</f>
        <v>4003676576.4028082</v>
      </c>
      <c r="V37" s="336">
        <f>-'OECD distillate subsidies'!F298</f>
        <v>0</v>
      </c>
      <c r="W37" s="342">
        <f>V37*G37</f>
        <v>0</v>
      </c>
      <c r="X37" s="111">
        <f>U37+W37</f>
        <v>4003676576.4028082</v>
      </c>
      <c r="Y37" s="320">
        <f t="shared" si="25"/>
        <v>2.4489739592422</v>
      </c>
      <c r="Z37" s="342">
        <f>Y37*F37+W37</f>
        <v>15588721174.802809</v>
      </c>
      <c r="AA37" s="1075"/>
    </row>
    <row r="38" spans="1:28" x14ac:dyDescent="0.6">
      <c r="A38" s="46">
        <f>A37+1</f>
        <v>32</v>
      </c>
      <c r="B38" s="44" t="s">
        <v>50</v>
      </c>
      <c r="C38" s="1156">
        <v>42941</v>
      </c>
      <c r="D38" s="961">
        <f>C38-Diesel!C38-'Res dist'!C38-'Com dist'!C38</f>
        <v>7375</v>
      </c>
      <c r="E38" s="961">
        <f>2012+396</f>
        <v>2408</v>
      </c>
      <c r="F38" s="348">
        <f>(D38+E38)*Assumptions!$C$16</f>
        <v>3065209560</v>
      </c>
      <c r="G38" s="399">
        <f>Assumptions!$H$13</f>
        <v>0.30204900000000001</v>
      </c>
      <c r="H38" s="297">
        <f>Assumptions!$C$115</f>
        <v>3.7854100000000002</v>
      </c>
      <c r="I38" s="293">
        <f>'Com dist'!G38</f>
        <v>0</v>
      </c>
      <c r="J38" s="1077">
        <f>$K$67</f>
        <v>1.82</v>
      </c>
      <c r="K38" s="1044">
        <v>0.5</v>
      </c>
      <c r="L38" s="306">
        <f t="shared" si="11"/>
        <v>0.57168965254500004</v>
      </c>
      <c r="M38" s="322"/>
      <c r="N38" s="329">
        <f>M38*J38</f>
        <v>0</v>
      </c>
      <c r="O38" s="320">
        <f>M38*L38</f>
        <v>0</v>
      </c>
      <c r="P38" s="320">
        <f t="shared" si="12"/>
        <v>0</v>
      </c>
      <c r="Q38" s="314">
        <f>N38*F38</f>
        <v>0</v>
      </c>
      <c r="R38" s="1053">
        <f t="shared" si="5"/>
        <v>0.57168965254500004</v>
      </c>
      <c r="S38" s="1047">
        <f t="shared" si="6"/>
        <v>1752348588.3340125</v>
      </c>
      <c r="T38" s="310">
        <f>O38+L38</f>
        <v>0.57168965254500004</v>
      </c>
      <c r="U38" s="366">
        <f>F38*T38</f>
        <v>1752348588.3340125</v>
      </c>
      <c r="V38" s="336">
        <f>-'OECD distillate subsidies'!F300</f>
        <v>-4035393546</v>
      </c>
      <c r="W38" s="342">
        <f>V38*G38</f>
        <v>-1218886585.1757541</v>
      </c>
      <c r="X38" s="111">
        <f>U38+W38</f>
        <v>533462003.15825844</v>
      </c>
      <c r="Y38" s="320">
        <f t="shared" si="25"/>
        <v>2.3916896525450002</v>
      </c>
      <c r="Z38" s="342">
        <f>Y38*F38+W38</f>
        <v>6112143402.3582592</v>
      </c>
    </row>
    <row r="39" spans="1:28" ht="15.9" thickBot="1" x14ac:dyDescent="0.65">
      <c r="A39" s="15">
        <f>A38+1</f>
        <v>33</v>
      </c>
      <c r="B39" s="47" t="s">
        <v>51</v>
      </c>
      <c r="C39" s="1158">
        <v>27028</v>
      </c>
      <c r="D39" s="962">
        <f>C39-Diesel!C39-'Res dist'!C39-'Com dist'!C39</f>
        <v>6854</v>
      </c>
      <c r="E39" s="962">
        <f>789+672</f>
        <v>1461</v>
      </c>
      <c r="F39" s="349">
        <f>(D39+E39)*Assumptions!$C$16</f>
        <v>2605255800</v>
      </c>
      <c r="G39" s="417">
        <f>Assumptions!$H$14</f>
        <v>1.7344999999999999E-2</v>
      </c>
      <c r="H39" s="299">
        <f>Assumptions!$C$115</f>
        <v>3.7854100000000002</v>
      </c>
      <c r="I39" s="296">
        <f>'Com dist'!G39</f>
        <v>0</v>
      </c>
      <c r="J39" s="1055">
        <f>$K$67</f>
        <v>1.82</v>
      </c>
      <c r="K39" s="1076">
        <v>2.91</v>
      </c>
      <c r="L39" s="309">
        <f t="shared" si="11"/>
        <v>0.19106459506950002</v>
      </c>
      <c r="M39" s="359"/>
      <c r="N39" s="334">
        <f>M39*J39</f>
        <v>0</v>
      </c>
      <c r="O39" s="321">
        <f>M39*L39</f>
        <v>0</v>
      </c>
      <c r="P39" s="321">
        <f t="shared" si="12"/>
        <v>0</v>
      </c>
      <c r="Q39" s="319">
        <f>N39*F39</f>
        <v>0</v>
      </c>
      <c r="R39" s="1054">
        <f t="shared" si="5"/>
        <v>0.19106459506950002</v>
      </c>
      <c r="S39" s="1048">
        <f t="shared" si="6"/>
        <v>497772144.47946632</v>
      </c>
      <c r="T39" s="312">
        <f>O39+L39</f>
        <v>0.19106459506950002</v>
      </c>
      <c r="U39" s="368">
        <f>F39*T39</f>
        <v>497772144.47946632</v>
      </c>
      <c r="V39" s="340">
        <f>-'OECD distillate subsidies'!F307</f>
        <v>0</v>
      </c>
      <c r="W39" s="344">
        <f>V39*G39</f>
        <v>0</v>
      </c>
      <c r="X39" s="163">
        <f>U39+W39</f>
        <v>497772144.47946632</v>
      </c>
      <c r="Y39" s="321">
        <f t="shared" si="25"/>
        <v>2.0110645950695001</v>
      </c>
      <c r="Z39" s="344">
        <f>Y39*F39+W39</f>
        <v>5239337700.4794664</v>
      </c>
    </row>
    <row r="40" spans="1:28" ht="15.9" thickTop="1" x14ac:dyDescent="0.6">
      <c r="A40" s="48" t="s">
        <v>52</v>
      </c>
      <c r="B40" s="44"/>
      <c r="C40" s="1156"/>
      <c r="D40" s="961"/>
      <c r="E40" s="961"/>
      <c r="F40" s="348"/>
      <c r="G40" s="391"/>
      <c r="H40" s="390"/>
      <c r="I40" s="293"/>
      <c r="J40" s="301"/>
      <c r="K40" s="393"/>
      <c r="L40" s="394"/>
      <c r="M40" s="322"/>
      <c r="N40" s="329"/>
      <c r="O40" s="320"/>
      <c r="P40" s="320"/>
      <c r="Q40" s="314"/>
      <c r="R40" s="1046"/>
      <c r="S40" s="1047">
        <f t="shared" si="6"/>
        <v>0</v>
      </c>
      <c r="T40" s="395"/>
      <c r="U40" s="396"/>
      <c r="V40" s="542"/>
      <c r="W40" s="543"/>
      <c r="X40" s="573"/>
      <c r="Y40" s="571"/>
      <c r="Z40" s="548"/>
      <c r="AA40" s="10"/>
      <c r="AB40" s="55"/>
    </row>
    <row r="41" spans="1:28" s="85" customFormat="1" x14ac:dyDescent="0.6">
      <c r="A41" s="61">
        <f>A39+1</f>
        <v>34</v>
      </c>
      <c r="B41" s="86" t="s">
        <v>48</v>
      </c>
      <c r="C41" s="1156">
        <v>18655</v>
      </c>
      <c r="D41" s="961">
        <f>C41-Diesel!C41-'Res dist'!C41-'Com dist'!C41</f>
        <v>4539</v>
      </c>
      <c r="E41" s="961">
        <f>444+58</f>
        <v>502</v>
      </c>
      <c r="F41" s="348">
        <f>(D41+E41)*Assumptions!$C$16</f>
        <v>1579446120</v>
      </c>
      <c r="G41" s="1020">
        <f>Assumptions!H25</f>
        <v>5.0333999999999997E-2</v>
      </c>
      <c r="H41" s="1006">
        <f>Assumptions!$C$115</f>
        <v>3.7854100000000002</v>
      </c>
      <c r="I41" s="1440">
        <v>4393</v>
      </c>
      <c r="J41" s="666">
        <f>I41/1000*H41*G41</f>
        <v>0.83701949474741999</v>
      </c>
      <c r="K41" s="393"/>
      <c r="L41" s="394"/>
      <c r="M41" s="322"/>
      <c r="N41" s="329">
        <f>M41*J41</f>
        <v>0</v>
      </c>
      <c r="O41" s="320"/>
      <c r="P41" s="320">
        <f>O41+N41</f>
        <v>0</v>
      </c>
      <c r="Q41" s="314">
        <f t="shared" ref="Q41:Q65" si="26">N41*F41</f>
        <v>0</v>
      </c>
      <c r="R41" s="1046"/>
      <c r="S41" s="1047">
        <f t="shared" si="6"/>
        <v>0</v>
      </c>
      <c r="T41" s="395"/>
      <c r="U41" s="396"/>
      <c r="V41" s="1007"/>
      <c r="W41" s="847"/>
      <c r="X41" s="1008"/>
      <c r="Y41" s="363">
        <f t="shared" si="25"/>
        <v>0.83701949474741999</v>
      </c>
      <c r="Z41" s="847">
        <f t="shared" ref="Z41:Z65" si="27">Y41*F41+W41</f>
        <v>1322027193.3431728</v>
      </c>
    </row>
    <row r="42" spans="1:28" s="85" customFormat="1" x14ac:dyDescent="0.6">
      <c r="A42" s="61">
        <f>A41+1</f>
        <v>35</v>
      </c>
      <c r="B42" s="86" t="s">
        <v>53</v>
      </c>
      <c r="C42" s="1156">
        <v>10197</v>
      </c>
      <c r="D42" s="961">
        <f>C42-Diesel!C42-'Res dist'!C42-'Com dist'!C42</f>
        <v>913</v>
      </c>
      <c r="E42" s="961">
        <v>421</v>
      </c>
      <c r="F42" s="348">
        <f>(D42+E42)*Assumptions!$C$16</f>
        <v>417968880</v>
      </c>
      <c r="G42" s="1005"/>
      <c r="H42" s="1006">
        <f>Assumptions!$C$115</f>
        <v>3.7854100000000002</v>
      </c>
      <c r="I42" s="1128"/>
      <c r="J42" s="1163">
        <f t="shared" ref="J42:J65" si="28">$K$67</f>
        <v>1.82</v>
      </c>
      <c r="K42" s="393"/>
      <c r="L42" s="394"/>
      <c r="M42" s="322"/>
      <c r="N42" s="329">
        <f>M42*J42</f>
        <v>0</v>
      </c>
      <c r="O42" s="320"/>
      <c r="P42" s="320">
        <f>O42+N42</f>
        <v>0</v>
      </c>
      <c r="Q42" s="314">
        <f t="shared" si="26"/>
        <v>0</v>
      </c>
      <c r="R42" s="1046"/>
      <c r="S42" s="1047">
        <f t="shared" si="6"/>
        <v>0</v>
      </c>
      <c r="T42" s="395"/>
      <c r="U42" s="394"/>
      <c r="V42" s="1007"/>
      <c r="W42" s="847"/>
      <c r="X42" s="1008"/>
      <c r="Y42" s="363">
        <f t="shared" si="25"/>
        <v>1.82</v>
      </c>
      <c r="Z42" s="847">
        <f t="shared" si="27"/>
        <v>760703361.60000002</v>
      </c>
    </row>
    <row r="43" spans="1:28" s="85" customFormat="1" x14ac:dyDescent="0.6">
      <c r="A43" s="61">
        <f t="shared" ref="A43:A65" si="29">A42+1</f>
        <v>36</v>
      </c>
      <c r="B43" s="86" t="s">
        <v>54</v>
      </c>
      <c r="C43" s="1156">
        <v>2961</v>
      </c>
      <c r="D43" s="961">
        <f>C43-Diesel!C43-'Res dist'!C43-'Com dist'!C43</f>
        <v>146</v>
      </c>
      <c r="E43" s="961">
        <v>1136</v>
      </c>
      <c r="F43" s="348">
        <f>(D43+E43)*Assumptions!$C$16</f>
        <v>401676240</v>
      </c>
      <c r="G43" s="1005"/>
      <c r="H43" s="1006">
        <f>Assumptions!$C$115</f>
        <v>3.7854100000000002</v>
      </c>
      <c r="I43" s="1128"/>
      <c r="J43" s="1163">
        <f t="shared" si="28"/>
        <v>1.82</v>
      </c>
      <c r="K43" s="393"/>
      <c r="L43" s="394"/>
      <c r="M43" s="322">
        <f>Gasoline!K43</f>
        <v>0</v>
      </c>
      <c r="N43" s="329">
        <f t="shared" ref="N43:N65" si="30">M43*J43</f>
        <v>0</v>
      </c>
      <c r="O43" s="320"/>
      <c r="P43" s="320">
        <f t="shared" ref="P43:P65" si="31">O43+N43</f>
        <v>0</v>
      </c>
      <c r="Q43" s="314">
        <f t="shared" si="26"/>
        <v>0</v>
      </c>
      <c r="R43" s="1046"/>
      <c r="S43" s="1047">
        <f t="shared" si="6"/>
        <v>0</v>
      </c>
      <c r="T43" s="395"/>
      <c r="U43" s="396"/>
      <c r="V43" s="1007"/>
      <c r="W43" s="847"/>
      <c r="X43" s="1008"/>
      <c r="Y43" s="363">
        <f t="shared" si="25"/>
        <v>1.82</v>
      </c>
      <c r="Z43" s="847">
        <f t="shared" si="27"/>
        <v>731050756.80000007</v>
      </c>
    </row>
    <row r="44" spans="1:28" s="85" customFormat="1" x14ac:dyDescent="0.6">
      <c r="A44" s="61">
        <f t="shared" si="29"/>
        <v>37</v>
      </c>
      <c r="B44" s="86" t="s">
        <v>55</v>
      </c>
      <c r="C44" s="1156">
        <v>1134</v>
      </c>
      <c r="D44" s="961">
        <f>C44-Diesel!C44-'Res dist'!C44-'Com dist'!C44</f>
        <v>353</v>
      </c>
      <c r="E44" s="961">
        <f>4+1</f>
        <v>5</v>
      </c>
      <c r="F44" s="348">
        <f>(D44+E44)*Assumptions!$C$16</f>
        <v>112168560</v>
      </c>
      <c r="G44" s="1005"/>
      <c r="H44" s="1006">
        <f>Assumptions!$C$115</f>
        <v>3.7854100000000002</v>
      </c>
      <c r="I44" s="1128"/>
      <c r="J44" s="1163">
        <f t="shared" si="28"/>
        <v>1.82</v>
      </c>
      <c r="K44" s="393"/>
      <c r="L44" s="394"/>
      <c r="M44" s="322">
        <f>Gasoline!K44</f>
        <v>0</v>
      </c>
      <c r="N44" s="329">
        <f t="shared" si="30"/>
        <v>0</v>
      </c>
      <c r="O44" s="320"/>
      <c r="P44" s="320">
        <f t="shared" si="31"/>
        <v>0</v>
      </c>
      <c r="Q44" s="314">
        <f t="shared" si="26"/>
        <v>0</v>
      </c>
      <c r="R44" s="1046"/>
      <c r="S44" s="1047">
        <f t="shared" si="6"/>
        <v>0</v>
      </c>
      <c r="T44" s="395"/>
      <c r="U44" s="396"/>
      <c r="V44" s="1007"/>
      <c r="W44" s="847"/>
      <c r="X44" s="1008"/>
      <c r="Y44" s="363">
        <f t="shared" si="25"/>
        <v>1.82</v>
      </c>
      <c r="Z44" s="847">
        <f t="shared" si="27"/>
        <v>204146779.20000002</v>
      </c>
    </row>
    <row r="45" spans="1:28" s="85" customFormat="1" x14ac:dyDescent="0.6">
      <c r="A45" s="61">
        <f t="shared" si="29"/>
        <v>38</v>
      </c>
      <c r="B45" s="86" t="s">
        <v>56</v>
      </c>
      <c r="C45" s="1156">
        <v>322</v>
      </c>
      <c r="D45" s="961">
        <f>C45-Diesel!C45-'Res dist'!C45-'Com dist'!C45</f>
        <v>0</v>
      </c>
      <c r="E45" s="961">
        <v>0</v>
      </c>
      <c r="F45" s="348">
        <f>(D45+E45)*Assumptions!$C$16</f>
        <v>0</v>
      </c>
      <c r="G45" s="1005"/>
      <c r="H45" s="1006">
        <f>Assumptions!$C$115</f>
        <v>3.7854100000000002</v>
      </c>
      <c r="I45" s="1128"/>
      <c r="J45" s="1163">
        <f t="shared" si="28"/>
        <v>1.82</v>
      </c>
      <c r="K45" s="393"/>
      <c r="L45" s="394"/>
      <c r="M45" s="322">
        <f>Gasoline!K45</f>
        <v>0</v>
      </c>
      <c r="N45" s="329">
        <f t="shared" si="30"/>
        <v>0</v>
      </c>
      <c r="O45" s="320"/>
      <c r="P45" s="320">
        <f t="shared" si="31"/>
        <v>0</v>
      </c>
      <c r="Q45" s="314">
        <f t="shared" si="26"/>
        <v>0</v>
      </c>
      <c r="R45" s="1046"/>
      <c r="S45" s="1047">
        <f t="shared" si="6"/>
        <v>0</v>
      </c>
      <c r="T45" s="395"/>
      <c r="U45" s="396"/>
      <c r="V45" s="1007"/>
      <c r="W45" s="847"/>
      <c r="X45" s="1008"/>
      <c r="Y45" s="363">
        <f t="shared" si="25"/>
        <v>1.82</v>
      </c>
      <c r="Z45" s="847">
        <f t="shared" si="27"/>
        <v>0</v>
      </c>
    </row>
    <row r="46" spans="1:28" s="85" customFormat="1" x14ac:dyDescent="0.6">
      <c r="A46" s="61">
        <f t="shared" si="29"/>
        <v>39</v>
      </c>
      <c r="B46" s="86" t="s">
        <v>57</v>
      </c>
      <c r="C46" s="1156">
        <v>283</v>
      </c>
      <c r="D46" s="961">
        <f>C46-Diesel!C46-'Res dist'!C46-'Com dist'!C46</f>
        <v>131</v>
      </c>
      <c r="E46" s="961">
        <v>11</v>
      </c>
      <c r="F46" s="348">
        <f>(D46+E46)*Assumptions!$C$16</f>
        <v>44491440</v>
      </c>
      <c r="G46" s="1005"/>
      <c r="H46" s="1006">
        <f>Assumptions!$C$115</f>
        <v>3.7854100000000002</v>
      </c>
      <c r="I46" s="1128"/>
      <c r="J46" s="1163">
        <f t="shared" si="28"/>
        <v>1.82</v>
      </c>
      <c r="K46" s="393"/>
      <c r="L46" s="394"/>
      <c r="M46" s="322">
        <f>Gasoline!K46</f>
        <v>0</v>
      </c>
      <c r="N46" s="329">
        <f t="shared" si="30"/>
        <v>0</v>
      </c>
      <c r="O46" s="320"/>
      <c r="P46" s="320">
        <f t="shared" si="31"/>
        <v>0</v>
      </c>
      <c r="Q46" s="314">
        <f t="shared" si="26"/>
        <v>0</v>
      </c>
      <c r="R46" s="1046"/>
      <c r="S46" s="1047">
        <f t="shared" si="6"/>
        <v>0</v>
      </c>
      <c r="T46" s="395"/>
      <c r="U46" s="396"/>
      <c r="V46" s="1007"/>
      <c r="W46" s="847"/>
      <c r="X46" s="1008"/>
      <c r="Y46" s="363">
        <f t="shared" si="25"/>
        <v>1.82</v>
      </c>
      <c r="Z46" s="847">
        <f t="shared" si="27"/>
        <v>80974420.799999997</v>
      </c>
    </row>
    <row r="47" spans="1:28" s="85" customFormat="1" x14ac:dyDescent="0.6">
      <c r="A47" s="61">
        <f t="shared" si="29"/>
        <v>40</v>
      </c>
      <c r="B47" s="86" t="s">
        <v>58</v>
      </c>
      <c r="C47" s="1156">
        <v>4064</v>
      </c>
      <c r="D47" s="961">
        <f>C47-Diesel!C47-'Res dist'!C47-'Com dist'!C47</f>
        <v>917</v>
      </c>
      <c r="E47" s="961">
        <v>678</v>
      </c>
      <c r="F47" s="348">
        <f>(D47+E47)*Assumptions!$C$16</f>
        <v>499745400</v>
      </c>
      <c r="G47" s="1005"/>
      <c r="H47" s="1006">
        <f>Assumptions!$C$115</f>
        <v>3.7854100000000002</v>
      </c>
      <c r="I47" s="1128"/>
      <c r="J47" s="1163">
        <f t="shared" si="28"/>
        <v>1.82</v>
      </c>
      <c r="K47" s="393"/>
      <c r="L47" s="394"/>
      <c r="M47" s="322">
        <f>Gasoline!K47</f>
        <v>0</v>
      </c>
      <c r="N47" s="329">
        <f t="shared" si="30"/>
        <v>0</v>
      </c>
      <c r="O47" s="320"/>
      <c r="P47" s="320">
        <f t="shared" si="31"/>
        <v>0</v>
      </c>
      <c r="Q47" s="314">
        <f t="shared" si="26"/>
        <v>0</v>
      </c>
      <c r="R47" s="1046"/>
      <c r="S47" s="1047">
        <f t="shared" si="6"/>
        <v>0</v>
      </c>
      <c r="T47" s="395"/>
      <c r="U47" s="403"/>
      <c r="V47" s="1007"/>
      <c r="W47" s="847"/>
      <c r="X47" s="1008"/>
      <c r="Y47" s="363">
        <f t="shared" si="25"/>
        <v>1.82</v>
      </c>
      <c r="Z47" s="847">
        <f t="shared" si="27"/>
        <v>909536628</v>
      </c>
    </row>
    <row r="48" spans="1:28" s="85" customFormat="1" x14ac:dyDescent="0.6">
      <c r="A48" s="61">
        <f t="shared" si="29"/>
        <v>41</v>
      </c>
      <c r="B48" s="86" t="s">
        <v>59</v>
      </c>
      <c r="C48" s="1156">
        <v>12523</v>
      </c>
      <c r="D48" s="961">
        <f>C48-Diesel!C48-'Res dist'!C48-'Com dist'!C48</f>
        <v>3383</v>
      </c>
      <c r="E48" s="961">
        <v>1178</v>
      </c>
      <c r="F48" s="348">
        <f>(D48+E48)*Assumptions!$C$16</f>
        <v>1429052520</v>
      </c>
      <c r="G48" s="1005"/>
      <c r="H48" s="1006">
        <f>Assumptions!$C$115</f>
        <v>3.7854100000000002</v>
      </c>
      <c r="I48" s="1128"/>
      <c r="J48" s="1163">
        <f t="shared" si="28"/>
        <v>1.82</v>
      </c>
      <c r="K48" s="393"/>
      <c r="L48" s="394"/>
      <c r="M48" s="322">
        <f>Gasoline!K48</f>
        <v>0</v>
      </c>
      <c r="N48" s="329">
        <f t="shared" si="30"/>
        <v>0</v>
      </c>
      <c r="O48" s="320"/>
      <c r="P48" s="320">
        <f t="shared" si="31"/>
        <v>0</v>
      </c>
      <c r="Q48" s="314">
        <f t="shared" si="26"/>
        <v>0</v>
      </c>
      <c r="R48" s="1046"/>
      <c r="S48" s="1047">
        <f t="shared" si="6"/>
        <v>0</v>
      </c>
      <c r="T48" s="395"/>
      <c r="U48" s="396"/>
      <c r="V48" s="1007"/>
      <c r="W48" s="847"/>
      <c r="X48" s="1008"/>
      <c r="Y48" s="363">
        <f t="shared" si="25"/>
        <v>1.82</v>
      </c>
      <c r="Z48" s="847">
        <f t="shared" si="27"/>
        <v>2600875586.4000001</v>
      </c>
    </row>
    <row r="49" spans="1:26" s="85" customFormat="1" x14ac:dyDescent="0.6">
      <c r="A49" s="61">
        <f t="shared" si="29"/>
        <v>42</v>
      </c>
      <c r="B49" s="86" t="s">
        <v>60</v>
      </c>
      <c r="C49" s="1156">
        <v>512</v>
      </c>
      <c r="D49" s="961">
        <f>C49-Diesel!C49-'Res dist'!C49-'Com dist'!C49</f>
        <v>300</v>
      </c>
      <c r="E49" s="961">
        <v>64</v>
      </c>
      <c r="F49" s="348">
        <f>(D49+E49)*Assumptions!$C$16</f>
        <v>114048480</v>
      </c>
      <c r="G49" s="1005"/>
      <c r="H49" s="1006">
        <f>Assumptions!$C$115</f>
        <v>3.7854100000000002</v>
      </c>
      <c r="I49" s="1128"/>
      <c r="J49" s="1163">
        <f t="shared" si="28"/>
        <v>1.82</v>
      </c>
      <c r="K49" s="393"/>
      <c r="L49" s="394"/>
      <c r="M49" s="322">
        <f>Gasoline!K49</f>
        <v>0</v>
      </c>
      <c r="N49" s="329">
        <f t="shared" si="30"/>
        <v>0</v>
      </c>
      <c r="O49" s="320"/>
      <c r="P49" s="320">
        <f t="shared" si="31"/>
        <v>0</v>
      </c>
      <c r="Q49" s="314">
        <f t="shared" si="26"/>
        <v>0</v>
      </c>
      <c r="R49" s="1046"/>
      <c r="S49" s="1047">
        <f t="shared" si="6"/>
        <v>0</v>
      </c>
      <c r="T49" s="395"/>
      <c r="U49" s="396"/>
      <c r="V49" s="1007"/>
      <c r="W49" s="847"/>
      <c r="X49" s="1008"/>
      <c r="Y49" s="363">
        <f t="shared" si="25"/>
        <v>1.82</v>
      </c>
      <c r="Z49" s="847">
        <f t="shared" si="27"/>
        <v>207568233.59999999</v>
      </c>
    </row>
    <row r="50" spans="1:26" s="85" customFormat="1" x14ac:dyDescent="0.6">
      <c r="A50" s="61">
        <f t="shared" si="29"/>
        <v>43</v>
      </c>
      <c r="B50" s="86" t="s">
        <v>61</v>
      </c>
      <c r="C50" s="1156">
        <v>19737</v>
      </c>
      <c r="D50" s="961">
        <f>C50-Diesel!C50-'Res dist'!C50-'Com dist'!C50</f>
        <v>4354</v>
      </c>
      <c r="E50" s="961">
        <v>3830</v>
      </c>
      <c r="F50" s="348">
        <f>(D50+E50)*Assumptions!$C$16</f>
        <v>2564210880</v>
      </c>
      <c r="G50" s="1009"/>
      <c r="H50" s="1006">
        <f>Assumptions!$C$115</f>
        <v>3.7854100000000002</v>
      </c>
      <c r="I50" s="1128"/>
      <c r="J50" s="1163">
        <f t="shared" si="28"/>
        <v>1.82</v>
      </c>
      <c r="K50" s="393"/>
      <c r="L50" s="394"/>
      <c r="M50" s="322">
        <f>Gasoline!K50</f>
        <v>0</v>
      </c>
      <c r="N50" s="329">
        <f t="shared" si="30"/>
        <v>0</v>
      </c>
      <c r="O50" s="320"/>
      <c r="P50" s="320">
        <f t="shared" si="31"/>
        <v>0</v>
      </c>
      <c r="Q50" s="314">
        <f t="shared" si="26"/>
        <v>0</v>
      </c>
      <c r="R50" s="1046"/>
      <c r="S50" s="1047">
        <f t="shared" si="6"/>
        <v>0</v>
      </c>
      <c r="T50" s="395"/>
      <c r="U50" s="396"/>
      <c r="V50" s="1007"/>
      <c r="W50" s="847"/>
      <c r="X50" s="1008"/>
      <c r="Y50" s="363">
        <f t="shared" si="25"/>
        <v>1.82</v>
      </c>
      <c r="Z50" s="847">
        <f t="shared" si="27"/>
        <v>4666863801.6000004</v>
      </c>
    </row>
    <row r="51" spans="1:26" s="85" customFormat="1" x14ac:dyDescent="0.6">
      <c r="A51" s="61">
        <f t="shared" si="29"/>
        <v>44</v>
      </c>
      <c r="B51" s="86" t="s">
        <v>62</v>
      </c>
      <c r="C51" s="1156">
        <v>5314</v>
      </c>
      <c r="D51" s="961">
        <f>C51-Diesel!C51-'Res dist'!C51-'Com dist'!C51</f>
        <v>1771</v>
      </c>
      <c r="E51" s="961">
        <v>8366</v>
      </c>
      <c r="F51" s="348">
        <f>(D51+E51)*Assumptions!$C$16</f>
        <v>3176124840</v>
      </c>
      <c r="G51" s="1005"/>
      <c r="H51" s="1006">
        <f>Assumptions!$C$115</f>
        <v>3.7854100000000002</v>
      </c>
      <c r="I51" s="1128"/>
      <c r="J51" s="1163">
        <f t="shared" si="28"/>
        <v>1.82</v>
      </c>
      <c r="K51" s="393"/>
      <c r="L51" s="394"/>
      <c r="M51" s="322">
        <f>Gasoline!K51</f>
        <v>0</v>
      </c>
      <c r="N51" s="329">
        <f t="shared" si="30"/>
        <v>0</v>
      </c>
      <c r="O51" s="320"/>
      <c r="P51" s="320">
        <f t="shared" si="31"/>
        <v>0</v>
      </c>
      <c r="Q51" s="314">
        <f t="shared" si="26"/>
        <v>0</v>
      </c>
      <c r="R51" s="1046"/>
      <c r="S51" s="1047">
        <f t="shared" si="6"/>
        <v>0</v>
      </c>
      <c r="T51" s="395"/>
      <c r="U51" s="396"/>
      <c r="V51" s="1007"/>
      <c r="W51" s="847"/>
      <c r="X51" s="1008"/>
      <c r="Y51" s="363">
        <f t="shared" si="25"/>
        <v>1.82</v>
      </c>
      <c r="Z51" s="847">
        <f t="shared" si="27"/>
        <v>5780547208.8000002</v>
      </c>
    </row>
    <row r="52" spans="1:26" s="85" customFormat="1" x14ac:dyDescent="0.6">
      <c r="A52" s="61">
        <f t="shared" si="29"/>
        <v>45</v>
      </c>
      <c r="B52" s="86" t="s">
        <v>63</v>
      </c>
      <c r="C52" s="1156">
        <v>20745</v>
      </c>
      <c r="D52" s="961">
        <f>C52-Diesel!C52-'Res dist'!C52-'Com dist'!C52</f>
        <v>4659</v>
      </c>
      <c r="E52" s="961">
        <v>5129</v>
      </c>
      <c r="F52" s="348">
        <f>(D52+E52)*Assumptions!$C$16</f>
        <v>3066776160</v>
      </c>
      <c r="G52" s="1005"/>
      <c r="H52" s="1006">
        <f>Assumptions!$C$115</f>
        <v>3.7854100000000002</v>
      </c>
      <c r="I52" s="1128"/>
      <c r="J52" s="1163">
        <f t="shared" si="28"/>
        <v>1.82</v>
      </c>
      <c r="K52" s="393"/>
      <c r="L52" s="394"/>
      <c r="M52" s="322">
        <f>Gasoline!K52</f>
        <v>0</v>
      </c>
      <c r="N52" s="329">
        <f t="shared" si="30"/>
        <v>0</v>
      </c>
      <c r="O52" s="320"/>
      <c r="P52" s="320">
        <f t="shared" si="31"/>
        <v>0</v>
      </c>
      <c r="Q52" s="314">
        <f t="shared" si="26"/>
        <v>0</v>
      </c>
      <c r="R52" s="1046"/>
      <c r="S52" s="1047">
        <f t="shared" si="6"/>
        <v>0</v>
      </c>
      <c r="T52" s="395"/>
      <c r="U52" s="396"/>
      <c r="V52" s="1007"/>
      <c r="W52" s="847"/>
      <c r="X52" s="1008"/>
      <c r="Y52" s="363">
        <f t="shared" si="25"/>
        <v>1.82</v>
      </c>
      <c r="Z52" s="847">
        <f t="shared" si="27"/>
        <v>5581532611.1999998</v>
      </c>
    </row>
    <row r="53" spans="1:26" s="85" customFormat="1" x14ac:dyDescent="0.6">
      <c r="A53" s="61">
        <f t="shared" si="29"/>
        <v>46</v>
      </c>
      <c r="B53" s="86" t="s">
        <v>64</v>
      </c>
      <c r="C53" s="1156">
        <v>4511</v>
      </c>
      <c r="D53" s="961">
        <f>C53-Diesel!C53-'Res dist'!C53-'Com dist'!C53</f>
        <v>2165</v>
      </c>
      <c r="E53" s="961">
        <v>0</v>
      </c>
      <c r="F53" s="348">
        <f>(D53+E53)*Assumptions!$C$16</f>
        <v>678337800</v>
      </c>
      <c r="G53" s="1005"/>
      <c r="H53" s="1006">
        <f>Assumptions!$C$115</f>
        <v>3.7854100000000002</v>
      </c>
      <c r="I53" s="1128"/>
      <c r="J53" s="1163">
        <f t="shared" si="28"/>
        <v>1.82</v>
      </c>
      <c r="K53" s="393"/>
      <c r="L53" s="394"/>
      <c r="M53" s="322">
        <f>Gasoline!K53</f>
        <v>0</v>
      </c>
      <c r="N53" s="329">
        <f t="shared" si="30"/>
        <v>0</v>
      </c>
      <c r="O53" s="320"/>
      <c r="P53" s="320">
        <f t="shared" si="31"/>
        <v>0</v>
      </c>
      <c r="Q53" s="314">
        <f t="shared" si="26"/>
        <v>0</v>
      </c>
      <c r="R53" s="1046"/>
      <c r="S53" s="1047">
        <f t="shared" si="6"/>
        <v>0</v>
      </c>
      <c r="T53" s="395"/>
      <c r="U53" s="396"/>
      <c r="V53" s="1007"/>
      <c r="W53" s="847"/>
      <c r="X53" s="1008"/>
      <c r="Y53" s="363">
        <f t="shared" si="25"/>
        <v>1.82</v>
      </c>
      <c r="Z53" s="847">
        <f t="shared" si="27"/>
        <v>1234574796</v>
      </c>
    </row>
    <row r="54" spans="1:26" s="85" customFormat="1" x14ac:dyDescent="0.6">
      <c r="A54" s="61">
        <f t="shared" si="29"/>
        <v>47</v>
      </c>
      <c r="B54" s="86" t="s">
        <v>65</v>
      </c>
      <c r="C54" s="1156">
        <v>2093</v>
      </c>
      <c r="D54" s="961">
        <f>C54-Diesel!C54-'Res dist'!C54-'Com dist'!C54</f>
        <v>837</v>
      </c>
      <c r="E54" s="961">
        <v>1450</v>
      </c>
      <c r="F54" s="348">
        <f>(D54+E54)*Assumptions!$C$16</f>
        <v>716562840</v>
      </c>
      <c r="G54" s="1005"/>
      <c r="H54" s="1006">
        <f>Assumptions!$C$115</f>
        <v>3.7854100000000002</v>
      </c>
      <c r="I54" s="1128"/>
      <c r="J54" s="1163">
        <f t="shared" si="28"/>
        <v>1.82</v>
      </c>
      <c r="K54" s="393"/>
      <c r="L54" s="394"/>
      <c r="M54" s="322">
        <f>Gasoline!K54</f>
        <v>0</v>
      </c>
      <c r="N54" s="329">
        <f t="shared" si="30"/>
        <v>0</v>
      </c>
      <c r="O54" s="320"/>
      <c r="P54" s="320">
        <f t="shared" si="31"/>
        <v>0</v>
      </c>
      <c r="Q54" s="314">
        <f t="shared" si="26"/>
        <v>0</v>
      </c>
      <c r="R54" s="1046"/>
      <c r="S54" s="1047">
        <f t="shared" si="6"/>
        <v>0</v>
      </c>
      <c r="T54" s="395"/>
      <c r="U54" s="396"/>
      <c r="V54" s="1007"/>
      <c r="W54" s="1010"/>
      <c r="X54" s="1011"/>
      <c r="Y54" s="363">
        <f t="shared" si="25"/>
        <v>1.82</v>
      </c>
      <c r="Z54" s="847">
        <f t="shared" si="27"/>
        <v>1304144368.8</v>
      </c>
    </row>
    <row r="55" spans="1:26" s="85" customFormat="1" x14ac:dyDescent="0.6">
      <c r="A55" s="61">
        <f t="shared" si="29"/>
        <v>48</v>
      </c>
      <c r="B55" s="86" t="s">
        <v>66</v>
      </c>
      <c r="C55" s="1156">
        <v>1947</v>
      </c>
      <c r="D55" s="961">
        <f>C55-Diesel!C55-'Res dist'!C55-'Com dist'!C55</f>
        <v>0</v>
      </c>
      <c r="E55" s="961">
        <v>3327</v>
      </c>
      <c r="F55" s="348">
        <f>(D55+E55)*Assumptions!$C$16</f>
        <v>1042415640</v>
      </c>
      <c r="G55" s="1005"/>
      <c r="H55" s="1006">
        <f>Assumptions!$C$115</f>
        <v>3.7854100000000002</v>
      </c>
      <c r="I55" s="1128"/>
      <c r="J55" s="1163">
        <f t="shared" si="28"/>
        <v>1.82</v>
      </c>
      <c r="K55" s="393"/>
      <c r="L55" s="394"/>
      <c r="M55" s="322">
        <f>Gasoline!K55</f>
        <v>0</v>
      </c>
      <c r="N55" s="329">
        <f t="shared" si="30"/>
        <v>0</v>
      </c>
      <c r="O55" s="320"/>
      <c r="P55" s="320">
        <f t="shared" si="31"/>
        <v>0</v>
      </c>
      <c r="Q55" s="314">
        <f t="shared" si="26"/>
        <v>0</v>
      </c>
      <c r="R55" s="1046"/>
      <c r="S55" s="1047">
        <f t="shared" si="6"/>
        <v>0</v>
      </c>
      <c r="T55" s="395"/>
      <c r="U55" s="396"/>
      <c r="V55" s="1007"/>
      <c r="W55" s="1010"/>
      <c r="X55" s="1011"/>
      <c r="Y55" s="363">
        <f t="shared" si="25"/>
        <v>1.82</v>
      </c>
      <c r="Z55" s="847">
        <f t="shared" si="27"/>
        <v>1897196464.8</v>
      </c>
    </row>
    <row r="56" spans="1:26" s="85" customFormat="1" x14ac:dyDescent="0.6">
      <c r="A56" s="61">
        <f t="shared" si="29"/>
        <v>49</v>
      </c>
      <c r="B56" s="86" t="s">
        <v>67</v>
      </c>
      <c r="C56" s="1156">
        <v>9239</v>
      </c>
      <c r="D56" s="961">
        <f>C56-Diesel!C56-'Res dist'!C56-'Com dist'!C56</f>
        <v>2137</v>
      </c>
      <c r="E56" s="961">
        <v>325</v>
      </c>
      <c r="F56" s="348">
        <f>(D56+E56)*Assumptions!$C$16</f>
        <v>771393840</v>
      </c>
      <c r="G56" s="1005"/>
      <c r="H56" s="1006">
        <f>Assumptions!$C$115</f>
        <v>3.7854100000000002</v>
      </c>
      <c r="I56" s="1128"/>
      <c r="J56" s="1163">
        <f t="shared" si="28"/>
        <v>1.82</v>
      </c>
      <c r="K56" s="393"/>
      <c r="L56" s="394"/>
      <c r="M56" s="322">
        <f>Gasoline!K56</f>
        <v>0</v>
      </c>
      <c r="N56" s="329">
        <f t="shared" si="30"/>
        <v>0</v>
      </c>
      <c r="O56" s="320"/>
      <c r="P56" s="320">
        <f t="shared" si="31"/>
        <v>0</v>
      </c>
      <c r="Q56" s="314">
        <f t="shared" si="26"/>
        <v>0</v>
      </c>
      <c r="R56" s="1046"/>
      <c r="S56" s="1047">
        <f t="shared" si="6"/>
        <v>0</v>
      </c>
      <c r="T56" s="395"/>
      <c r="U56" s="396"/>
      <c r="V56" s="1007"/>
      <c r="W56" s="1010"/>
      <c r="X56" s="1011"/>
      <c r="Y56" s="363">
        <f t="shared" si="25"/>
        <v>1.82</v>
      </c>
      <c r="Z56" s="847">
        <f t="shared" si="27"/>
        <v>1403936788.8</v>
      </c>
    </row>
    <row r="57" spans="1:26" s="85" customFormat="1" x14ac:dyDescent="0.6">
      <c r="A57" s="61">
        <f t="shared" si="29"/>
        <v>50</v>
      </c>
      <c r="B57" s="86" t="s">
        <v>68</v>
      </c>
      <c r="C57" s="1156">
        <v>527</v>
      </c>
      <c r="D57" s="961">
        <f>C57-Diesel!C57-'Res dist'!C57-'Com dist'!C57</f>
        <v>4</v>
      </c>
      <c r="E57" s="961">
        <v>0</v>
      </c>
      <c r="F57" s="348">
        <f>(D57+E57)*Assumptions!$C$16</f>
        <v>1253280</v>
      </c>
      <c r="G57" s="1005"/>
      <c r="H57" s="1006">
        <f>Assumptions!$C$115</f>
        <v>3.7854100000000002</v>
      </c>
      <c r="I57" s="1128"/>
      <c r="J57" s="1163">
        <f t="shared" si="28"/>
        <v>1.82</v>
      </c>
      <c r="K57" s="393"/>
      <c r="L57" s="394"/>
      <c r="M57" s="322">
        <f>Gasoline!K57</f>
        <v>0</v>
      </c>
      <c r="N57" s="329">
        <f t="shared" si="30"/>
        <v>0</v>
      </c>
      <c r="O57" s="320"/>
      <c r="P57" s="320">
        <f t="shared" si="31"/>
        <v>0</v>
      </c>
      <c r="Q57" s="314">
        <f t="shared" si="26"/>
        <v>0</v>
      </c>
      <c r="R57" s="1046"/>
      <c r="S57" s="1047">
        <f t="shared" si="6"/>
        <v>0</v>
      </c>
      <c r="T57" s="395"/>
      <c r="U57" s="396"/>
      <c r="V57" s="1007"/>
      <c r="W57" s="1010"/>
      <c r="X57" s="1011"/>
      <c r="Y57" s="363">
        <f t="shared" si="25"/>
        <v>1.82</v>
      </c>
      <c r="Z57" s="847">
        <f t="shared" si="27"/>
        <v>2280969.6</v>
      </c>
    </row>
    <row r="58" spans="1:26" s="85" customFormat="1" x14ac:dyDescent="0.6">
      <c r="A58" s="61">
        <f t="shared" si="29"/>
        <v>51</v>
      </c>
      <c r="B58" s="86" t="s">
        <v>695</v>
      </c>
      <c r="C58" s="1156">
        <v>2325</v>
      </c>
      <c r="D58" s="961">
        <f>C58-Diesel!C58-'Res dist'!C58-'Com dist'!C58</f>
        <v>1086</v>
      </c>
      <c r="E58" s="961">
        <v>202</v>
      </c>
      <c r="F58" s="348">
        <f>(D58+E58)*Assumptions!$C$16</f>
        <v>403556160</v>
      </c>
      <c r="G58" s="1005"/>
      <c r="H58" s="1006">
        <f>Assumptions!$C$115</f>
        <v>3.7854100000000002</v>
      </c>
      <c r="I58" s="1128"/>
      <c r="J58" s="1163">
        <f t="shared" si="28"/>
        <v>1.82</v>
      </c>
      <c r="K58" s="393"/>
      <c r="L58" s="394"/>
      <c r="M58" s="322">
        <f>Gasoline!K58</f>
        <v>0</v>
      </c>
      <c r="N58" s="329">
        <f t="shared" si="30"/>
        <v>0</v>
      </c>
      <c r="O58" s="320"/>
      <c r="P58" s="320">
        <f t="shared" si="31"/>
        <v>0</v>
      </c>
      <c r="Q58" s="314">
        <f t="shared" si="26"/>
        <v>0</v>
      </c>
      <c r="R58" s="1046"/>
      <c r="S58" s="1047">
        <f t="shared" si="6"/>
        <v>0</v>
      </c>
      <c r="T58" s="395"/>
      <c r="U58" s="396"/>
      <c r="V58" s="1007"/>
      <c r="W58" s="1010"/>
      <c r="X58" s="1011"/>
      <c r="Y58" s="363">
        <f t="shared" si="25"/>
        <v>1.82</v>
      </c>
      <c r="Z58" s="847">
        <f t="shared" si="27"/>
        <v>734472211.20000005</v>
      </c>
    </row>
    <row r="59" spans="1:26" s="85" customFormat="1" x14ac:dyDescent="0.6">
      <c r="A59" s="61">
        <f t="shared" si="29"/>
        <v>52</v>
      </c>
      <c r="B59" s="86" t="s">
        <v>69</v>
      </c>
      <c r="C59" s="1156">
        <v>3294</v>
      </c>
      <c r="D59" s="961">
        <f>C59-Diesel!C59-'Res dist'!C59-'Com dist'!C59</f>
        <v>0</v>
      </c>
      <c r="E59" s="961">
        <v>0</v>
      </c>
      <c r="F59" s="348">
        <f>(D59+E59)*Assumptions!$C$16</f>
        <v>0</v>
      </c>
      <c r="G59" s="1005"/>
      <c r="H59" s="1006">
        <f>Assumptions!$C$115</f>
        <v>3.7854100000000002</v>
      </c>
      <c r="I59" s="1128"/>
      <c r="J59" s="1163">
        <f t="shared" si="28"/>
        <v>1.82</v>
      </c>
      <c r="K59" s="393"/>
      <c r="L59" s="394"/>
      <c r="M59" s="322">
        <f>Gasoline!K59</f>
        <v>0</v>
      </c>
      <c r="N59" s="329">
        <f t="shared" si="30"/>
        <v>0</v>
      </c>
      <c r="O59" s="320"/>
      <c r="P59" s="320">
        <f t="shared" si="31"/>
        <v>0</v>
      </c>
      <c r="Q59" s="314">
        <f t="shared" si="26"/>
        <v>0</v>
      </c>
      <c r="R59" s="1046"/>
      <c r="S59" s="1047">
        <f t="shared" si="6"/>
        <v>0</v>
      </c>
      <c r="T59" s="395"/>
      <c r="U59" s="396"/>
      <c r="V59" s="1007"/>
      <c r="W59" s="1010"/>
      <c r="X59" s="1011"/>
      <c r="Y59" s="363">
        <f t="shared" si="25"/>
        <v>1.82</v>
      </c>
      <c r="Z59" s="847">
        <f t="shared" si="27"/>
        <v>0</v>
      </c>
    </row>
    <row r="60" spans="1:26" s="85" customFormat="1" x14ac:dyDescent="0.6">
      <c r="A60" s="61">
        <f t="shared" si="29"/>
        <v>53</v>
      </c>
      <c r="B60" s="86" t="s">
        <v>70</v>
      </c>
      <c r="C60" s="1156">
        <v>24454</v>
      </c>
      <c r="D60" s="961">
        <f>C60-Diesel!C60-'Res dist'!C60-'Com dist'!C60</f>
        <v>4160</v>
      </c>
      <c r="E60" s="961">
        <v>12553</v>
      </c>
      <c r="F60" s="348">
        <f>(D60+E60)*Assumptions!$C$16</f>
        <v>5236517160</v>
      </c>
      <c r="G60" s="1005"/>
      <c r="H60" s="1006">
        <f>Assumptions!$C$115</f>
        <v>3.7854100000000002</v>
      </c>
      <c r="I60" s="1128"/>
      <c r="J60" s="1163">
        <f t="shared" si="28"/>
        <v>1.82</v>
      </c>
      <c r="K60" s="393"/>
      <c r="L60" s="394"/>
      <c r="M60" s="322">
        <f>Gasoline!K60</f>
        <v>0</v>
      </c>
      <c r="N60" s="329">
        <f t="shared" si="30"/>
        <v>0</v>
      </c>
      <c r="O60" s="320"/>
      <c r="P60" s="320">
        <f t="shared" si="31"/>
        <v>0</v>
      </c>
      <c r="Q60" s="314">
        <f t="shared" si="26"/>
        <v>0</v>
      </c>
      <c r="R60" s="1046"/>
      <c r="S60" s="1047">
        <f t="shared" si="6"/>
        <v>0</v>
      </c>
      <c r="T60" s="395"/>
      <c r="U60" s="396"/>
      <c r="V60" s="1007"/>
      <c r="W60" s="1010"/>
      <c r="X60" s="1011"/>
      <c r="Y60" s="363">
        <f t="shared" si="25"/>
        <v>1.82</v>
      </c>
      <c r="Z60" s="847">
        <f t="shared" si="27"/>
        <v>9530461231.2000008</v>
      </c>
    </row>
    <row r="61" spans="1:26" s="85" customFormat="1" x14ac:dyDescent="0.6">
      <c r="A61" s="61">
        <f t="shared" si="29"/>
        <v>54</v>
      </c>
      <c r="B61" s="86" t="s">
        <v>71</v>
      </c>
      <c r="C61" s="1156">
        <v>544</v>
      </c>
      <c r="D61" s="961">
        <f>C61-Diesel!C61-'Res dist'!C61-'Com dist'!C61</f>
        <v>122</v>
      </c>
      <c r="E61" s="961">
        <v>5</v>
      </c>
      <c r="F61" s="348">
        <f>(D61+E61)*Assumptions!$C$16</f>
        <v>39791640</v>
      </c>
      <c r="G61" s="1005"/>
      <c r="H61" s="1006">
        <f>Assumptions!$C$115</f>
        <v>3.7854100000000002</v>
      </c>
      <c r="I61" s="1128"/>
      <c r="J61" s="1163">
        <f t="shared" si="28"/>
        <v>1.82</v>
      </c>
      <c r="K61" s="393"/>
      <c r="L61" s="394"/>
      <c r="M61" s="322">
        <f>Gasoline!K61</f>
        <v>0</v>
      </c>
      <c r="N61" s="329">
        <f t="shared" si="30"/>
        <v>0</v>
      </c>
      <c r="O61" s="320"/>
      <c r="P61" s="320">
        <f t="shared" si="31"/>
        <v>0</v>
      </c>
      <c r="Q61" s="314">
        <f t="shared" si="26"/>
        <v>0</v>
      </c>
      <c r="R61" s="1046"/>
      <c r="S61" s="1047">
        <f t="shared" si="6"/>
        <v>0</v>
      </c>
      <c r="T61" s="395"/>
      <c r="U61" s="396"/>
      <c r="V61" s="1007"/>
      <c r="W61" s="1010"/>
      <c r="X61" s="1011"/>
      <c r="Y61" s="363">
        <f t="shared" si="25"/>
        <v>1.82</v>
      </c>
      <c r="Z61" s="847">
        <f t="shared" si="27"/>
        <v>72420784.799999997</v>
      </c>
    </row>
    <row r="62" spans="1:26" s="85" customFormat="1" x14ac:dyDescent="0.6">
      <c r="A62" s="61">
        <f t="shared" si="29"/>
        <v>55</v>
      </c>
      <c r="B62" s="86" t="s">
        <v>72</v>
      </c>
      <c r="C62" s="1156">
        <v>2080</v>
      </c>
      <c r="D62" s="961">
        <f>C62-Diesel!C62-'Res dist'!C62-'Com dist'!C62</f>
        <v>1040</v>
      </c>
      <c r="E62" s="961">
        <v>0</v>
      </c>
      <c r="F62" s="348">
        <f>(D62+E62)*Assumptions!$C$16</f>
        <v>325852800</v>
      </c>
      <c r="G62" s="1005"/>
      <c r="H62" s="1006">
        <f>Assumptions!$C$115</f>
        <v>3.7854100000000002</v>
      </c>
      <c r="I62" s="1128"/>
      <c r="J62" s="1163">
        <f t="shared" si="28"/>
        <v>1.82</v>
      </c>
      <c r="K62" s="393"/>
      <c r="L62" s="394"/>
      <c r="M62" s="322">
        <f>Gasoline!K62</f>
        <v>0</v>
      </c>
      <c r="N62" s="329">
        <f t="shared" si="30"/>
        <v>0</v>
      </c>
      <c r="O62" s="320"/>
      <c r="P62" s="320">
        <f t="shared" si="31"/>
        <v>0</v>
      </c>
      <c r="Q62" s="314">
        <f t="shared" si="26"/>
        <v>0</v>
      </c>
      <c r="R62" s="1046"/>
      <c r="S62" s="1047">
        <f t="shared" si="6"/>
        <v>0</v>
      </c>
      <c r="T62" s="395"/>
      <c r="U62" s="396"/>
      <c r="V62" s="1007"/>
      <c r="W62" s="1010"/>
      <c r="X62" s="1011"/>
      <c r="Y62" s="363">
        <f t="shared" si="25"/>
        <v>1.82</v>
      </c>
      <c r="Z62" s="847">
        <f t="shared" si="27"/>
        <v>593052096</v>
      </c>
    </row>
    <row r="63" spans="1:26" s="85" customFormat="1" x14ac:dyDescent="0.6">
      <c r="A63" s="61">
        <f t="shared" si="29"/>
        <v>56</v>
      </c>
      <c r="B63" s="86" t="s">
        <v>73</v>
      </c>
      <c r="C63" s="1156">
        <v>2783</v>
      </c>
      <c r="D63" s="961">
        <f>C63-Diesel!C63-'Res dist'!C63-'Com dist'!C63</f>
        <v>0</v>
      </c>
      <c r="E63" s="961">
        <v>547</v>
      </c>
      <c r="F63" s="348">
        <f>(D63+E63)*Assumptions!$C$16</f>
        <v>171386040</v>
      </c>
      <c r="G63" s="1005"/>
      <c r="H63" s="1006">
        <f>Assumptions!$C$115</f>
        <v>3.7854100000000002</v>
      </c>
      <c r="I63" s="1128"/>
      <c r="J63" s="1163">
        <f t="shared" si="28"/>
        <v>1.82</v>
      </c>
      <c r="K63" s="393"/>
      <c r="L63" s="394"/>
      <c r="M63" s="322">
        <f>Gasoline!K63</f>
        <v>0</v>
      </c>
      <c r="N63" s="329">
        <f t="shared" si="30"/>
        <v>0</v>
      </c>
      <c r="O63" s="320"/>
      <c r="P63" s="320">
        <f t="shared" si="31"/>
        <v>0</v>
      </c>
      <c r="Q63" s="314">
        <f t="shared" si="26"/>
        <v>0</v>
      </c>
      <c r="R63" s="1046"/>
      <c r="S63" s="1047">
        <f t="shared" si="6"/>
        <v>0</v>
      </c>
      <c r="T63" s="395"/>
      <c r="U63" s="396"/>
      <c r="V63" s="1007"/>
      <c r="W63" s="1010"/>
      <c r="X63" s="1011"/>
      <c r="Y63" s="363">
        <f t="shared" si="25"/>
        <v>1.82</v>
      </c>
      <c r="Z63" s="847">
        <f t="shared" si="27"/>
        <v>311922592.80000001</v>
      </c>
    </row>
    <row r="64" spans="1:26" s="85" customFormat="1" x14ac:dyDescent="0.6">
      <c r="A64" s="61">
        <f t="shared" si="29"/>
        <v>57</v>
      </c>
      <c r="B64" s="86" t="s">
        <v>74</v>
      </c>
      <c r="C64" s="1156">
        <v>855</v>
      </c>
      <c r="D64" s="961">
        <f>C64-Diesel!C64-'Res dist'!C64-'Com dist'!C64</f>
        <v>601</v>
      </c>
      <c r="E64" s="961">
        <v>0</v>
      </c>
      <c r="F64" s="348">
        <f>(D64+E64)*Assumptions!$C$16</f>
        <v>188305320</v>
      </c>
      <c r="G64" s="1005"/>
      <c r="H64" s="1006">
        <f>Assumptions!$C$115</f>
        <v>3.7854100000000002</v>
      </c>
      <c r="I64" s="1128"/>
      <c r="J64" s="1163">
        <f t="shared" si="28"/>
        <v>1.82</v>
      </c>
      <c r="K64" s="393"/>
      <c r="L64" s="394"/>
      <c r="M64" s="322">
        <f>Gasoline!K64</f>
        <v>0</v>
      </c>
      <c r="N64" s="329">
        <f t="shared" si="30"/>
        <v>0</v>
      </c>
      <c r="O64" s="320"/>
      <c r="P64" s="320">
        <f t="shared" si="31"/>
        <v>0</v>
      </c>
      <c r="Q64" s="314">
        <f t="shared" si="26"/>
        <v>0</v>
      </c>
      <c r="R64" s="1046"/>
      <c r="S64" s="1047">
        <f t="shared" si="6"/>
        <v>0</v>
      </c>
      <c r="T64" s="395"/>
      <c r="U64" s="396"/>
      <c r="V64" s="1007"/>
      <c r="W64" s="1010"/>
      <c r="X64" s="1011"/>
      <c r="Y64" s="363">
        <f t="shared" si="25"/>
        <v>1.82</v>
      </c>
      <c r="Z64" s="847">
        <f t="shared" si="27"/>
        <v>342715682.40000004</v>
      </c>
    </row>
    <row r="65" spans="1:26" s="85" customFormat="1" x14ac:dyDescent="0.6">
      <c r="A65" s="63">
        <f t="shared" si="29"/>
        <v>58</v>
      </c>
      <c r="B65" s="90" t="s">
        <v>75</v>
      </c>
      <c r="C65" s="1159">
        <v>4319</v>
      </c>
      <c r="D65" s="963">
        <f>C65-Diesel!C65-'Res dist'!C65-'Com dist'!C65</f>
        <v>1569</v>
      </c>
      <c r="E65" s="963">
        <v>5132</v>
      </c>
      <c r="F65" s="350">
        <f>(D65+E65)*Assumptions!$C$16</f>
        <v>2099557320</v>
      </c>
      <c r="G65" s="1012"/>
      <c r="H65" s="1013">
        <f>Assumptions!$C$115</f>
        <v>3.7854100000000002</v>
      </c>
      <c r="I65" s="1131"/>
      <c r="J65" s="1164">
        <f t="shared" si="28"/>
        <v>1.82</v>
      </c>
      <c r="K65" s="819"/>
      <c r="L65" s="858"/>
      <c r="M65" s="967">
        <f>Gasoline!K65</f>
        <v>0</v>
      </c>
      <c r="N65" s="335">
        <f t="shared" si="30"/>
        <v>0</v>
      </c>
      <c r="O65" s="1014"/>
      <c r="P65" s="1014">
        <f t="shared" si="31"/>
        <v>0</v>
      </c>
      <c r="Q65" s="328">
        <f t="shared" si="26"/>
        <v>0</v>
      </c>
      <c r="R65" s="1049"/>
      <c r="S65" s="1050">
        <f t="shared" si="6"/>
        <v>0</v>
      </c>
      <c r="T65" s="1015"/>
      <c r="U65" s="409"/>
      <c r="V65" s="1016"/>
      <c r="W65" s="1017"/>
      <c r="X65" s="1018"/>
      <c r="Y65" s="572">
        <f t="shared" si="25"/>
        <v>1.82</v>
      </c>
      <c r="Z65" s="1019">
        <f t="shared" si="27"/>
        <v>3821194322.4000001</v>
      </c>
    </row>
    <row r="66" spans="1:26" x14ac:dyDescent="0.6">
      <c r="B66" s="1" t="s">
        <v>42</v>
      </c>
      <c r="E66" s="13">
        <f>SUM(E4:E65)</f>
        <v>62248</v>
      </c>
      <c r="F66" s="13">
        <f>SUM(F4:F65)</f>
        <v>71570121000</v>
      </c>
      <c r="G66" s="398"/>
      <c r="R66" s="414"/>
      <c r="S66" s="414"/>
      <c r="W66" s="1"/>
      <c r="X66" s="1"/>
      <c r="Y66" s="1"/>
      <c r="Z66" s="1"/>
    </row>
    <row r="67" spans="1:26" x14ac:dyDescent="0.6">
      <c r="B67" s="1" t="s">
        <v>357</v>
      </c>
      <c r="C67" s="1160">
        <v>1242648</v>
      </c>
      <c r="D67" s="13">
        <f>C67-Diesel!C67-'Res dist'!C67-'Com dist'!C67</f>
        <v>212391</v>
      </c>
      <c r="E67" s="13">
        <f>76360+1498</f>
        <v>77858</v>
      </c>
      <c r="F67" s="13">
        <f>(D67+E67)*Assumptions!C16</f>
        <v>90940816680</v>
      </c>
      <c r="G67" s="398"/>
      <c r="H67" s="83" t="s">
        <v>1757</v>
      </c>
      <c r="I67" s="83"/>
      <c r="K67" s="278">
        <v>1.82</v>
      </c>
      <c r="R67" s="414"/>
      <c r="S67" s="414"/>
      <c r="W67" s="1"/>
      <c r="X67" s="1"/>
      <c r="Y67" s="1"/>
      <c r="Z67" s="1"/>
    </row>
    <row r="68" spans="1:26" x14ac:dyDescent="0.6">
      <c r="C68" s="1161"/>
      <c r="D68" s="28"/>
      <c r="E68" s="28">
        <f>E66/E67</f>
        <v>0.7995067944206119</v>
      </c>
      <c r="F68" s="28">
        <f>F66/F67</f>
        <v>0.78699668215911167</v>
      </c>
      <c r="G68" s="398"/>
      <c r="O68" s="278"/>
      <c r="R68" s="414"/>
      <c r="S68" s="414"/>
      <c r="W68" s="1"/>
      <c r="X68" s="1"/>
      <c r="Z68" s="1"/>
    </row>
    <row r="69" spans="1:26" x14ac:dyDescent="0.6">
      <c r="F69" s="1"/>
      <c r="G69" s="398"/>
      <c r="K69" s="83"/>
      <c r="L69" s="1"/>
      <c r="O69" s="1"/>
      <c r="P69" s="1"/>
      <c r="R69" s="414"/>
      <c r="S69" s="414"/>
      <c r="T69" s="1"/>
      <c r="U69" s="85"/>
      <c r="W69" s="1"/>
      <c r="X69" s="1"/>
      <c r="Y69" s="1"/>
      <c r="Z69" s="1"/>
    </row>
    <row r="70" spans="1:26" x14ac:dyDescent="0.6">
      <c r="G70" s="398"/>
      <c r="R70" s="414"/>
      <c r="S70" s="414"/>
    </row>
    <row r="71" spans="1:26" x14ac:dyDescent="0.6">
      <c r="G71" s="398"/>
      <c r="R71" s="414"/>
      <c r="S71" s="414"/>
    </row>
    <row r="72" spans="1:26" x14ac:dyDescent="0.6">
      <c r="G72" s="398"/>
      <c r="R72" s="414"/>
      <c r="S72" s="414"/>
    </row>
    <row r="73" spans="1:26" x14ac:dyDescent="0.6">
      <c r="G73" s="398"/>
      <c r="R73" s="414"/>
      <c r="S73" s="414"/>
    </row>
    <row r="74" spans="1:26" x14ac:dyDescent="0.6">
      <c r="G74" s="398"/>
      <c r="R74" s="414"/>
      <c r="S74" s="414"/>
    </row>
    <row r="75" spans="1:26" x14ac:dyDescent="0.6">
      <c r="G75" s="398"/>
      <c r="R75" s="414"/>
      <c r="S75" s="414"/>
    </row>
    <row r="76" spans="1:26" x14ac:dyDescent="0.6">
      <c r="G76" s="398"/>
      <c r="R76" s="414"/>
      <c r="S76" s="414"/>
    </row>
    <row r="77" spans="1:26" x14ac:dyDescent="0.6">
      <c r="G77" s="398"/>
      <c r="R77" s="414"/>
      <c r="S77" s="414"/>
    </row>
    <row r="78" spans="1:26" x14ac:dyDescent="0.6">
      <c r="G78" s="398"/>
      <c r="R78" s="414"/>
      <c r="S78" s="414"/>
    </row>
    <row r="79" spans="1:26" x14ac:dyDescent="0.6">
      <c r="G79" s="398"/>
      <c r="R79" s="414"/>
      <c r="S79" s="414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31.84765625" style="85" customWidth="1"/>
    <col min="3" max="3" width="7.84765625" style="55" customWidth="1"/>
    <col min="4" max="4" width="11.34765625" style="55" customWidth="1"/>
    <col min="5" max="5" width="9.84765625" style="55" customWidth="1"/>
    <col min="6" max="6" width="8.84765625" style="96" bestFit="1" customWidth="1"/>
    <col min="7" max="7" width="16.09765625" style="1" bestFit="1" customWidth="1"/>
    <col min="8" max="8" width="16.09765625" style="1" customWidth="1"/>
    <col min="9" max="9" width="16.09765625" style="1" bestFit="1" customWidth="1"/>
    <col min="10" max="10" width="8.34765625" style="54" customWidth="1"/>
    <col min="11" max="11" width="7.34765625" style="54" customWidth="1"/>
    <col min="12" max="12" width="7.5" style="54" customWidth="1"/>
    <col min="13" max="13" width="8.59765625" style="54" customWidth="1"/>
    <col min="14" max="14" width="11.09765625" style="54" bestFit="1" customWidth="1"/>
    <col min="15" max="15" width="9.09765625" style="54" customWidth="1"/>
    <col min="16" max="16" width="16" style="17" bestFit="1" customWidth="1"/>
    <col min="17" max="17" width="17.5" style="70" bestFit="1" customWidth="1"/>
    <col min="18" max="18" width="17.5" style="17" bestFit="1" customWidth="1"/>
    <col min="19" max="19" width="17.5" style="1" bestFit="1" customWidth="1"/>
    <col min="20" max="20" width="5.09765625" style="1" bestFit="1" customWidth="1"/>
    <col min="21" max="16384" width="10.84765625" style="1"/>
  </cols>
  <sheetData>
    <row r="1" spans="1:19" x14ac:dyDescent="0.6">
      <c r="A1" s="78" t="s">
        <v>1095</v>
      </c>
      <c r="D1" s="89"/>
      <c r="E1" s="879"/>
      <c r="G1" s="14" t="s">
        <v>42</v>
      </c>
      <c r="H1" s="14"/>
      <c r="I1" s="14" t="s">
        <v>238</v>
      </c>
      <c r="J1" s="95" t="s">
        <v>1089</v>
      </c>
      <c r="K1" s="95"/>
      <c r="L1" s="95" t="s">
        <v>1091</v>
      </c>
      <c r="N1" s="17"/>
      <c r="O1" s="17"/>
      <c r="P1" s="98"/>
      <c r="R1" s="98"/>
      <c r="S1" s="880"/>
    </row>
    <row r="2" spans="1:19" s="2" customFormat="1" x14ac:dyDescent="0.6">
      <c r="A2" s="24" t="s">
        <v>879</v>
      </c>
      <c r="B2" s="60"/>
      <c r="C2" s="56"/>
      <c r="D2" s="56"/>
      <c r="E2" s="56"/>
      <c r="F2" s="97" t="s">
        <v>189</v>
      </c>
      <c r="G2" s="60" t="s">
        <v>1096</v>
      </c>
      <c r="H2" s="60" t="s">
        <v>1097</v>
      </c>
      <c r="I2" s="60" t="s">
        <v>24</v>
      </c>
      <c r="J2" s="95" t="s">
        <v>190</v>
      </c>
      <c r="K2" s="95"/>
      <c r="L2" s="95" t="s">
        <v>190</v>
      </c>
      <c r="M2" s="95" t="s">
        <v>396</v>
      </c>
      <c r="N2" s="95" t="s">
        <v>397</v>
      </c>
      <c r="O2" s="95" t="s">
        <v>42</v>
      </c>
      <c r="P2" s="18" t="s">
        <v>193</v>
      </c>
      <c r="Q2" s="114" t="s">
        <v>396</v>
      </c>
      <c r="R2" s="18" t="s">
        <v>397</v>
      </c>
      <c r="S2" s="2" t="s">
        <v>398</v>
      </c>
    </row>
    <row r="3" spans="1:19" s="2" customFormat="1" x14ac:dyDescent="0.6">
      <c r="A3" s="24" t="s">
        <v>1098</v>
      </c>
      <c r="B3" s="60"/>
      <c r="C3" s="56" t="s">
        <v>136</v>
      </c>
      <c r="D3" s="56" t="s">
        <v>137</v>
      </c>
      <c r="E3" s="56" t="s">
        <v>42</v>
      </c>
      <c r="F3" s="97" t="s">
        <v>79</v>
      </c>
      <c r="G3" s="2" t="s">
        <v>400</v>
      </c>
      <c r="H3" s="2" t="s">
        <v>400</v>
      </c>
      <c r="I3" s="2" t="s">
        <v>400</v>
      </c>
      <c r="J3" s="95" t="s">
        <v>191</v>
      </c>
      <c r="K3" s="95" t="s">
        <v>1090</v>
      </c>
      <c r="L3" s="95" t="s">
        <v>191</v>
      </c>
      <c r="M3" s="95" t="s">
        <v>190</v>
      </c>
      <c r="N3" s="95" t="s">
        <v>190</v>
      </c>
      <c r="O3" s="95" t="s">
        <v>79</v>
      </c>
      <c r="P3" s="18" t="s">
        <v>192</v>
      </c>
      <c r="Q3" s="114" t="s">
        <v>192</v>
      </c>
      <c r="R3" s="18" t="s">
        <v>192</v>
      </c>
      <c r="S3" s="2" t="s">
        <v>198</v>
      </c>
    </row>
    <row r="4" spans="1:19" s="85" customFormat="1" x14ac:dyDescent="0.6">
      <c r="A4" s="60">
        <v>1</v>
      </c>
      <c r="B4" s="85" t="s">
        <v>178</v>
      </c>
      <c r="C4" s="89"/>
      <c r="D4" s="89"/>
      <c r="E4" s="89">
        <f t="shared" ref="E4:E35" si="0">D4+C4</f>
        <v>0</v>
      </c>
      <c r="F4" s="959">
        <f>'State gasoline'!K4</f>
        <v>8.9099999999999999E-2</v>
      </c>
      <c r="G4" s="897">
        <v>1107330000</v>
      </c>
      <c r="H4" s="897">
        <v>7453000</v>
      </c>
      <c r="I4" s="897">
        <f>G4-'State diesel'!G4-'State Res Dist'!I4-'State Com Dist'!G4-H4</f>
        <v>258039000</v>
      </c>
      <c r="J4" s="156">
        <f>'State Com Dist'!H4</f>
        <v>1.623</v>
      </c>
      <c r="K4" s="156"/>
      <c r="L4" s="156">
        <f>(K4+J4+E4)</f>
        <v>1.623</v>
      </c>
      <c r="M4" s="156">
        <f>(L4-E4)</f>
        <v>1.623</v>
      </c>
      <c r="N4" s="156">
        <f>M4</f>
        <v>1.623</v>
      </c>
      <c r="O4" s="952">
        <f>L4-M4</f>
        <v>0</v>
      </c>
      <c r="P4" s="70">
        <f>L4*I4</f>
        <v>418797297</v>
      </c>
      <c r="Q4" s="70">
        <f t="shared" ref="Q4:Q35" si="1">M4*I4</f>
        <v>418797297</v>
      </c>
      <c r="R4" s="70">
        <f t="shared" ref="R4:R35" si="2">N4*I4</f>
        <v>418797297</v>
      </c>
      <c r="S4" s="70">
        <f t="shared" ref="S4:S54" si="3">P4-R4</f>
        <v>0</v>
      </c>
    </row>
    <row r="5" spans="1:19" s="85" customFormat="1" x14ac:dyDescent="0.6">
      <c r="A5" s="60">
        <f t="shared" ref="A5:A54" si="4">A4+1</f>
        <v>2</v>
      </c>
      <c r="B5" s="85" t="s">
        <v>188</v>
      </c>
      <c r="C5" s="89">
        <f t="shared" ref="C5:C54" si="5">C4</f>
        <v>0</v>
      </c>
      <c r="D5" s="89"/>
      <c r="E5" s="89">
        <f t="shared" si="0"/>
        <v>0</v>
      </c>
      <c r="F5" s="959">
        <f>'State gasoline'!K5</f>
        <v>1.7600000000000001E-2</v>
      </c>
      <c r="G5" s="897">
        <v>562729000</v>
      </c>
      <c r="H5" s="897">
        <v>21506000</v>
      </c>
      <c r="I5" s="897">
        <f>G5-'State diesel'!G5-'State Res Dist'!I5-'State Com Dist'!G5-H5</f>
        <v>317799000</v>
      </c>
      <c r="J5" s="156">
        <f>'State Com Dist'!H5</f>
        <v>2.3679999999999999</v>
      </c>
      <c r="K5" s="156"/>
      <c r="L5" s="156">
        <f t="shared" ref="L5:L54" si="6">(K5+J5+E5)</f>
        <v>2.3679999999999999</v>
      </c>
      <c r="M5" s="156">
        <f t="shared" ref="M5:M54" si="7">(L5-E5)</f>
        <v>2.3679999999999999</v>
      </c>
      <c r="N5" s="156">
        <f t="shared" ref="N5:N54" si="8">M5</f>
        <v>2.3679999999999999</v>
      </c>
      <c r="O5" s="952">
        <f t="shared" ref="O5:O57" si="9">L5-M5</f>
        <v>0</v>
      </c>
      <c r="P5" s="70">
        <f t="shared" ref="P5:P55" si="10">L5*I5</f>
        <v>752548032</v>
      </c>
      <c r="Q5" s="70">
        <f t="shared" si="1"/>
        <v>752548032</v>
      </c>
      <c r="R5" s="70">
        <f t="shared" si="2"/>
        <v>752548032</v>
      </c>
      <c r="S5" s="70">
        <f t="shared" si="3"/>
        <v>0</v>
      </c>
    </row>
    <row r="6" spans="1:19" s="85" customFormat="1" x14ac:dyDescent="0.6">
      <c r="A6" s="60">
        <f t="shared" si="4"/>
        <v>3</v>
      </c>
      <c r="B6" s="85" t="s">
        <v>181</v>
      </c>
      <c r="C6" s="89">
        <f t="shared" si="5"/>
        <v>0</v>
      </c>
      <c r="D6" s="89"/>
      <c r="E6" s="89">
        <f t="shared" si="0"/>
        <v>0</v>
      </c>
      <c r="F6" s="959">
        <f>'State gasoline'!K6</f>
        <v>8.1699999999999995E-2</v>
      </c>
      <c r="G6" s="897">
        <v>1028888000</v>
      </c>
      <c r="H6" s="897">
        <v>7011000</v>
      </c>
      <c r="I6" s="897">
        <f>G6-'State diesel'!G6-'State Res Dist'!I6-'State Com Dist'!G6-H6</f>
        <v>198502000</v>
      </c>
      <c r="J6" s="156">
        <f>'State Com Dist'!H6</f>
        <v>1.694</v>
      </c>
      <c r="K6" s="156"/>
      <c r="L6" s="156">
        <f t="shared" si="6"/>
        <v>1.694</v>
      </c>
      <c r="M6" s="156">
        <f t="shared" si="7"/>
        <v>1.694</v>
      </c>
      <c r="N6" s="156">
        <f t="shared" si="8"/>
        <v>1.694</v>
      </c>
      <c r="O6" s="952">
        <f t="shared" si="9"/>
        <v>0</v>
      </c>
      <c r="P6" s="70">
        <f t="shared" si="10"/>
        <v>336262388</v>
      </c>
      <c r="Q6" s="70">
        <f t="shared" si="1"/>
        <v>336262388</v>
      </c>
      <c r="R6" s="70">
        <f t="shared" si="2"/>
        <v>336262388</v>
      </c>
      <c r="S6" s="70">
        <f t="shared" si="3"/>
        <v>0</v>
      </c>
    </row>
    <row r="7" spans="1:19" s="85" customFormat="1" x14ac:dyDescent="0.6">
      <c r="A7" s="60">
        <f t="shared" si="4"/>
        <v>4</v>
      </c>
      <c r="B7" s="85" t="s">
        <v>176</v>
      </c>
      <c r="C7" s="89">
        <f t="shared" si="5"/>
        <v>0</v>
      </c>
      <c r="D7" s="89"/>
      <c r="E7" s="89">
        <f t="shared" si="0"/>
        <v>0</v>
      </c>
      <c r="F7" s="959">
        <f>'State gasoline'!K7</f>
        <v>9.2600000000000002E-2</v>
      </c>
      <c r="G7" s="897">
        <v>828862000</v>
      </c>
      <c r="H7" s="897">
        <v>4274000</v>
      </c>
      <c r="I7" s="897">
        <f>G7-'State diesel'!G7-'State Res Dist'!I7-'State Com Dist'!G7-H7</f>
        <v>184393000</v>
      </c>
      <c r="J7" s="156">
        <f>'State Com Dist'!H7</f>
        <v>1.681</v>
      </c>
      <c r="K7" s="156"/>
      <c r="L7" s="156">
        <f t="shared" si="6"/>
        <v>1.681</v>
      </c>
      <c r="M7" s="156">
        <f t="shared" si="7"/>
        <v>1.681</v>
      </c>
      <c r="N7" s="156">
        <f t="shared" si="8"/>
        <v>1.681</v>
      </c>
      <c r="O7" s="952">
        <f t="shared" si="9"/>
        <v>0</v>
      </c>
      <c r="P7" s="70">
        <f t="shared" si="10"/>
        <v>309964633</v>
      </c>
      <c r="Q7" s="70">
        <f t="shared" si="1"/>
        <v>309964633</v>
      </c>
      <c r="R7" s="70">
        <f t="shared" si="2"/>
        <v>309964633</v>
      </c>
      <c r="S7" s="70">
        <f t="shared" si="3"/>
        <v>0</v>
      </c>
    </row>
    <row r="8" spans="1:19" s="85" customFormat="1" x14ac:dyDescent="0.6">
      <c r="A8" s="60">
        <f t="shared" si="4"/>
        <v>5</v>
      </c>
      <c r="B8" s="85" t="s">
        <v>142</v>
      </c>
      <c r="C8" s="89">
        <f t="shared" si="5"/>
        <v>0</v>
      </c>
      <c r="D8" s="89"/>
      <c r="E8" s="89">
        <f t="shared" si="0"/>
        <v>0</v>
      </c>
      <c r="F8" s="959">
        <f>'State gasoline'!K8</f>
        <v>8.4400000000000003E-2</v>
      </c>
      <c r="G8" s="897">
        <v>4097124000</v>
      </c>
      <c r="H8" s="897">
        <v>2777000</v>
      </c>
      <c r="I8" s="897">
        <f>G8-'State diesel'!G8-'State Res Dist'!I8-'State Com Dist'!G8-H8</f>
        <v>1105170000</v>
      </c>
      <c r="J8" s="156">
        <f>'State Com Dist'!H8</f>
        <v>1.7370000000000001</v>
      </c>
      <c r="K8" s="156"/>
      <c r="L8" s="156">
        <f t="shared" si="6"/>
        <v>1.7370000000000001</v>
      </c>
      <c r="M8" s="156">
        <f t="shared" si="7"/>
        <v>1.7370000000000001</v>
      </c>
      <c r="N8" s="156">
        <f t="shared" si="8"/>
        <v>1.7370000000000001</v>
      </c>
      <c r="O8" s="952">
        <f t="shared" si="9"/>
        <v>0</v>
      </c>
      <c r="P8" s="70">
        <f t="shared" si="10"/>
        <v>1919680290</v>
      </c>
      <c r="Q8" s="70">
        <f t="shared" si="1"/>
        <v>1919680290</v>
      </c>
      <c r="R8" s="70">
        <f t="shared" si="2"/>
        <v>1919680290</v>
      </c>
      <c r="S8" s="70">
        <f t="shared" si="3"/>
        <v>0</v>
      </c>
    </row>
    <row r="9" spans="1:19" s="85" customFormat="1" x14ac:dyDescent="0.6">
      <c r="A9" s="60">
        <f t="shared" si="4"/>
        <v>6</v>
      </c>
      <c r="B9" s="85" t="s">
        <v>175</v>
      </c>
      <c r="C9" s="89">
        <f t="shared" si="5"/>
        <v>0</v>
      </c>
      <c r="D9" s="89"/>
      <c r="E9" s="89">
        <f t="shared" si="0"/>
        <v>0</v>
      </c>
      <c r="F9" s="959">
        <f>'State gasoline'!K9</f>
        <v>7.4399999999999994E-2</v>
      </c>
      <c r="G9" s="897">
        <v>844873000</v>
      </c>
      <c r="H9" s="897">
        <v>603000</v>
      </c>
      <c r="I9" s="897">
        <f>G9-'State diesel'!G9-'State Res Dist'!I9-'State Com Dist'!G9-H9</f>
        <v>268324000</v>
      </c>
      <c r="J9" s="156">
        <f>'State Com Dist'!H9</f>
        <v>1.6659999999999999</v>
      </c>
      <c r="K9" s="156"/>
      <c r="L9" s="156">
        <f t="shared" si="6"/>
        <v>1.6659999999999999</v>
      </c>
      <c r="M9" s="156">
        <f t="shared" si="7"/>
        <v>1.6659999999999999</v>
      </c>
      <c r="N9" s="156">
        <f t="shared" si="8"/>
        <v>1.6659999999999999</v>
      </c>
      <c r="O9" s="952">
        <f t="shared" si="9"/>
        <v>0</v>
      </c>
      <c r="P9" s="70">
        <f t="shared" si="10"/>
        <v>447027784</v>
      </c>
      <c r="Q9" s="70">
        <f t="shared" si="1"/>
        <v>447027784</v>
      </c>
      <c r="R9" s="70">
        <f t="shared" si="2"/>
        <v>447027784</v>
      </c>
      <c r="S9" s="70">
        <f t="shared" si="3"/>
        <v>0</v>
      </c>
    </row>
    <row r="10" spans="1:19" s="85" customFormat="1" x14ac:dyDescent="0.6">
      <c r="A10" s="60">
        <f t="shared" si="4"/>
        <v>7</v>
      </c>
      <c r="B10" s="85" t="s">
        <v>143</v>
      </c>
      <c r="C10" s="89">
        <f t="shared" si="5"/>
        <v>0</v>
      </c>
      <c r="D10" s="89"/>
      <c r="E10" s="89">
        <f t="shared" si="0"/>
        <v>0</v>
      </c>
      <c r="F10" s="959">
        <f>'State gasoline'!K10</f>
        <v>6.3500000000000001E-2</v>
      </c>
      <c r="G10" s="897">
        <v>837225000</v>
      </c>
      <c r="H10" s="897">
        <v>7312000</v>
      </c>
      <c r="I10" s="897">
        <f>G10-'State diesel'!G10-'State Res Dist'!I10-'State Com Dist'!G10-H10</f>
        <v>30552000</v>
      </c>
      <c r="J10" s="156">
        <f>'State Com Dist'!H10</f>
        <v>1.6659999999999999</v>
      </c>
      <c r="K10" s="156"/>
      <c r="L10" s="156">
        <f t="shared" si="6"/>
        <v>1.6659999999999999</v>
      </c>
      <c r="M10" s="156">
        <f t="shared" si="7"/>
        <v>1.6659999999999999</v>
      </c>
      <c r="N10" s="156">
        <f t="shared" si="8"/>
        <v>1.6659999999999999</v>
      </c>
      <c r="O10" s="952">
        <f t="shared" si="9"/>
        <v>0</v>
      </c>
      <c r="P10" s="70">
        <f t="shared" si="10"/>
        <v>50899632</v>
      </c>
      <c r="Q10" s="70">
        <f t="shared" si="1"/>
        <v>50899632</v>
      </c>
      <c r="R10" s="70">
        <f t="shared" si="2"/>
        <v>50899632</v>
      </c>
      <c r="S10" s="70">
        <f t="shared" si="3"/>
        <v>0</v>
      </c>
    </row>
    <row r="11" spans="1:19" s="85" customFormat="1" x14ac:dyDescent="0.6">
      <c r="A11" s="60">
        <f t="shared" si="4"/>
        <v>8</v>
      </c>
      <c r="B11" s="85" t="s">
        <v>172</v>
      </c>
      <c r="C11" s="89">
        <f t="shared" si="5"/>
        <v>0</v>
      </c>
      <c r="D11" s="89"/>
      <c r="E11" s="89">
        <f t="shared" si="0"/>
        <v>0</v>
      </c>
      <c r="F11" s="959">
        <f>'State gasoline'!K11</f>
        <v>0</v>
      </c>
      <c r="G11" s="897">
        <v>113780000</v>
      </c>
      <c r="H11" s="897">
        <v>5485000</v>
      </c>
      <c r="I11" s="897">
        <f>G11-'State diesel'!G11-'State Res Dist'!I11-'State Com Dist'!G11-H11</f>
        <v>15382000</v>
      </c>
      <c r="J11" s="156">
        <f>'State Com Dist'!H11</f>
        <v>1.696</v>
      </c>
      <c r="K11" s="156"/>
      <c r="L11" s="156">
        <f t="shared" si="6"/>
        <v>1.696</v>
      </c>
      <c r="M11" s="156">
        <f t="shared" si="7"/>
        <v>1.696</v>
      </c>
      <c r="N11" s="156">
        <f t="shared" si="8"/>
        <v>1.696</v>
      </c>
      <c r="O11" s="952">
        <f t="shared" si="9"/>
        <v>0</v>
      </c>
      <c r="P11" s="70">
        <f t="shared" si="10"/>
        <v>26087872</v>
      </c>
      <c r="Q11" s="70">
        <f t="shared" si="1"/>
        <v>26087872</v>
      </c>
      <c r="R11" s="70">
        <f t="shared" si="2"/>
        <v>26087872</v>
      </c>
      <c r="S11" s="70">
        <f t="shared" si="3"/>
        <v>0</v>
      </c>
    </row>
    <row r="12" spans="1:19" s="85" customFormat="1" x14ac:dyDescent="0.6">
      <c r="A12" s="60">
        <f t="shared" si="4"/>
        <v>9</v>
      </c>
      <c r="B12" s="85" t="s">
        <v>171</v>
      </c>
      <c r="C12" s="89">
        <f t="shared" si="5"/>
        <v>0</v>
      </c>
      <c r="D12" s="89"/>
      <c r="E12" s="89">
        <f t="shared" si="0"/>
        <v>0</v>
      </c>
      <c r="F12" s="959">
        <f>'State gasoline'!K12</f>
        <v>5.7500000000000002E-2</v>
      </c>
      <c r="G12" s="897">
        <v>27911000</v>
      </c>
      <c r="H12" s="897">
        <v>0</v>
      </c>
      <c r="I12" s="897">
        <f>G12-'State diesel'!G12-'State Res Dist'!I12-'State Com Dist'!G12-H12</f>
        <v>8108000</v>
      </c>
      <c r="J12" s="156">
        <f>'State Com Dist'!H12</f>
        <v>1.6479999999999999</v>
      </c>
      <c r="K12" s="156"/>
      <c r="L12" s="156">
        <f t="shared" si="6"/>
        <v>1.6479999999999999</v>
      </c>
      <c r="M12" s="156">
        <f t="shared" si="7"/>
        <v>1.6479999999999999</v>
      </c>
      <c r="N12" s="156">
        <f t="shared" si="8"/>
        <v>1.6479999999999999</v>
      </c>
      <c r="O12" s="952">
        <f t="shared" si="9"/>
        <v>0</v>
      </c>
      <c r="P12" s="70">
        <f t="shared" si="10"/>
        <v>13361984</v>
      </c>
      <c r="Q12" s="70">
        <f t="shared" si="1"/>
        <v>13361984</v>
      </c>
      <c r="R12" s="70">
        <f t="shared" si="2"/>
        <v>13361984</v>
      </c>
      <c r="S12" s="70">
        <f t="shared" si="3"/>
        <v>0</v>
      </c>
    </row>
    <row r="13" spans="1:19" s="85" customFormat="1" x14ac:dyDescent="0.6">
      <c r="A13" s="60">
        <f t="shared" si="4"/>
        <v>10</v>
      </c>
      <c r="B13" s="85" t="s">
        <v>144</v>
      </c>
      <c r="C13" s="89">
        <f t="shared" si="5"/>
        <v>0</v>
      </c>
      <c r="D13" s="89"/>
      <c r="E13" s="89">
        <f t="shared" si="0"/>
        <v>0</v>
      </c>
      <c r="F13" s="959">
        <f>'State gasoline'!K13</f>
        <v>6.6500000000000004E-2</v>
      </c>
      <c r="G13" s="897">
        <v>2205777000</v>
      </c>
      <c r="H13" s="897">
        <v>13867000</v>
      </c>
      <c r="I13" s="897">
        <f>G13-'State diesel'!G13-'State Res Dist'!I13-'State Com Dist'!G13-H13</f>
        <v>561254000</v>
      </c>
      <c r="J13" s="156">
        <f>'State Com Dist'!H13</f>
        <v>1.77</v>
      </c>
      <c r="K13" s="156"/>
      <c r="L13" s="156">
        <f t="shared" si="6"/>
        <v>1.77</v>
      </c>
      <c r="M13" s="156">
        <f t="shared" si="7"/>
        <v>1.77</v>
      </c>
      <c r="N13" s="156">
        <f t="shared" si="8"/>
        <v>1.77</v>
      </c>
      <c r="O13" s="952">
        <f t="shared" si="9"/>
        <v>0</v>
      </c>
      <c r="P13" s="70">
        <f t="shared" si="10"/>
        <v>993419580</v>
      </c>
      <c r="Q13" s="70">
        <f t="shared" si="1"/>
        <v>993419580</v>
      </c>
      <c r="R13" s="70">
        <f t="shared" si="2"/>
        <v>993419580</v>
      </c>
      <c r="S13" s="70">
        <f t="shared" si="3"/>
        <v>0</v>
      </c>
    </row>
    <row r="14" spans="1:19" s="85" customFormat="1" x14ac:dyDescent="0.6">
      <c r="A14" s="60">
        <f t="shared" si="4"/>
        <v>11</v>
      </c>
      <c r="B14" s="85" t="s">
        <v>154</v>
      </c>
      <c r="C14" s="89">
        <f t="shared" si="5"/>
        <v>0</v>
      </c>
      <c r="D14" s="89"/>
      <c r="E14" s="89">
        <f t="shared" si="0"/>
        <v>0</v>
      </c>
      <c r="F14" s="959">
        <f>'State gasoline'!K14</f>
        <v>6.9599999999999995E-2</v>
      </c>
      <c r="G14" s="897">
        <v>1744976000</v>
      </c>
      <c r="H14" s="897">
        <v>12191000</v>
      </c>
      <c r="I14" s="897">
        <f>G14-'State diesel'!G14-'State Res Dist'!I14-'State Com Dist'!G14-H14</f>
        <v>282132000</v>
      </c>
      <c r="J14" s="156">
        <f>'State Com Dist'!H14</f>
        <v>1.6519999999999999</v>
      </c>
      <c r="K14" s="156"/>
      <c r="L14" s="156">
        <f t="shared" si="6"/>
        <v>1.6519999999999999</v>
      </c>
      <c r="M14" s="156">
        <f t="shared" si="7"/>
        <v>1.6519999999999999</v>
      </c>
      <c r="N14" s="156">
        <f t="shared" si="8"/>
        <v>1.6519999999999999</v>
      </c>
      <c r="O14" s="952">
        <f t="shared" si="9"/>
        <v>0</v>
      </c>
      <c r="P14" s="70">
        <f t="shared" si="10"/>
        <v>466082064</v>
      </c>
      <c r="Q14" s="70">
        <f t="shared" si="1"/>
        <v>466082064</v>
      </c>
      <c r="R14" s="70">
        <f t="shared" si="2"/>
        <v>466082064</v>
      </c>
      <c r="S14" s="70">
        <f t="shared" si="3"/>
        <v>0</v>
      </c>
    </row>
    <row r="15" spans="1:19" s="85" customFormat="1" x14ac:dyDescent="0.6">
      <c r="A15" s="60">
        <f t="shared" si="4"/>
        <v>12</v>
      </c>
      <c r="B15" s="85" t="s">
        <v>141</v>
      </c>
      <c r="C15" s="89">
        <f t="shared" si="5"/>
        <v>0</v>
      </c>
      <c r="D15" s="89"/>
      <c r="E15" s="89">
        <f t="shared" si="0"/>
        <v>0</v>
      </c>
      <c r="F15" s="959">
        <f>'State gasoline'!K15</f>
        <v>4.3499999999999997E-2</v>
      </c>
      <c r="G15" s="897">
        <v>205686000</v>
      </c>
      <c r="H15" s="897">
        <v>97454000</v>
      </c>
      <c r="I15" s="897">
        <f>G15-'State diesel'!G15-'State Res Dist'!I15-'State Com Dist'!G15-H15</f>
        <v>51361000</v>
      </c>
      <c r="J15" s="156">
        <f>'State Com Dist'!H15</f>
        <v>1.8</v>
      </c>
      <c r="K15" s="156"/>
      <c r="L15" s="156">
        <f t="shared" si="6"/>
        <v>1.8</v>
      </c>
      <c r="M15" s="156">
        <f t="shared" si="7"/>
        <v>1.8</v>
      </c>
      <c r="N15" s="156">
        <f t="shared" si="8"/>
        <v>1.8</v>
      </c>
      <c r="O15" s="952">
        <f t="shared" si="9"/>
        <v>0</v>
      </c>
      <c r="P15" s="70">
        <f t="shared" si="10"/>
        <v>92449800</v>
      </c>
      <c r="Q15" s="70">
        <f t="shared" si="1"/>
        <v>92449800</v>
      </c>
      <c r="R15" s="70">
        <f t="shared" si="2"/>
        <v>92449800</v>
      </c>
      <c r="S15" s="70">
        <f t="shared" si="3"/>
        <v>0</v>
      </c>
    </row>
    <row r="16" spans="1:19" s="85" customFormat="1" x14ac:dyDescent="0.6">
      <c r="A16" s="60">
        <f t="shared" si="4"/>
        <v>13</v>
      </c>
      <c r="B16" s="85" t="s">
        <v>152</v>
      </c>
      <c r="C16" s="89">
        <f t="shared" si="5"/>
        <v>0</v>
      </c>
      <c r="D16" s="89"/>
      <c r="E16" s="89">
        <f t="shared" si="0"/>
        <v>0</v>
      </c>
      <c r="F16" s="959">
        <f>'State gasoline'!K16</f>
        <v>6.0100000000000001E-2</v>
      </c>
      <c r="G16" s="897">
        <v>523561000</v>
      </c>
      <c r="H16" s="897">
        <v>9000</v>
      </c>
      <c r="I16" s="897">
        <f>G16-'State diesel'!G16-'State Res Dist'!I16-'State Com Dist'!G16-H16</f>
        <v>223109000</v>
      </c>
      <c r="J16" s="156">
        <f>'State Com Dist'!H16</f>
        <v>1.79</v>
      </c>
      <c r="K16" s="156"/>
      <c r="L16" s="156">
        <f t="shared" si="6"/>
        <v>1.79</v>
      </c>
      <c r="M16" s="156">
        <f t="shared" si="7"/>
        <v>1.79</v>
      </c>
      <c r="N16" s="156">
        <f t="shared" si="8"/>
        <v>1.79</v>
      </c>
      <c r="O16" s="952">
        <f t="shared" si="9"/>
        <v>0</v>
      </c>
      <c r="P16" s="70">
        <f t="shared" si="10"/>
        <v>399365110</v>
      </c>
      <c r="Q16" s="70">
        <f t="shared" si="1"/>
        <v>399365110</v>
      </c>
      <c r="R16" s="70">
        <f t="shared" si="2"/>
        <v>399365110</v>
      </c>
      <c r="S16" s="70">
        <f t="shared" si="3"/>
        <v>0</v>
      </c>
    </row>
    <row r="17" spans="1:19" s="85" customFormat="1" x14ac:dyDescent="0.6">
      <c r="A17" s="60">
        <f t="shared" si="4"/>
        <v>14</v>
      </c>
      <c r="B17" s="85" t="s">
        <v>157</v>
      </c>
      <c r="C17" s="89">
        <f t="shared" si="5"/>
        <v>0</v>
      </c>
      <c r="D17" s="89"/>
      <c r="E17" s="89">
        <f t="shared" si="0"/>
        <v>0</v>
      </c>
      <c r="F17" s="959">
        <f>'State gasoline'!K17</f>
        <v>8.1900000000000001E-2</v>
      </c>
      <c r="G17" s="897">
        <v>2313149000</v>
      </c>
      <c r="H17" s="897">
        <v>5536000</v>
      </c>
      <c r="I17" s="897">
        <f>G17-'State diesel'!G17-'State Res Dist'!I17-'State Com Dist'!G17-H17</f>
        <v>617567000</v>
      </c>
      <c r="J17" s="156">
        <f>'State Com Dist'!H17</f>
        <v>1.649</v>
      </c>
      <c r="K17" s="156"/>
      <c r="L17" s="156">
        <f t="shared" si="6"/>
        <v>1.649</v>
      </c>
      <c r="M17" s="156">
        <f t="shared" si="7"/>
        <v>1.649</v>
      </c>
      <c r="N17" s="156">
        <f t="shared" si="8"/>
        <v>1.649</v>
      </c>
      <c r="O17" s="952">
        <f t="shared" si="9"/>
        <v>0</v>
      </c>
      <c r="P17" s="70">
        <f t="shared" si="10"/>
        <v>1018367983</v>
      </c>
      <c r="Q17" s="70">
        <f t="shared" si="1"/>
        <v>1018367983</v>
      </c>
      <c r="R17" s="70">
        <f t="shared" si="2"/>
        <v>1018367983</v>
      </c>
      <c r="S17" s="70">
        <f t="shared" si="3"/>
        <v>0</v>
      </c>
    </row>
    <row r="18" spans="1:19" s="85" customFormat="1" x14ac:dyDescent="0.6">
      <c r="A18" s="60">
        <f t="shared" si="4"/>
        <v>15</v>
      </c>
      <c r="B18" s="85" t="s">
        <v>160</v>
      </c>
      <c r="C18" s="89">
        <f t="shared" si="5"/>
        <v>0</v>
      </c>
      <c r="D18" s="89"/>
      <c r="E18" s="89">
        <f t="shared" si="0"/>
        <v>0</v>
      </c>
      <c r="F18" s="959">
        <f>'State gasoline'!K18</f>
        <v>7.0000000000000007E-2</v>
      </c>
      <c r="G18" s="897">
        <v>1810264000</v>
      </c>
      <c r="H18" s="897">
        <v>13903000</v>
      </c>
      <c r="I18" s="897">
        <f>G18-'State diesel'!G18-'State Res Dist'!I18-'State Com Dist'!G18-H18</f>
        <v>500312000</v>
      </c>
      <c r="J18" s="156">
        <f>'State Com Dist'!H18</f>
        <v>1.7030000000000001</v>
      </c>
      <c r="K18" s="156"/>
      <c r="L18" s="156">
        <f t="shared" si="6"/>
        <v>1.7030000000000001</v>
      </c>
      <c r="M18" s="156">
        <f t="shared" si="7"/>
        <v>1.7030000000000001</v>
      </c>
      <c r="N18" s="156">
        <f t="shared" si="8"/>
        <v>1.7030000000000001</v>
      </c>
      <c r="O18" s="952">
        <f t="shared" si="9"/>
        <v>0</v>
      </c>
      <c r="P18" s="70">
        <f t="shared" si="10"/>
        <v>852031336</v>
      </c>
      <c r="Q18" s="70">
        <f t="shared" si="1"/>
        <v>852031336</v>
      </c>
      <c r="R18" s="70">
        <f t="shared" si="2"/>
        <v>852031336</v>
      </c>
      <c r="S18" s="70">
        <f t="shared" si="3"/>
        <v>0</v>
      </c>
    </row>
    <row r="19" spans="1:19" s="85" customFormat="1" x14ac:dyDescent="0.6">
      <c r="A19" s="60">
        <f t="shared" si="4"/>
        <v>16</v>
      </c>
      <c r="B19" s="85" t="s">
        <v>151</v>
      </c>
      <c r="C19" s="89">
        <f t="shared" si="5"/>
        <v>0</v>
      </c>
      <c r="D19" s="89"/>
      <c r="E19" s="89">
        <f t="shared" si="0"/>
        <v>0</v>
      </c>
      <c r="F19" s="959">
        <f>'State gasoline'!K19</f>
        <v>6.7799999999999999E-2</v>
      </c>
      <c r="G19" s="897">
        <v>1095423000</v>
      </c>
      <c r="H19" s="897">
        <v>2996000</v>
      </c>
      <c r="I19" s="897">
        <f>G19-'State diesel'!G19-'State Res Dist'!I19-'State Com Dist'!G19-H19</f>
        <v>387445000</v>
      </c>
      <c r="J19" s="156">
        <f>'State Com Dist'!H19</f>
        <v>1.7070000000000001</v>
      </c>
      <c r="K19" s="156"/>
      <c r="L19" s="156">
        <f t="shared" si="6"/>
        <v>1.7070000000000001</v>
      </c>
      <c r="M19" s="156">
        <f t="shared" si="7"/>
        <v>1.7070000000000001</v>
      </c>
      <c r="N19" s="156">
        <f t="shared" si="8"/>
        <v>1.7070000000000001</v>
      </c>
      <c r="O19" s="952">
        <f t="shared" si="9"/>
        <v>0</v>
      </c>
      <c r="P19" s="70">
        <f t="shared" si="10"/>
        <v>661368615</v>
      </c>
      <c r="Q19" s="70">
        <f t="shared" si="1"/>
        <v>661368615</v>
      </c>
      <c r="R19" s="70">
        <f t="shared" si="2"/>
        <v>661368615</v>
      </c>
      <c r="S19" s="70">
        <f t="shared" si="3"/>
        <v>0</v>
      </c>
    </row>
    <row r="20" spans="1:19" s="85" customFormat="1" x14ac:dyDescent="0.6">
      <c r="A20" s="60">
        <f t="shared" si="4"/>
        <v>17</v>
      </c>
      <c r="B20" s="85" t="s">
        <v>168</v>
      </c>
      <c r="C20" s="89">
        <f t="shared" si="5"/>
        <v>0</v>
      </c>
      <c r="D20" s="89"/>
      <c r="E20" s="89">
        <f t="shared" si="0"/>
        <v>0</v>
      </c>
      <c r="F20" s="959">
        <f>'State gasoline'!K20</f>
        <v>8.2000000000000003E-2</v>
      </c>
      <c r="G20" s="897">
        <v>960794000</v>
      </c>
      <c r="H20" s="897">
        <v>1914000</v>
      </c>
      <c r="I20" s="897">
        <f>G20-'State diesel'!G20-'State Res Dist'!I20-'State Com Dist'!G20-H20</f>
        <v>430330000</v>
      </c>
      <c r="J20" s="156">
        <f>'State Com Dist'!H20</f>
        <v>1.669</v>
      </c>
      <c r="K20" s="156"/>
      <c r="L20" s="156">
        <f t="shared" si="6"/>
        <v>1.669</v>
      </c>
      <c r="M20" s="156">
        <f t="shared" si="7"/>
        <v>1.669</v>
      </c>
      <c r="N20" s="156">
        <f t="shared" si="8"/>
        <v>1.669</v>
      </c>
      <c r="O20" s="952">
        <f t="shared" si="9"/>
        <v>0</v>
      </c>
      <c r="P20" s="70">
        <f t="shared" si="10"/>
        <v>718220770</v>
      </c>
      <c r="Q20" s="70">
        <f t="shared" si="1"/>
        <v>718220770</v>
      </c>
      <c r="R20" s="70">
        <f t="shared" si="2"/>
        <v>718220770</v>
      </c>
      <c r="S20" s="70">
        <f t="shared" si="3"/>
        <v>0</v>
      </c>
    </row>
    <row r="21" spans="1:19" s="85" customFormat="1" x14ac:dyDescent="0.6">
      <c r="A21" s="60">
        <f t="shared" si="4"/>
        <v>18</v>
      </c>
      <c r="B21" s="85" t="s">
        <v>167</v>
      </c>
      <c r="C21" s="89">
        <f t="shared" si="5"/>
        <v>0</v>
      </c>
      <c r="D21" s="89"/>
      <c r="E21" s="89">
        <f t="shared" si="0"/>
        <v>0</v>
      </c>
      <c r="F21" s="959">
        <f>'State gasoline'!K21</f>
        <v>0.06</v>
      </c>
      <c r="G21" s="897">
        <v>1148959000</v>
      </c>
      <c r="H21" s="897">
        <v>8080000</v>
      </c>
      <c r="I21" s="897">
        <f>G21-'State diesel'!G21-'State Res Dist'!I21-'State Com Dist'!G21-H21</f>
        <v>335727000</v>
      </c>
      <c r="J21" s="156">
        <f>'State Com Dist'!H21</f>
        <v>1.7090000000000001</v>
      </c>
      <c r="K21" s="156"/>
      <c r="L21" s="156">
        <f t="shared" si="6"/>
        <v>1.7090000000000001</v>
      </c>
      <c r="M21" s="156">
        <f t="shared" si="7"/>
        <v>1.7090000000000001</v>
      </c>
      <c r="N21" s="156">
        <f t="shared" si="8"/>
        <v>1.7090000000000001</v>
      </c>
      <c r="O21" s="952">
        <f t="shared" si="9"/>
        <v>0</v>
      </c>
      <c r="P21" s="70">
        <f t="shared" si="10"/>
        <v>573757443</v>
      </c>
      <c r="Q21" s="70">
        <f t="shared" si="1"/>
        <v>573757443</v>
      </c>
      <c r="R21" s="70">
        <f t="shared" si="2"/>
        <v>573757443</v>
      </c>
      <c r="S21" s="70">
        <f t="shared" si="3"/>
        <v>0</v>
      </c>
    </row>
    <row r="22" spans="1:19" s="85" customFormat="1" x14ac:dyDescent="0.6">
      <c r="A22" s="60">
        <f t="shared" si="4"/>
        <v>19</v>
      </c>
      <c r="B22" s="85" t="s">
        <v>179</v>
      </c>
      <c r="C22" s="89">
        <f t="shared" si="5"/>
        <v>0</v>
      </c>
      <c r="D22" s="89"/>
      <c r="E22" s="89">
        <f t="shared" si="0"/>
        <v>0</v>
      </c>
      <c r="F22" s="959">
        <f>'State gasoline'!K22</f>
        <v>8.9099999999999999E-2</v>
      </c>
      <c r="G22" s="897">
        <v>1486065000</v>
      </c>
      <c r="H22" s="897">
        <v>2966000</v>
      </c>
      <c r="I22" s="897">
        <f>G22-'State diesel'!G22-'State Res Dist'!I22-'State Com Dist'!G22-H22</f>
        <v>750102000</v>
      </c>
      <c r="J22" s="156">
        <f>'State Com Dist'!H22</f>
        <v>1.5780000000000001</v>
      </c>
      <c r="K22" s="156"/>
      <c r="L22" s="156">
        <f t="shared" si="6"/>
        <v>1.5780000000000001</v>
      </c>
      <c r="M22" s="156">
        <f t="shared" si="7"/>
        <v>1.5780000000000001</v>
      </c>
      <c r="N22" s="156">
        <f t="shared" si="8"/>
        <v>1.5780000000000001</v>
      </c>
      <c r="O22" s="952">
        <f t="shared" si="9"/>
        <v>0</v>
      </c>
      <c r="P22" s="70">
        <f t="shared" si="10"/>
        <v>1183660956</v>
      </c>
      <c r="Q22" s="70">
        <f t="shared" si="1"/>
        <v>1183660956</v>
      </c>
      <c r="R22" s="70">
        <f t="shared" si="2"/>
        <v>1183660956</v>
      </c>
      <c r="S22" s="70">
        <f t="shared" si="3"/>
        <v>0</v>
      </c>
    </row>
    <row r="23" spans="1:19" s="85" customFormat="1" x14ac:dyDescent="0.6">
      <c r="A23" s="60">
        <f t="shared" si="4"/>
        <v>20</v>
      </c>
      <c r="B23" s="85" t="s">
        <v>158</v>
      </c>
      <c r="C23" s="89">
        <f t="shared" si="5"/>
        <v>0</v>
      </c>
      <c r="D23" s="89"/>
      <c r="E23" s="89">
        <f t="shared" si="0"/>
        <v>0</v>
      </c>
      <c r="F23" s="959">
        <f>'State gasoline'!K23</f>
        <v>5.5E-2</v>
      </c>
      <c r="G23" s="897">
        <v>539918000</v>
      </c>
      <c r="H23" s="897">
        <v>1809000</v>
      </c>
      <c r="I23" s="897">
        <f>G23-'State diesel'!G23-'State Res Dist'!I23-'State Com Dist'!G23-H23</f>
        <v>47761000</v>
      </c>
      <c r="J23" s="156">
        <f>'State Com Dist'!H23</f>
        <v>1.907</v>
      </c>
      <c r="K23" s="156"/>
      <c r="L23" s="156">
        <f t="shared" si="6"/>
        <v>1.907</v>
      </c>
      <c r="M23" s="156">
        <f t="shared" si="7"/>
        <v>1.907</v>
      </c>
      <c r="N23" s="156">
        <f t="shared" si="8"/>
        <v>1.907</v>
      </c>
      <c r="O23" s="952">
        <f t="shared" si="9"/>
        <v>0</v>
      </c>
      <c r="P23" s="70">
        <f t="shared" si="10"/>
        <v>91080227</v>
      </c>
      <c r="Q23" s="70">
        <f t="shared" si="1"/>
        <v>91080227</v>
      </c>
      <c r="R23" s="70">
        <f t="shared" si="2"/>
        <v>91080227</v>
      </c>
      <c r="S23" s="70">
        <f t="shared" si="3"/>
        <v>0</v>
      </c>
    </row>
    <row r="24" spans="1:19" s="85" customFormat="1" x14ac:dyDescent="0.6">
      <c r="A24" s="60">
        <f t="shared" si="4"/>
        <v>21</v>
      </c>
      <c r="B24" s="85" t="s">
        <v>150</v>
      </c>
      <c r="C24" s="89">
        <f t="shared" si="5"/>
        <v>0</v>
      </c>
      <c r="D24" s="89"/>
      <c r="E24" s="89">
        <f t="shared" si="0"/>
        <v>0</v>
      </c>
      <c r="F24" s="959">
        <f>'State gasoline'!K24</f>
        <v>0.06</v>
      </c>
      <c r="G24" s="897">
        <v>808485000</v>
      </c>
      <c r="H24" s="897">
        <v>15064000</v>
      </c>
      <c r="I24" s="897">
        <f>G24-'State diesel'!G24-'State Res Dist'!I24-'State Com Dist'!G24-H24</f>
        <v>64308000</v>
      </c>
      <c r="J24" s="156">
        <f>'State Com Dist'!H24</f>
        <v>1.6479999999999999</v>
      </c>
      <c r="K24" s="156"/>
      <c r="L24" s="156">
        <f t="shared" si="6"/>
        <v>1.6479999999999999</v>
      </c>
      <c r="M24" s="156">
        <f t="shared" si="7"/>
        <v>1.6479999999999999</v>
      </c>
      <c r="N24" s="156">
        <f t="shared" si="8"/>
        <v>1.6479999999999999</v>
      </c>
      <c r="O24" s="952">
        <f t="shared" si="9"/>
        <v>0</v>
      </c>
      <c r="P24" s="70">
        <f t="shared" si="10"/>
        <v>105979584</v>
      </c>
      <c r="Q24" s="70">
        <f t="shared" si="1"/>
        <v>105979584</v>
      </c>
      <c r="R24" s="70">
        <f t="shared" si="2"/>
        <v>105979584</v>
      </c>
      <c r="S24" s="70">
        <f t="shared" si="3"/>
        <v>0</v>
      </c>
    </row>
    <row r="25" spans="1:19" s="85" customFormat="1" x14ac:dyDescent="0.6">
      <c r="A25" s="60">
        <f t="shared" si="4"/>
        <v>22</v>
      </c>
      <c r="B25" s="85" t="s">
        <v>166</v>
      </c>
      <c r="C25" s="89">
        <f t="shared" si="5"/>
        <v>0</v>
      </c>
      <c r="D25" s="89"/>
      <c r="E25" s="89">
        <f t="shared" si="0"/>
        <v>0</v>
      </c>
      <c r="F25" s="959">
        <f>'State gasoline'!K25</f>
        <v>6.25E-2</v>
      </c>
      <c r="G25" s="897">
        <v>1250536000</v>
      </c>
      <c r="H25" s="897">
        <v>11903000</v>
      </c>
      <c r="I25" s="897">
        <f>G25-'State diesel'!G25-'State Res Dist'!I25-'State Com Dist'!G25-H25</f>
        <v>87612000</v>
      </c>
      <c r="J25" s="156">
        <f>'State Com Dist'!H25</f>
        <v>1.78</v>
      </c>
      <c r="K25" s="156"/>
      <c r="L25" s="156">
        <f t="shared" si="6"/>
        <v>1.78</v>
      </c>
      <c r="M25" s="156">
        <f t="shared" si="7"/>
        <v>1.78</v>
      </c>
      <c r="N25" s="156">
        <f t="shared" si="8"/>
        <v>1.78</v>
      </c>
      <c r="O25" s="952">
        <f t="shared" si="9"/>
        <v>0</v>
      </c>
      <c r="P25" s="70">
        <f t="shared" si="10"/>
        <v>155949360</v>
      </c>
      <c r="Q25" s="70">
        <f t="shared" si="1"/>
        <v>155949360</v>
      </c>
      <c r="R25" s="70">
        <f t="shared" si="2"/>
        <v>155949360</v>
      </c>
      <c r="S25" s="70">
        <f t="shared" si="3"/>
        <v>0</v>
      </c>
    </row>
    <row r="26" spans="1:19" s="85" customFormat="1" x14ac:dyDescent="0.6">
      <c r="A26" s="60">
        <f t="shared" si="4"/>
        <v>23</v>
      </c>
      <c r="B26" s="85" t="s">
        <v>155</v>
      </c>
      <c r="C26" s="89">
        <f t="shared" si="5"/>
        <v>0</v>
      </c>
      <c r="D26" s="89"/>
      <c r="E26" s="89">
        <f t="shared" si="0"/>
        <v>0</v>
      </c>
      <c r="F26" s="959">
        <f>'State gasoline'!K26</f>
        <v>0.06</v>
      </c>
      <c r="G26" s="897">
        <v>1266949000</v>
      </c>
      <c r="H26" s="897">
        <v>7873000</v>
      </c>
      <c r="I26" s="897">
        <f>G26-'State diesel'!G26-'State Res Dist'!I26-'State Com Dist'!G26-H26</f>
        <v>228204000</v>
      </c>
      <c r="J26" s="156">
        <f>'State Com Dist'!H26</f>
        <v>1.702</v>
      </c>
      <c r="K26" s="156"/>
      <c r="L26" s="156">
        <f t="shared" si="6"/>
        <v>1.702</v>
      </c>
      <c r="M26" s="156">
        <f t="shared" si="7"/>
        <v>1.702</v>
      </c>
      <c r="N26" s="156">
        <f t="shared" si="8"/>
        <v>1.702</v>
      </c>
      <c r="O26" s="952">
        <f t="shared" si="9"/>
        <v>0</v>
      </c>
      <c r="P26" s="70">
        <f t="shared" si="10"/>
        <v>388403208</v>
      </c>
      <c r="Q26" s="70">
        <f t="shared" si="1"/>
        <v>388403208</v>
      </c>
      <c r="R26" s="70">
        <f t="shared" si="2"/>
        <v>388403208</v>
      </c>
      <c r="S26" s="70">
        <f t="shared" si="3"/>
        <v>0</v>
      </c>
    </row>
    <row r="27" spans="1:19" s="85" customFormat="1" x14ac:dyDescent="0.6">
      <c r="A27" s="60">
        <f t="shared" si="4"/>
        <v>24</v>
      </c>
      <c r="B27" s="85" t="s">
        <v>162</v>
      </c>
      <c r="C27" s="89">
        <f t="shared" si="5"/>
        <v>0</v>
      </c>
      <c r="D27" s="89"/>
      <c r="E27" s="89">
        <f t="shared" si="0"/>
        <v>0</v>
      </c>
      <c r="F27" s="959">
        <f>'State gasoline'!K27</f>
        <v>7.1999999999999995E-2</v>
      </c>
      <c r="G27" s="897">
        <v>1096553000</v>
      </c>
      <c r="H27" s="897">
        <v>2620000</v>
      </c>
      <c r="I27" s="897">
        <f>G27-'State diesel'!G27-'State Res Dist'!I27-'State Com Dist'!G27-H27</f>
        <v>363737000</v>
      </c>
      <c r="J27" s="156">
        <f>'State Com Dist'!H27</f>
        <v>1.736</v>
      </c>
      <c r="K27" s="156"/>
      <c r="L27" s="156">
        <f t="shared" si="6"/>
        <v>1.736</v>
      </c>
      <c r="M27" s="156">
        <f t="shared" si="7"/>
        <v>1.736</v>
      </c>
      <c r="N27" s="156">
        <f t="shared" si="8"/>
        <v>1.736</v>
      </c>
      <c r="O27" s="952">
        <f t="shared" si="9"/>
        <v>0</v>
      </c>
      <c r="P27" s="70">
        <f t="shared" si="10"/>
        <v>631447432</v>
      </c>
      <c r="Q27" s="70">
        <f t="shared" si="1"/>
        <v>631447432</v>
      </c>
      <c r="R27" s="70">
        <f t="shared" si="2"/>
        <v>631447432</v>
      </c>
      <c r="S27" s="70">
        <f t="shared" si="3"/>
        <v>0</v>
      </c>
    </row>
    <row r="28" spans="1:19" s="85" customFormat="1" x14ac:dyDescent="0.6">
      <c r="A28" s="60">
        <f t="shared" si="4"/>
        <v>25</v>
      </c>
      <c r="B28" s="85" t="s">
        <v>183</v>
      </c>
      <c r="C28" s="89">
        <f t="shared" si="5"/>
        <v>0</v>
      </c>
      <c r="D28" s="89"/>
      <c r="E28" s="89">
        <f t="shared" si="0"/>
        <v>0</v>
      </c>
      <c r="F28" s="959">
        <f>'State gasoline'!K28</f>
        <v>7.0699999999999999E-2</v>
      </c>
      <c r="G28" s="897">
        <v>855082000</v>
      </c>
      <c r="H28" s="897">
        <v>1866000</v>
      </c>
      <c r="I28" s="897">
        <f>G28-'State diesel'!G28-'State Res Dist'!I28-'State Com Dist'!G28-H28</f>
        <v>196588000</v>
      </c>
      <c r="J28" s="156">
        <f>'State Com Dist'!H28</f>
        <v>1.6120000000000001</v>
      </c>
      <c r="K28" s="156"/>
      <c r="L28" s="156">
        <f t="shared" si="6"/>
        <v>1.6120000000000001</v>
      </c>
      <c r="M28" s="156">
        <f t="shared" si="7"/>
        <v>1.6120000000000001</v>
      </c>
      <c r="N28" s="156">
        <f t="shared" si="8"/>
        <v>1.6120000000000001</v>
      </c>
      <c r="O28" s="952">
        <f t="shared" si="9"/>
        <v>0</v>
      </c>
      <c r="P28" s="70">
        <f t="shared" si="10"/>
        <v>316899856</v>
      </c>
      <c r="Q28" s="70">
        <f t="shared" si="1"/>
        <v>316899856</v>
      </c>
      <c r="R28" s="70">
        <f t="shared" si="2"/>
        <v>316899856</v>
      </c>
      <c r="S28" s="70">
        <f t="shared" si="3"/>
        <v>0</v>
      </c>
    </row>
    <row r="29" spans="1:19" s="85" customFormat="1" x14ac:dyDescent="0.6">
      <c r="A29" s="60">
        <f t="shared" si="4"/>
        <v>26</v>
      </c>
      <c r="B29" s="85" t="s">
        <v>184</v>
      </c>
      <c r="C29" s="89">
        <f t="shared" si="5"/>
        <v>0</v>
      </c>
      <c r="D29" s="89"/>
      <c r="E29" s="89">
        <f t="shared" si="0"/>
        <v>0</v>
      </c>
      <c r="F29" s="959">
        <f>'State gasoline'!K29</f>
        <v>7.8100000000000003E-2</v>
      </c>
      <c r="G29" s="897">
        <v>1361318000</v>
      </c>
      <c r="H29" s="897">
        <v>6191000</v>
      </c>
      <c r="I29" s="897">
        <f>G29-'State diesel'!G29-'State Res Dist'!I29-'State Com Dist'!G29-H29</f>
        <v>315360000</v>
      </c>
      <c r="J29" s="156">
        <f>'State Com Dist'!H29</f>
        <v>1.677</v>
      </c>
      <c r="K29" s="156"/>
      <c r="L29" s="156">
        <f t="shared" si="6"/>
        <v>1.677</v>
      </c>
      <c r="M29" s="156">
        <f t="shared" si="7"/>
        <v>1.677</v>
      </c>
      <c r="N29" s="156">
        <f t="shared" si="8"/>
        <v>1.677</v>
      </c>
      <c r="O29" s="952">
        <f t="shared" si="9"/>
        <v>0</v>
      </c>
      <c r="P29" s="70">
        <f t="shared" si="10"/>
        <v>528858720</v>
      </c>
      <c r="Q29" s="70">
        <f t="shared" si="1"/>
        <v>528858720</v>
      </c>
      <c r="R29" s="70">
        <f t="shared" si="2"/>
        <v>528858720</v>
      </c>
      <c r="S29" s="70">
        <f t="shared" si="3"/>
        <v>0</v>
      </c>
    </row>
    <row r="30" spans="1:19" s="85" customFormat="1" x14ac:dyDescent="0.6">
      <c r="A30" s="60">
        <f t="shared" si="4"/>
        <v>27</v>
      </c>
      <c r="B30" s="85" t="s">
        <v>164</v>
      </c>
      <c r="C30" s="89">
        <f t="shared" si="5"/>
        <v>0</v>
      </c>
      <c r="D30" s="89"/>
      <c r="E30" s="89">
        <f t="shared" si="0"/>
        <v>0</v>
      </c>
      <c r="F30" s="959">
        <f>'State gasoline'!K30</f>
        <v>0</v>
      </c>
      <c r="G30" s="897">
        <v>364904000</v>
      </c>
      <c r="H30" s="897">
        <v>823000</v>
      </c>
      <c r="I30" s="897">
        <f>G30-'State diesel'!G30-'State Res Dist'!I30-'State Com Dist'!G30-H30</f>
        <v>94138000</v>
      </c>
      <c r="J30" s="156">
        <f>'State Com Dist'!H30</f>
        <v>1.7210000000000001</v>
      </c>
      <c r="K30" s="156"/>
      <c r="L30" s="156">
        <f t="shared" si="6"/>
        <v>1.7210000000000001</v>
      </c>
      <c r="M30" s="156">
        <f t="shared" si="7"/>
        <v>1.7210000000000001</v>
      </c>
      <c r="N30" s="156">
        <f t="shared" si="8"/>
        <v>1.7210000000000001</v>
      </c>
      <c r="O30" s="952">
        <f t="shared" si="9"/>
        <v>0</v>
      </c>
      <c r="P30" s="70">
        <f t="shared" si="10"/>
        <v>162011498</v>
      </c>
      <c r="Q30" s="70">
        <f t="shared" si="1"/>
        <v>162011498</v>
      </c>
      <c r="R30" s="70">
        <f t="shared" si="2"/>
        <v>162011498</v>
      </c>
      <c r="S30" s="70">
        <f t="shared" si="3"/>
        <v>0</v>
      </c>
    </row>
    <row r="31" spans="1:19" s="85" customFormat="1" x14ac:dyDescent="0.6">
      <c r="A31" s="60">
        <f t="shared" si="4"/>
        <v>28</v>
      </c>
      <c r="B31" s="85" t="s">
        <v>165</v>
      </c>
      <c r="C31" s="89">
        <f t="shared" si="5"/>
        <v>0</v>
      </c>
      <c r="D31" s="89"/>
      <c r="E31" s="89">
        <f t="shared" si="0"/>
        <v>0</v>
      </c>
      <c r="F31" s="959">
        <f>'State gasoline'!K31</f>
        <v>6.8000000000000005E-2</v>
      </c>
      <c r="G31" s="897">
        <v>830415000</v>
      </c>
      <c r="H31" s="897">
        <v>428000</v>
      </c>
      <c r="I31" s="897">
        <f>G31-'State diesel'!G31-'State Res Dist'!I31-'State Com Dist'!G31-H31</f>
        <v>376719000</v>
      </c>
      <c r="J31" s="156">
        <f>'State Com Dist'!H31</f>
        <v>1.7050000000000001</v>
      </c>
      <c r="K31" s="156"/>
      <c r="L31" s="156">
        <f t="shared" si="6"/>
        <v>1.7050000000000001</v>
      </c>
      <c r="M31" s="156">
        <f t="shared" si="7"/>
        <v>1.7050000000000001</v>
      </c>
      <c r="N31" s="156">
        <f t="shared" si="8"/>
        <v>1.7050000000000001</v>
      </c>
      <c r="O31" s="952">
        <f t="shared" si="9"/>
        <v>0</v>
      </c>
      <c r="P31" s="70">
        <f t="shared" si="10"/>
        <v>642305895</v>
      </c>
      <c r="Q31" s="70">
        <f t="shared" si="1"/>
        <v>642305895</v>
      </c>
      <c r="R31" s="70">
        <f t="shared" si="2"/>
        <v>642305895</v>
      </c>
      <c r="S31" s="70">
        <f t="shared" si="3"/>
        <v>0</v>
      </c>
    </row>
    <row r="32" spans="1:19" s="85" customFormat="1" x14ac:dyDescent="0.6">
      <c r="A32" s="60">
        <f t="shared" si="4"/>
        <v>29</v>
      </c>
      <c r="B32" s="85" t="s">
        <v>147</v>
      </c>
      <c r="C32" s="89">
        <f t="shared" si="5"/>
        <v>0</v>
      </c>
      <c r="D32" s="89"/>
      <c r="E32" s="89">
        <f t="shared" si="0"/>
        <v>0</v>
      </c>
      <c r="F32" s="959">
        <f>'State gasoline'!K32</f>
        <v>7.9399999999999998E-2</v>
      </c>
      <c r="G32" s="897">
        <v>343103000</v>
      </c>
      <c r="H32" s="897">
        <v>640000</v>
      </c>
      <c r="I32" s="897">
        <f>G32-'State diesel'!G32-'State Res Dist'!I32-'State Com Dist'!G32-H32</f>
        <v>26707000</v>
      </c>
      <c r="J32" s="156">
        <f>'State Com Dist'!H32</f>
        <v>1.76</v>
      </c>
      <c r="K32" s="156"/>
      <c r="L32" s="156">
        <f t="shared" si="6"/>
        <v>1.76</v>
      </c>
      <c r="M32" s="156">
        <f t="shared" si="7"/>
        <v>1.76</v>
      </c>
      <c r="N32" s="156">
        <f t="shared" si="8"/>
        <v>1.76</v>
      </c>
      <c r="O32" s="952">
        <f t="shared" si="9"/>
        <v>0</v>
      </c>
      <c r="P32" s="70">
        <f t="shared" si="10"/>
        <v>47004320</v>
      </c>
      <c r="Q32" s="70">
        <f t="shared" si="1"/>
        <v>47004320</v>
      </c>
      <c r="R32" s="70">
        <f t="shared" si="2"/>
        <v>47004320</v>
      </c>
      <c r="S32" s="70">
        <f t="shared" si="3"/>
        <v>0</v>
      </c>
    </row>
    <row r="33" spans="1:19" s="85" customFormat="1" x14ac:dyDescent="0.6">
      <c r="A33" s="60">
        <f t="shared" si="4"/>
        <v>30</v>
      </c>
      <c r="B33" s="85" t="s">
        <v>170</v>
      </c>
      <c r="C33" s="89">
        <f t="shared" si="5"/>
        <v>0</v>
      </c>
      <c r="D33" s="89"/>
      <c r="E33" s="89">
        <f t="shared" si="0"/>
        <v>0</v>
      </c>
      <c r="F33" s="959">
        <f>'State gasoline'!K33</f>
        <v>0</v>
      </c>
      <c r="G33" s="897">
        <v>310765000</v>
      </c>
      <c r="H33" s="897">
        <v>1713000</v>
      </c>
      <c r="I33" s="897">
        <f>G33-'State diesel'!G33-'State Res Dist'!I33-'State Com Dist'!G33-H33</f>
        <v>18524000</v>
      </c>
      <c r="J33" s="156">
        <f>'State Com Dist'!H33</f>
        <v>1.78</v>
      </c>
      <c r="K33" s="156"/>
      <c r="L33" s="156">
        <f t="shared" si="6"/>
        <v>1.78</v>
      </c>
      <c r="M33" s="156">
        <f t="shared" si="7"/>
        <v>1.78</v>
      </c>
      <c r="N33" s="156">
        <f t="shared" si="8"/>
        <v>1.78</v>
      </c>
      <c r="O33" s="952">
        <f t="shared" si="9"/>
        <v>0</v>
      </c>
      <c r="P33" s="70">
        <f t="shared" si="10"/>
        <v>32972720</v>
      </c>
      <c r="Q33" s="70">
        <f t="shared" si="1"/>
        <v>32972720</v>
      </c>
      <c r="R33" s="70">
        <f t="shared" si="2"/>
        <v>32972720</v>
      </c>
      <c r="S33" s="70">
        <f t="shared" si="3"/>
        <v>0</v>
      </c>
    </row>
    <row r="34" spans="1:19" s="85" customFormat="1" x14ac:dyDescent="0.6">
      <c r="A34" s="60">
        <f t="shared" si="4"/>
        <v>31</v>
      </c>
      <c r="B34" s="85" t="s">
        <v>187</v>
      </c>
      <c r="C34" s="89">
        <f t="shared" si="5"/>
        <v>0</v>
      </c>
      <c r="D34" s="89"/>
      <c r="E34" s="89">
        <f t="shared" si="0"/>
        <v>0</v>
      </c>
      <c r="F34" s="959">
        <f>'State gasoline'!K34</f>
        <v>6.9699999999999998E-2</v>
      </c>
      <c r="G34" s="897">
        <v>1247774000</v>
      </c>
      <c r="H34" s="897">
        <v>6066000</v>
      </c>
      <c r="I34" s="897">
        <f>G34-'State diesel'!G34-'State Res Dist'!I34-'State Com Dist'!G34-H34</f>
        <v>198199000</v>
      </c>
      <c r="J34" s="156">
        <f>'State Com Dist'!H34</f>
        <v>1.6439999999999999</v>
      </c>
      <c r="K34" s="156"/>
      <c r="L34" s="156">
        <f t="shared" si="6"/>
        <v>1.6439999999999999</v>
      </c>
      <c r="M34" s="156">
        <f t="shared" si="7"/>
        <v>1.6439999999999999</v>
      </c>
      <c r="N34" s="156">
        <f t="shared" si="8"/>
        <v>1.6439999999999999</v>
      </c>
      <c r="O34" s="952">
        <f t="shared" si="9"/>
        <v>0</v>
      </c>
      <c r="P34" s="70">
        <f t="shared" si="10"/>
        <v>325839156</v>
      </c>
      <c r="Q34" s="70">
        <f t="shared" si="1"/>
        <v>325839156</v>
      </c>
      <c r="R34" s="70">
        <f t="shared" si="2"/>
        <v>325839156</v>
      </c>
      <c r="S34" s="70">
        <f t="shared" si="3"/>
        <v>0</v>
      </c>
    </row>
    <row r="35" spans="1:19" s="85" customFormat="1" x14ac:dyDescent="0.6">
      <c r="A35" s="60">
        <f t="shared" si="4"/>
        <v>32</v>
      </c>
      <c r="B35" s="85" t="s">
        <v>182</v>
      </c>
      <c r="C35" s="89">
        <f t="shared" si="5"/>
        <v>0</v>
      </c>
      <c r="D35" s="89"/>
      <c r="E35" s="89">
        <f t="shared" si="0"/>
        <v>0</v>
      </c>
      <c r="F35" s="959">
        <f>'State gasoline'!K35</f>
        <v>7.3499999999999996E-2</v>
      </c>
      <c r="G35" s="897">
        <v>655679000</v>
      </c>
      <c r="H35" s="897">
        <v>4095000</v>
      </c>
      <c r="I35" s="897">
        <f>G35-'State diesel'!G35-'State Res Dist'!I35-'State Com Dist'!G35-H35</f>
        <v>129472000</v>
      </c>
      <c r="J35" s="156">
        <f>'State Com Dist'!H35</f>
        <v>1.6459999999999999</v>
      </c>
      <c r="K35" s="156"/>
      <c r="L35" s="156">
        <f t="shared" si="6"/>
        <v>1.6459999999999999</v>
      </c>
      <c r="M35" s="156">
        <f t="shared" si="7"/>
        <v>1.6459999999999999</v>
      </c>
      <c r="N35" s="156">
        <f t="shared" si="8"/>
        <v>1.6459999999999999</v>
      </c>
      <c r="O35" s="952">
        <f t="shared" si="9"/>
        <v>0</v>
      </c>
      <c r="P35" s="70">
        <f t="shared" si="10"/>
        <v>213110912</v>
      </c>
      <c r="Q35" s="70">
        <f t="shared" si="1"/>
        <v>213110912</v>
      </c>
      <c r="R35" s="70">
        <f t="shared" si="2"/>
        <v>213110912</v>
      </c>
      <c r="S35" s="70">
        <f t="shared" si="3"/>
        <v>0</v>
      </c>
    </row>
    <row r="36" spans="1:19" s="85" customFormat="1" x14ac:dyDescent="0.6">
      <c r="A36" s="60">
        <f t="shared" si="4"/>
        <v>33</v>
      </c>
      <c r="B36" s="85" t="s">
        <v>140</v>
      </c>
      <c r="C36" s="89">
        <f t="shared" si="5"/>
        <v>0</v>
      </c>
      <c r="D36" s="89"/>
      <c r="E36" s="89">
        <f t="shared" ref="E36:E54" si="11">D36+C36</f>
        <v>0</v>
      </c>
      <c r="F36" s="959">
        <f>'State gasoline'!K36</f>
        <v>8.48E-2</v>
      </c>
      <c r="G36" s="897">
        <v>2621582000</v>
      </c>
      <c r="H36" s="897">
        <v>21738000</v>
      </c>
      <c r="I36" s="897">
        <f>G36-'State diesel'!G36-'State Res Dist'!I36-'State Com Dist'!G36-H36</f>
        <v>200390000</v>
      </c>
      <c r="J36" s="156">
        <f>'State Com Dist'!H36</f>
        <v>1.7290000000000001</v>
      </c>
      <c r="K36" s="156"/>
      <c r="L36" s="156">
        <f t="shared" si="6"/>
        <v>1.7290000000000001</v>
      </c>
      <c r="M36" s="156">
        <f t="shared" si="7"/>
        <v>1.7290000000000001</v>
      </c>
      <c r="N36" s="156">
        <f t="shared" si="8"/>
        <v>1.7290000000000001</v>
      </c>
      <c r="O36" s="952">
        <f t="shared" si="9"/>
        <v>0</v>
      </c>
      <c r="P36" s="70">
        <f t="shared" si="10"/>
        <v>346474310</v>
      </c>
      <c r="Q36" s="70">
        <f t="shared" ref="Q36:Q54" si="12">M36*I36</f>
        <v>346474310</v>
      </c>
      <c r="R36" s="70">
        <f t="shared" ref="R36:R54" si="13">N36*I36</f>
        <v>346474310</v>
      </c>
      <c r="S36" s="70">
        <f t="shared" si="3"/>
        <v>0</v>
      </c>
    </row>
    <row r="37" spans="1:19" s="85" customFormat="1" x14ac:dyDescent="0.6">
      <c r="A37" s="60">
        <f t="shared" si="4"/>
        <v>34</v>
      </c>
      <c r="B37" s="85" t="s">
        <v>145</v>
      </c>
      <c r="C37" s="89">
        <f t="shared" si="5"/>
        <v>0</v>
      </c>
      <c r="D37" s="89"/>
      <c r="E37" s="89">
        <f t="shared" si="11"/>
        <v>0</v>
      </c>
      <c r="F37" s="959">
        <f>'State gasoline'!K37</f>
        <v>6.9000000000000006E-2</v>
      </c>
      <c r="G37" s="897">
        <v>1380867000</v>
      </c>
      <c r="H37" s="897">
        <v>25781000</v>
      </c>
      <c r="I37" s="897">
        <f>G37-'State diesel'!G37-'State Res Dist'!I37-'State Com Dist'!G37-H37</f>
        <v>216895000</v>
      </c>
      <c r="J37" s="156">
        <f>'State Com Dist'!H37</f>
        <v>1.6539999999999999</v>
      </c>
      <c r="K37" s="156"/>
      <c r="L37" s="156">
        <f t="shared" si="6"/>
        <v>1.6539999999999999</v>
      </c>
      <c r="M37" s="156">
        <f t="shared" si="7"/>
        <v>1.6539999999999999</v>
      </c>
      <c r="N37" s="156">
        <f t="shared" si="8"/>
        <v>1.6539999999999999</v>
      </c>
      <c r="O37" s="952">
        <f t="shared" si="9"/>
        <v>0</v>
      </c>
      <c r="P37" s="70">
        <f t="shared" si="10"/>
        <v>358744330</v>
      </c>
      <c r="Q37" s="70">
        <f t="shared" si="12"/>
        <v>358744330</v>
      </c>
      <c r="R37" s="70">
        <f t="shared" si="13"/>
        <v>358744330</v>
      </c>
      <c r="S37" s="70">
        <f t="shared" si="3"/>
        <v>0</v>
      </c>
    </row>
    <row r="38" spans="1:19" s="85" customFormat="1" x14ac:dyDescent="0.6">
      <c r="A38" s="60">
        <f t="shared" si="4"/>
        <v>35</v>
      </c>
      <c r="B38" s="85" t="s">
        <v>173</v>
      </c>
      <c r="C38" s="89">
        <f t="shared" si="5"/>
        <v>0</v>
      </c>
      <c r="D38" s="89"/>
      <c r="E38" s="89">
        <f t="shared" si="11"/>
        <v>0</v>
      </c>
      <c r="F38" s="959">
        <f>'State gasoline'!K38</f>
        <v>6.5600000000000006E-2</v>
      </c>
      <c r="G38" s="897">
        <v>803239000</v>
      </c>
      <c r="H38" s="897">
        <v>2911000</v>
      </c>
      <c r="I38" s="897">
        <f>G38-'State diesel'!G38-'State Res Dist'!I38-'State Com Dist'!G38-H38</f>
        <v>428983000</v>
      </c>
      <c r="J38" s="156">
        <f>'State Com Dist'!H38</f>
        <v>1.7</v>
      </c>
      <c r="K38" s="156"/>
      <c r="L38" s="156">
        <f t="shared" si="6"/>
        <v>1.7</v>
      </c>
      <c r="M38" s="156">
        <f t="shared" si="7"/>
        <v>1.7</v>
      </c>
      <c r="N38" s="156">
        <f t="shared" si="8"/>
        <v>1.7</v>
      </c>
      <c r="O38" s="952">
        <f t="shared" si="9"/>
        <v>0</v>
      </c>
      <c r="P38" s="70">
        <f t="shared" si="10"/>
        <v>729271100</v>
      </c>
      <c r="Q38" s="70">
        <f t="shared" si="12"/>
        <v>729271100</v>
      </c>
      <c r="R38" s="70">
        <f t="shared" si="13"/>
        <v>729271100</v>
      </c>
      <c r="S38" s="70">
        <f t="shared" si="3"/>
        <v>0</v>
      </c>
    </row>
    <row r="39" spans="1:19" s="85" customFormat="1" x14ac:dyDescent="0.6">
      <c r="A39" s="60">
        <f t="shared" si="4"/>
        <v>36</v>
      </c>
      <c r="B39" s="85" t="s">
        <v>163</v>
      </c>
      <c r="C39" s="89">
        <f t="shared" si="5"/>
        <v>0</v>
      </c>
      <c r="D39" s="89"/>
      <c r="E39" s="89">
        <f t="shared" si="11"/>
        <v>0</v>
      </c>
      <c r="F39" s="959">
        <f>'State gasoline'!K39</f>
        <v>7.0999999999999994E-2</v>
      </c>
      <c r="G39" s="897">
        <v>2228586000</v>
      </c>
      <c r="H39" s="897">
        <v>20288000</v>
      </c>
      <c r="I39" s="897">
        <f>G39-'State diesel'!G39-'State Res Dist'!I39-'State Com Dist'!G39-H39</f>
        <v>511570000</v>
      </c>
      <c r="J39" s="156">
        <f>'State Com Dist'!H39</f>
        <v>1.67</v>
      </c>
      <c r="K39" s="156"/>
      <c r="L39" s="156">
        <f t="shared" si="6"/>
        <v>1.67</v>
      </c>
      <c r="M39" s="156">
        <f t="shared" si="7"/>
        <v>1.67</v>
      </c>
      <c r="N39" s="156">
        <f t="shared" si="8"/>
        <v>1.67</v>
      </c>
      <c r="O39" s="952">
        <f t="shared" si="9"/>
        <v>0</v>
      </c>
      <c r="P39" s="70">
        <f t="shared" si="10"/>
        <v>854321900</v>
      </c>
      <c r="Q39" s="70">
        <f t="shared" si="12"/>
        <v>854321900</v>
      </c>
      <c r="R39" s="70">
        <f t="shared" si="13"/>
        <v>854321900</v>
      </c>
      <c r="S39" s="70">
        <f t="shared" si="3"/>
        <v>0</v>
      </c>
    </row>
    <row r="40" spans="1:19" s="85" customFormat="1" x14ac:dyDescent="0.6">
      <c r="A40" s="60">
        <f t="shared" si="4"/>
        <v>37</v>
      </c>
      <c r="B40" s="85" t="s">
        <v>185</v>
      </c>
      <c r="C40" s="89">
        <f t="shared" si="5"/>
        <v>0</v>
      </c>
      <c r="D40" s="89"/>
      <c r="E40" s="89">
        <f t="shared" si="11"/>
        <v>0</v>
      </c>
      <c r="F40" s="959">
        <f>'State gasoline'!K40</f>
        <v>8.77E-2</v>
      </c>
      <c r="G40" s="897">
        <v>1315764000</v>
      </c>
      <c r="H40" s="897">
        <v>1292000</v>
      </c>
      <c r="I40" s="897">
        <f>G40-'State diesel'!G40-'State Res Dist'!I40-'State Com Dist'!G40-H40</f>
        <v>429939000</v>
      </c>
      <c r="J40" s="156">
        <f>'State Com Dist'!H40</f>
        <v>1.6220000000000001</v>
      </c>
      <c r="K40" s="156"/>
      <c r="L40" s="156">
        <f t="shared" si="6"/>
        <v>1.6220000000000001</v>
      </c>
      <c r="M40" s="156">
        <f t="shared" si="7"/>
        <v>1.6220000000000001</v>
      </c>
      <c r="N40" s="156">
        <f t="shared" si="8"/>
        <v>1.6220000000000001</v>
      </c>
      <c r="O40" s="952">
        <f t="shared" si="9"/>
        <v>0</v>
      </c>
      <c r="P40" s="70">
        <f t="shared" si="10"/>
        <v>697361058</v>
      </c>
      <c r="Q40" s="70">
        <f t="shared" si="12"/>
        <v>697361058</v>
      </c>
      <c r="R40" s="70">
        <f t="shared" si="13"/>
        <v>697361058</v>
      </c>
      <c r="S40" s="70">
        <f t="shared" si="3"/>
        <v>0</v>
      </c>
    </row>
    <row r="41" spans="1:19" s="85" customFormat="1" x14ac:dyDescent="0.6">
      <c r="A41" s="60">
        <f t="shared" si="4"/>
        <v>38</v>
      </c>
      <c r="B41" s="85" t="s">
        <v>153</v>
      </c>
      <c r="C41" s="89">
        <f t="shared" si="5"/>
        <v>0</v>
      </c>
      <c r="D41" s="89"/>
      <c r="E41" s="89">
        <f t="shared" si="11"/>
        <v>0</v>
      </c>
      <c r="F41" s="959">
        <f>'State gasoline'!K41</f>
        <v>0</v>
      </c>
      <c r="G41" s="897">
        <v>737393000</v>
      </c>
      <c r="H41" s="897">
        <v>1637000</v>
      </c>
      <c r="I41" s="897">
        <f>G41-'State diesel'!G41-'State Res Dist'!I41-'State Com Dist'!G41-H41</f>
        <v>171412000</v>
      </c>
      <c r="J41" s="156">
        <f>'State Com Dist'!H41</f>
        <v>1.72</v>
      </c>
      <c r="K41" s="156"/>
      <c r="L41" s="156">
        <f t="shared" si="6"/>
        <v>1.72</v>
      </c>
      <c r="M41" s="156">
        <f t="shared" si="7"/>
        <v>1.72</v>
      </c>
      <c r="N41" s="156">
        <f t="shared" si="8"/>
        <v>1.72</v>
      </c>
      <c r="O41" s="952">
        <f t="shared" si="9"/>
        <v>0</v>
      </c>
      <c r="P41" s="70">
        <f t="shared" si="10"/>
        <v>294828640</v>
      </c>
      <c r="Q41" s="70">
        <f t="shared" si="12"/>
        <v>294828640</v>
      </c>
      <c r="R41" s="70">
        <f t="shared" si="13"/>
        <v>294828640</v>
      </c>
      <c r="S41" s="70">
        <f t="shared" si="3"/>
        <v>0</v>
      </c>
    </row>
    <row r="42" spans="1:19" s="85" customFormat="1" x14ac:dyDescent="0.6">
      <c r="A42" s="60">
        <f t="shared" si="4"/>
        <v>39</v>
      </c>
      <c r="B42" s="85" t="s">
        <v>138</v>
      </c>
      <c r="C42" s="89">
        <f t="shared" si="5"/>
        <v>0</v>
      </c>
      <c r="D42" s="89"/>
      <c r="E42" s="89">
        <f t="shared" si="11"/>
        <v>0</v>
      </c>
      <c r="F42" s="959">
        <f>'State gasoline'!K42</f>
        <v>6.3399999999999998E-2</v>
      </c>
      <c r="G42" s="897">
        <v>2723811000</v>
      </c>
      <c r="H42" s="897">
        <v>30866000</v>
      </c>
      <c r="I42" s="897">
        <f>G42-'State diesel'!G42-'State Res Dist'!I42-'State Com Dist'!G42-H42</f>
        <v>475518000</v>
      </c>
      <c r="J42" s="156">
        <f>'State Com Dist'!H42</f>
        <v>1.667</v>
      </c>
      <c r="K42" s="156"/>
      <c r="L42" s="156">
        <f t="shared" si="6"/>
        <v>1.667</v>
      </c>
      <c r="M42" s="156">
        <f t="shared" si="7"/>
        <v>1.667</v>
      </c>
      <c r="N42" s="156">
        <f t="shared" si="8"/>
        <v>1.667</v>
      </c>
      <c r="O42" s="952">
        <f t="shared" si="9"/>
        <v>0</v>
      </c>
      <c r="P42" s="70">
        <f t="shared" si="10"/>
        <v>792688506</v>
      </c>
      <c r="Q42" s="70">
        <f t="shared" si="12"/>
        <v>792688506</v>
      </c>
      <c r="R42" s="70">
        <f t="shared" si="13"/>
        <v>792688506</v>
      </c>
      <c r="S42" s="70">
        <f t="shared" si="3"/>
        <v>0</v>
      </c>
    </row>
    <row r="43" spans="1:19" s="85" customFormat="1" x14ac:dyDescent="0.6">
      <c r="A43" s="60">
        <f t="shared" si="4"/>
        <v>40</v>
      </c>
      <c r="B43" s="85" t="s">
        <v>146</v>
      </c>
      <c r="C43" s="89">
        <f t="shared" si="5"/>
        <v>0</v>
      </c>
      <c r="D43" s="89"/>
      <c r="E43" s="89">
        <f t="shared" si="11"/>
        <v>0</v>
      </c>
      <c r="F43" s="959">
        <f>'State gasoline'!K43</f>
        <v>7.0000000000000007E-2</v>
      </c>
      <c r="G43" s="897">
        <v>228501000</v>
      </c>
      <c r="H43" s="897">
        <v>7411000</v>
      </c>
      <c r="I43" s="897">
        <f>G43-'State diesel'!G43-'State Res Dist'!I43-'State Com Dist'!G43-H43</f>
        <v>8723000</v>
      </c>
      <c r="J43" s="156">
        <f>'State Com Dist'!H43</f>
        <v>1.78</v>
      </c>
      <c r="K43" s="156"/>
      <c r="L43" s="156">
        <f t="shared" si="6"/>
        <v>1.78</v>
      </c>
      <c r="M43" s="156">
        <f t="shared" si="7"/>
        <v>1.78</v>
      </c>
      <c r="N43" s="156">
        <f t="shared" si="8"/>
        <v>1.78</v>
      </c>
      <c r="O43" s="952">
        <f t="shared" si="9"/>
        <v>0</v>
      </c>
      <c r="P43" s="70">
        <f t="shared" si="10"/>
        <v>15526940</v>
      </c>
      <c r="Q43" s="70">
        <f t="shared" si="12"/>
        <v>15526940</v>
      </c>
      <c r="R43" s="70">
        <f t="shared" si="13"/>
        <v>15526940</v>
      </c>
      <c r="S43" s="70">
        <f t="shared" si="3"/>
        <v>0</v>
      </c>
    </row>
    <row r="44" spans="1:19" s="85" customFormat="1" x14ac:dyDescent="0.6">
      <c r="A44" s="60">
        <f t="shared" si="4"/>
        <v>41</v>
      </c>
      <c r="B44" s="85" t="s">
        <v>186</v>
      </c>
      <c r="C44" s="89">
        <f t="shared" si="5"/>
        <v>0</v>
      </c>
      <c r="D44" s="89"/>
      <c r="E44" s="89">
        <f t="shared" si="11"/>
        <v>0</v>
      </c>
      <c r="F44" s="959">
        <f>'State gasoline'!K44</f>
        <v>7.1300000000000002E-2</v>
      </c>
      <c r="G44" s="897">
        <v>878915000</v>
      </c>
      <c r="H44" s="897">
        <v>8091000</v>
      </c>
      <c r="I44" s="897">
        <f>G44-'State diesel'!G44-'State Res Dist'!I44-'State Com Dist'!G44-H44</f>
        <v>92628000</v>
      </c>
      <c r="J44" s="156">
        <f>'State Com Dist'!H44</f>
        <v>1.66</v>
      </c>
      <c r="K44" s="156"/>
      <c r="L44" s="156">
        <f t="shared" si="6"/>
        <v>1.66</v>
      </c>
      <c r="M44" s="156">
        <f t="shared" si="7"/>
        <v>1.66</v>
      </c>
      <c r="N44" s="156">
        <f t="shared" si="8"/>
        <v>1.66</v>
      </c>
      <c r="O44" s="952">
        <f t="shared" si="9"/>
        <v>0</v>
      </c>
      <c r="P44" s="70">
        <f t="shared" si="10"/>
        <v>153762480</v>
      </c>
      <c r="Q44" s="70">
        <f t="shared" si="12"/>
        <v>153762480</v>
      </c>
      <c r="R44" s="70">
        <f t="shared" si="13"/>
        <v>153762480</v>
      </c>
      <c r="S44" s="70">
        <f t="shared" si="3"/>
        <v>0</v>
      </c>
    </row>
    <row r="45" spans="1:19" s="85" customFormat="1" x14ac:dyDescent="0.6">
      <c r="A45" s="60">
        <f t="shared" si="4"/>
        <v>42</v>
      </c>
      <c r="B45" s="85" t="s">
        <v>159</v>
      </c>
      <c r="C45" s="89">
        <f t="shared" si="5"/>
        <v>0</v>
      </c>
      <c r="D45" s="89"/>
      <c r="E45" s="89">
        <f t="shared" si="11"/>
        <v>0</v>
      </c>
      <c r="F45" s="959">
        <f>'State gasoline'!K45</f>
        <v>5.8299999999999998E-2</v>
      </c>
      <c r="G45" s="897">
        <v>338730000</v>
      </c>
      <c r="H45" s="897">
        <v>791000</v>
      </c>
      <c r="I45" s="897">
        <f>G45-'State diesel'!G45-'State Res Dist'!I45-'State Com Dist'!G45-H45</f>
        <v>97989000</v>
      </c>
      <c r="J45" s="156">
        <f>'State Com Dist'!H45</f>
        <v>1.7450000000000001</v>
      </c>
      <c r="K45" s="156"/>
      <c r="L45" s="156">
        <f t="shared" si="6"/>
        <v>1.7450000000000001</v>
      </c>
      <c r="M45" s="156">
        <f t="shared" si="7"/>
        <v>1.7450000000000001</v>
      </c>
      <c r="N45" s="156">
        <f t="shared" si="8"/>
        <v>1.7450000000000001</v>
      </c>
      <c r="O45" s="952">
        <f t="shared" si="9"/>
        <v>0</v>
      </c>
      <c r="P45" s="70">
        <f t="shared" si="10"/>
        <v>170990805</v>
      </c>
      <c r="Q45" s="70">
        <f t="shared" si="12"/>
        <v>170990805</v>
      </c>
      <c r="R45" s="70">
        <f t="shared" si="13"/>
        <v>170990805</v>
      </c>
      <c r="S45" s="70">
        <f t="shared" si="3"/>
        <v>0</v>
      </c>
    </row>
    <row r="46" spans="1:19" s="85" customFormat="1" x14ac:dyDescent="0.6">
      <c r="A46" s="60">
        <f t="shared" si="4"/>
        <v>43</v>
      </c>
      <c r="B46" s="85" t="s">
        <v>177</v>
      </c>
      <c r="C46" s="89">
        <f t="shared" si="5"/>
        <v>0</v>
      </c>
      <c r="D46" s="89"/>
      <c r="E46" s="89">
        <f t="shared" si="11"/>
        <v>0</v>
      </c>
      <c r="F46" s="959">
        <f>'State gasoline'!K46</f>
        <v>9.4500000000000001E-2</v>
      </c>
      <c r="G46" s="897">
        <v>1253531000</v>
      </c>
      <c r="H46" s="897">
        <v>9514000</v>
      </c>
      <c r="I46" s="897">
        <f>G46-'State diesel'!G46-'State Res Dist'!I46-'State Com Dist'!G46-H46</f>
        <v>236867000</v>
      </c>
      <c r="J46" s="156">
        <f>'State Com Dist'!H46</f>
        <v>1.649</v>
      </c>
      <c r="K46" s="156"/>
      <c r="L46" s="156">
        <f t="shared" si="6"/>
        <v>1.649</v>
      </c>
      <c r="M46" s="156">
        <f t="shared" si="7"/>
        <v>1.649</v>
      </c>
      <c r="N46" s="156">
        <f t="shared" si="8"/>
        <v>1.649</v>
      </c>
      <c r="O46" s="952">
        <f t="shared" si="9"/>
        <v>0</v>
      </c>
      <c r="P46" s="70">
        <f t="shared" si="10"/>
        <v>390593683</v>
      </c>
      <c r="Q46" s="70">
        <f t="shared" si="12"/>
        <v>390593683</v>
      </c>
      <c r="R46" s="70">
        <f t="shared" si="13"/>
        <v>390593683</v>
      </c>
      <c r="S46" s="70">
        <f t="shared" si="3"/>
        <v>0</v>
      </c>
    </row>
    <row r="47" spans="1:19" s="85" customFormat="1" x14ac:dyDescent="0.6">
      <c r="A47" s="60">
        <f t="shared" si="4"/>
        <v>44</v>
      </c>
      <c r="B47" s="85" t="s">
        <v>180</v>
      </c>
      <c r="C47" s="89">
        <f t="shared" si="5"/>
        <v>0</v>
      </c>
      <c r="D47" s="89"/>
      <c r="E47" s="89">
        <f t="shared" si="11"/>
        <v>0</v>
      </c>
      <c r="F47" s="959">
        <f>'State gasoline'!K47</f>
        <v>8.0500000000000002E-2</v>
      </c>
      <c r="G47" s="897">
        <v>7315567000</v>
      </c>
      <c r="H47" s="897">
        <v>23132000</v>
      </c>
      <c r="I47" s="897">
        <f>G47-'State diesel'!G47-'State Res Dist'!I47-'State Com Dist'!G47-H47</f>
        <v>2129596000</v>
      </c>
      <c r="J47" s="156">
        <f>'State Com Dist'!H47</f>
        <v>1.615</v>
      </c>
      <c r="K47" s="156"/>
      <c r="L47" s="156">
        <f t="shared" si="6"/>
        <v>1.615</v>
      </c>
      <c r="M47" s="156">
        <f t="shared" si="7"/>
        <v>1.615</v>
      </c>
      <c r="N47" s="156">
        <f t="shared" si="8"/>
        <v>1.615</v>
      </c>
      <c r="O47" s="952">
        <f t="shared" si="9"/>
        <v>0</v>
      </c>
      <c r="P47" s="70">
        <f t="shared" si="10"/>
        <v>3439297540</v>
      </c>
      <c r="Q47" s="70">
        <f t="shared" si="12"/>
        <v>3439297540</v>
      </c>
      <c r="R47" s="70">
        <f t="shared" si="13"/>
        <v>3439297540</v>
      </c>
      <c r="S47" s="70">
        <f t="shared" si="3"/>
        <v>0</v>
      </c>
    </row>
    <row r="48" spans="1:19" s="85" customFormat="1" x14ac:dyDescent="0.6">
      <c r="A48" s="60">
        <f t="shared" si="4"/>
        <v>45</v>
      </c>
      <c r="B48" s="85" t="s">
        <v>161</v>
      </c>
      <c r="C48" s="89">
        <f t="shared" si="5"/>
        <v>0</v>
      </c>
      <c r="D48" s="89"/>
      <c r="E48" s="89">
        <f t="shared" si="11"/>
        <v>0</v>
      </c>
      <c r="F48" s="959">
        <f>'State gasoline'!K48</f>
        <v>6.6799999999999998E-2</v>
      </c>
      <c r="G48" s="897">
        <v>614847000</v>
      </c>
      <c r="H48" s="897">
        <v>916000</v>
      </c>
      <c r="I48" s="897">
        <f>G48-'State diesel'!G48-'State Res Dist'!I48-'State Com Dist'!G48-H48</f>
        <v>146409000</v>
      </c>
      <c r="J48" s="156">
        <f>'State Com Dist'!H48</f>
        <v>1.7070000000000001</v>
      </c>
      <c r="K48" s="156"/>
      <c r="L48" s="156">
        <f t="shared" si="6"/>
        <v>1.7070000000000001</v>
      </c>
      <c r="M48" s="156">
        <f t="shared" si="7"/>
        <v>1.7070000000000001</v>
      </c>
      <c r="N48" s="156">
        <f t="shared" si="8"/>
        <v>1.7070000000000001</v>
      </c>
      <c r="O48" s="952">
        <f t="shared" si="9"/>
        <v>0</v>
      </c>
      <c r="P48" s="70">
        <f t="shared" si="10"/>
        <v>249920163</v>
      </c>
      <c r="Q48" s="70">
        <f t="shared" si="12"/>
        <v>249920163</v>
      </c>
      <c r="R48" s="70">
        <f t="shared" si="13"/>
        <v>249920163</v>
      </c>
      <c r="S48" s="70">
        <f t="shared" si="3"/>
        <v>0</v>
      </c>
    </row>
    <row r="49" spans="1:20" s="85" customFormat="1" x14ac:dyDescent="0.6">
      <c r="A49" s="60">
        <f t="shared" si="4"/>
        <v>46</v>
      </c>
      <c r="B49" s="85" t="s">
        <v>156</v>
      </c>
      <c r="C49" s="89">
        <f t="shared" si="5"/>
        <v>0</v>
      </c>
      <c r="D49" s="89"/>
      <c r="E49" s="89">
        <f t="shared" si="11"/>
        <v>0</v>
      </c>
      <c r="F49" s="959">
        <f>'State gasoline'!K49</f>
        <v>6.1400000000000003E-2</v>
      </c>
      <c r="G49" s="897">
        <v>213470000</v>
      </c>
      <c r="H49" s="897">
        <v>461000</v>
      </c>
      <c r="I49" s="897">
        <f>G49-'State diesel'!G49-'State Res Dist'!I49-'State Com Dist'!G49-H49</f>
        <v>34887000</v>
      </c>
      <c r="J49" s="156">
        <f>'State Com Dist'!H49</f>
        <v>1.78</v>
      </c>
      <c r="K49" s="156"/>
      <c r="L49" s="156">
        <f t="shared" si="6"/>
        <v>1.78</v>
      </c>
      <c r="M49" s="156">
        <f t="shared" si="7"/>
        <v>1.78</v>
      </c>
      <c r="N49" s="156">
        <f t="shared" si="8"/>
        <v>1.78</v>
      </c>
      <c r="O49" s="952">
        <f t="shared" si="9"/>
        <v>0</v>
      </c>
      <c r="P49" s="70">
        <f t="shared" si="10"/>
        <v>62098860</v>
      </c>
      <c r="Q49" s="70">
        <f t="shared" si="12"/>
        <v>62098860</v>
      </c>
      <c r="R49" s="70">
        <f t="shared" si="13"/>
        <v>62098860</v>
      </c>
      <c r="S49" s="70">
        <f t="shared" si="3"/>
        <v>0</v>
      </c>
    </row>
    <row r="50" spans="1:20" s="85" customFormat="1" x14ac:dyDescent="0.6">
      <c r="A50" s="60">
        <f t="shared" si="4"/>
        <v>47</v>
      </c>
      <c r="B50" s="85" t="s">
        <v>174</v>
      </c>
      <c r="C50" s="89">
        <f t="shared" si="5"/>
        <v>0</v>
      </c>
      <c r="D50" s="89"/>
      <c r="E50" s="89">
        <f t="shared" si="11"/>
        <v>0</v>
      </c>
      <c r="F50" s="959">
        <f>'State gasoline'!K50</f>
        <v>5.6300000000000003E-2</v>
      </c>
      <c r="G50" s="897">
        <v>1392675000</v>
      </c>
      <c r="H50" s="897">
        <v>45047000</v>
      </c>
      <c r="I50" s="897">
        <f>G50-'State diesel'!G50-'State Res Dist'!I50-'State Com Dist'!G50-H50</f>
        <v>206915000</v>
      </c>
      <c r="J50" s="156">
        <f>'State Com Dist'!H50</f>
        <v>1.653</v>
      </c>
      <c r="K50" s="156"/>
      <c r="L50" s="156">
        <f t="shared" si="6"/>
        <v>1.653</v>
      </c>
      <c r="M50" s="156">
        <f t="shared" si="7"/>
        <v>1.653</v>
      </c>
      <c r="N50" s="156">
        <f t="shared" si="8"/>
        <v>1.653</v>
      </c>
      <c r="O50" s="952">
        <f t="shared" si="9"/>
        <v>0</v>
      </c>
      <c r="P50" s="70">
        <f t="shared" si="10"/>
        <v>342030495</v>
      </c>
      <c r="Q50" s="70">
        <f t="shared" si="12"/>
        <v>342030495</v>
      </c>
      <c r="R50" s="70">
        <f t="shared" si="13"/>
        <v>342030495</v>
      </c>
      <c r="S50" s="70">
        <f t="shared" si="3"/>
        <v>0</v>
      </c>
    </row>
    <row r="51" spans="1:20" s="85" customFormat="1" x14ac:dyDescent="0.6">
      <c r="A51" s="60">
        <f t="shared" si="4"/>
        <v>48</v>
      </c>
      <c r="B51" s="85" t="s">
        <v>139</v>
      </c>
      <c r="C51" s="89">
        <f t="shared" si="5"/>
        <v>0</v>
      </c>
      <c r="D51" s="89"/>
      <c r="E51" s="89">
        <f t="shared" si="11"/>
        <v>0</v>
      </c>
      <c r="F51" s="959">
        <f>'State gasoline'!K51</f>
        <v>8.8900000000000007E-2</v>
      </c>
      <c r="G51" s="897">
        <v>1086935000</v>
      </c>
      <c r="H51" s="897">
        <v>1463000</v>
      </c>
      <c r="I51" s="897">
        <f>G51-'State diesel'!G51-'State Res Dist'!I51-'State Com Dist'!G51-H51</f>
        <v>330152000</v>
      </c>
      <c r="J51" s="156">
        <f>'State Com Dist'!H51</f>
        <v>1.73</v>
      </c>
      <c r="K51" s="156"/>
      <c r="L51" s="156">
        <f t="shared" si="6"/>
        <v>1.73</v>
      </c>
      <c r="M51" s="156">
        <f t="shared" si="7"/>
        <v>1.73</v>
      </c>
      <c r="N51" s="156">
        <f t="shared" si="8"/>
        <v>1.73</v>
      </c>
      <c r="O51" s="952">
        <f t="shared" si="9"/>
        <v>0</v>
      </c>
      <c r="P51" s="70">
        <f t="shared" si="10"/>
        <v>571162960</v>
      </c>
      <c r="Q51" s="70">
        <f t="shared" si="12"/>
        <v>571162960</v>
      </c>
      <c r="R51" s="70">
        <f t="shared" si="13"/>
        <v>571162960</v>
      </c>
      <c r="S51" s="70">
        <f t="shared" si="3"/>
        <v>0</v>
      </c>
    </row>
    <row r="52" spans="1:20" s="85" customFormat="1" x14ac:dyDescent="0.6">
      <c r="A52" s="60">
        <f t="shared" si="4"/>
        <v>49</v>
      </c>
      <c r="B52" s="85" t="s">
        <v>148</v>
      </c>
      <c r="C52" s="89">
        <f t="shared" si="5"/>
        <v>0</v>
      </c>
      <c r="D52" s="89"/>
      <c r="E52" s="89">
        <f t="shared" si="11"/>
        <v>0</v>
      </c>
      <c r="F52" s="959">
        <f>'State gasoline'!K52</f>
        <v>6.0699999999999997E-2</v>
      </c>
      <c r="G52" s="897">
        <v>495967000</v>
      </c>
      <c r="H52" s="897">
        <v>9166000</v>
      </c>
      <c r="I52" s="897">
        <f>G52-'State diesel'!G52-'State Res Dist'!I52-'State Com Dist'!G52-H52</f>
        <v>136700000</v>
      </c>
      <c r="J52" s="156">
        <f>'State Com Dist'!H52</f>
        <v>1.716</v>
      </c>
      <c r="K52" s="156"/>
      <c r="L52" s="156">
        <f t="shared" si="6"/>
        <v>1.716</v>
      </c>
      <c r="M52" s="156">
        <f t="shared" si="7"/>
        <v>1.716</v>
      </c>
      <c r="N52" s="156">
        <f t="shared" si="8"/>
        <v>1.716</v>
      </c>
      <c r="O52" s="952">
        <f t="shared" si="9"/>
        <v>0</v>
      </c>
      <c r="P52" s="70">
        <f t="shared" si="10"/>
        <v>234577200</v>
      </c>
      <c r="Q52" s="70">
        <f t="shared" si="12"/>
        <v>234577200</v>
      </c>
      <c r="R52" s="70">
        <f t="shared" si="13"/>
        <v>234577200</v>
      </c>
      <c r="S52" s="70">
        <f t="shared" si="3"/>
        <v>0</v>
      </c>
    </row>
    <row r="53" spans="1:20" s="85" customFormat="1" x14ac:dyDescent="0.6">
      <c r="A53" s="60">
        <f t="shared" si="4"/>
        <v>50</v>
      </c>
      <c r="B53" s="85" t="s">
        <v>149</v>
      </c>
      <c r="C53" s="89">
        <f t="shared" si="5"/>
        <v>0</v>
      </c>
      <c r="D53" s="89"/>
      <c r="E53" s="89">
        <f t="shared" si="11"/>
        <v>0</v>
      </c>
      <c r="F53" s="959">
        <f>'State gasoline'!K53</f>
        <v>5.4300000000000001E-2</v>
      </c>
      <c r="G53" s="897">
        <v>1102031000</v>
      </c>
      <c r="H53" s="897">
        <v>3310000</v>
      </c>
      <c r="I53" s="897">
        <f>G53-'State diesel'!G53-'State Res Dist'!I53-'State Com Dist'!G53-H53</f>
        <v>243415000</v>
      </c>
      <c r="J53" s="156">
        <f>'State Com Dist'!H53</f>
        <v>1.726</v>
      </c>
      <c r="K53" s="156"/>
      <c r="L53" s="156">
        <f t="shared" si="6"/>
        <v>1.726</v>
      </c>
      <c r="M53" s="156">
        <f t="shared" si="7"/>
        <v>1.726</v>
      </c>
      <c r="N53" s="156">
        <f t="shared" si="8"/>
        <v>1.726</v>
      </c>
      <c r="O53" s="952">
        <f t="shared" si="9"/>
        <v>0</v>
      </c>
      <c r="P53" s="70">
        <f t="shared" si="10"/>
        <v>420134290</v>
      </c>
      <c r="Q53" s="70">
        <f t="shared" si="12"/>
        <v>420134290</v>
      </c>
      <c r="R53" s="70">
        <f t="shared" si="13"/>
        <v>420134290</v>
      </c>
      <c r="S53" s="70">
        <f t="shared" si="3"/>
        <v>0</v>
      </c>
    </row>
    <row r="54" spans="1:20" s="85" customFormat="1" x14ac:dyDescent="0.6">
      <c r="A54" s="60">
        <f t="shared" si="4"/>
        <v>51</v>
      </c>
      <c r="B54" s="85" t="s">
        <v>169</v>
      </c>
      <c r="C54" s="89">
        <f t="shared" si="5"/>
        <v>0</v>
      </c>
      <c r="D54" s="89"/>
      <c r="E54" s="89">
        <f t="shared" si="11"/>
        <v>0</v>
      </c>
      <c r="F54" s="959">
        <f>'State gasoline'!K54</f>
        <v>5.4699999999999999E-2</v>
      </c>
      <c r="G54" s="897">
        <v>639654000</v>
      </c>
      <c r="H54" s="897">
        <v>6957000</v>
      </c>
      <c r="I54" s="897">
        <f>G54-'State diesel'!G54-'State Res Dist'!I54-'State Com Dist'!G54-H54</f>
        <v>277869000</v>
      </c>
      <c r="J54" s="156">
        <f>'State Com Dist'!H54</f>
        <v>1.7290000000000001</v>
      </c>
      <c r="K54" s="156"/>
      <c r="L54" s="156">
        <f t="shared" si="6"/>
        <v>1.7290000000000001</v>
      </c>
      <c r="M54" s="156">
        <f t="shared" si="7"/>
        <v>1.7290000000000001</v>
      </c>
      <c r="N54" s="156">
        <f t="shared" si="8"/>
        <v>1.7290000000000001</v>
      </c>
      <c r="O54" s="952">
        <f t="shared" si="9"/>
        <v>0</v>
      </c>
      <c r="P54" s="70">
        <f t="shared" si="10"/>
        <v>480435501</v>
      </c>
      <c r="Q54" s="70">
        <f t="shared" si="12"/>
        <v>480435501</v>
      </c>
      <c r="R54" s="70">
        <f t="shared" si="13"/>
        <v>480435501</v>
      </c>
      <c r="S54" s="70">
        <f t="shared" si="3"/>
        <v>0</v>
      </c>
    </row>
    <row r="55" spans="1:20" s="85" customFormat="1" x14ac:dyDescent="0.6">
      <c r="C55" s="89"/>
      <c r="D55" s="89"/>
      <c r="E55" s="89"/>
      <c r="F55" s="959"/>
      <c r="G55" s="913"/>
      <c r="H55" s="913"/>
      <c r="I55" s="913"/>
      <c r="J55" s="156"/>
      <c r="K55" s="156"/>
      <c r="L55" s="156"/>
      <c r="M55" s="156"/>
      <c r="N55" s="156"/>
      <c r="O55" s="952">
        <f t="shared" si="9"/>
        <v>0</v>
      </c>
      <c r="P55" s="70">
        <f t="shared" si="10"/>
        <v>0</v>
      </c>
      <c r="Q55" s="70"/>
      <c r="R55" s="70"/>
    </row>
    <row r="56" spans="1:20" s="104" customFormat="1" x14ac:dyDescent="0.6">
      <c r="B56" s="104" t="s">
        <v>42</v>
      </c>
      <c r="C56" s="942"/>
      <c r="D56" s="942"/>
      <c r="E56" s="942"/>
      <c r="F56" s="959"/>
      <c r="G56" s="951">
        <f t="shared" ref="G56:H56" si="14">SUM(G4:G55)</f>
        <v>61246922000</v>
      </c>
      <c r="H56" s="951">
        <f t="shared" si="14"/>
        <v>497200000</v>
      </c>
      <c r="I56" s="951">
        <f>SUM(I4:I55)</f>
        <v>15049794000</v>
      </c>
      <c r="J56" s="156"/>
      <c r="K56" s="156"/>
      <c r="L56" s="156"/>
      <c r="M56" s="156"/>
      <c r="N56" s="881"/>
      <c r="O56" s="952">
        <f t="shared" si="9"/>
        <v>0</v>
      </c>
      <c r="P56" s="593">
        <f>SUM(P4:P55)</f>
        <v>25479437218</v>
      </c>
      <c r="Q56" s="593">
        <f>SUM(Q4:Q55)</f>
        <v>25479437218</v>
      </c>
      <c r="R56" s="593">
        <f>SUM(R4:R55)</f>
        <v>25479437218</v>
      </c>
      <c r="S56" s="593">
        <f>SUM(S4:S55)</f>
        <v>0</v>
      </c>
    </row>
    <row r="57" spans="1:20" s="104" customFormat="1" ht="15.9" thickBot="1" x14ac:dyDescent="0.65">
      <c r="A57" s="99"/>
      <c r="B57" s="99"/>
      <c r="C57" s="944"/>
      <c r="D57" s="944"/>
      <c r="E57" s="944"/>
      <c r="F57" s="960"/>
      <c r="G57" s="954"/>
      <c r="H57" s="954"/>
      <c r="I57" s="954"/>
      <c r="J57" s="1162"/>
      <c r="K57" s="237"/>
      <c r="L57" s="237"/>
      <c r="M57" s="237"/>
      <c r="N57" s="237"/>
      <c r="O57" s="955">
        <f t="shared" si="9"/>
        <v>0</v>
      </c>
      <c r="P57" s="944"/>
      <c r="Q57" s="108"/>
      <c r="R57" s="944"/>
      <c r="S57" s="944"/>
      <c r="T57" s="942"/>
    </row>
    <row r="58" spans="1:20" s="85" customFormat="1" ht="15.9" thickTop="1" x14ac:dyDescent="0.6">
      <c r="C58" s="89"/>
      <c r="D58" s="89"/>
      <c r="E58" s="89"/>
      <c r="F58" s="174"/>
      <c r="J58" s="156"/>
      <c r="K58" s="156"/>
      <c r="L58" s="156"/>
      <c r="M58" s="156"/>
      <c r="N58" s="156"/>
      <c r="O58" s="156"/>
      <c r="P58" s="181"/>
      <c r="Q58" s="70"/>
      <c r="R58" s="70"/>
    </row>
    <row r="59" spans="1:20" s="85" customFormat="1" x14ac:dyDescent="0.6">
      <c r="C59" s="89"/>
      <c r="D59" s="89"/>
      <c r="E59" s="89"/>
      <c r="F59" s="178"/>
      <c r="G59" s="957"/>
      <c r="H59" s="1656" t="s">
        <v>1746</v>
      </c>
      <c r="I59" s="957">
        <f>LARGE($I$4:$I$54,1)</f>
        <v>2129596000</v>
      </c>
      <c r="J59" s="156"/>
      <c r="K59" s="156"/>
      <c r="L59" s="156"/>
      <c r="M59" s="156"/>
      <c r="N59" s="156"/>
      <c r="O59" s="156"/>
      <c r="P59" s="70"/>
      <c r="S59" s="240" t="s">
        <v>504</v>
      </c>
    </row>
    <row r="60" spans="1:20" s="85" customFormat="1" x14ac:dyDescent="0.6">
      <c r="C60" s="89"/>
      <c r="D60" s="89"/>
      <c r="E60" s="89"/>
      <c r="F60" s="178"/>
      <c r="G60" s="21"/>
      <c r="H60" s="1657" t="s">
        <v>1744</v>
      </c>
      <c r="I60" s="957">
        <f>LARGE($I$4:$I$54,2)</f>
        <v>1105170000</v>
      </c>
      <c r="J60" s="156"/>
      <c r="K60" s="156"/>
      <c r="L60" s="156"/>
      <c r="M60" s="156"/>
      <c r="N60" s="156"/>
      <c r="O60" s="156"/>
      <c r="P60" s="70"/>
      <c r="Q60" s="70" t="s">
        <v>26</v>
      </c>
      <c r="R60" s="70">
        <f>P56-Q56</f>
        <v>0</v>
      </c>
      <c r="S60" s="881">
        <f>R60/$I$56</f>
        <v>0</v>
      </c>
    </row>
    <row r="61" spans="1:20" s="85" customFormat="1" x14ac:dyDescent="0.6">
      <c r="C61" s="89"/>
      <c r="D61" s="89"/>
      <c r="E61" s="89"/>
      <c r="F61" s="174"/>
      <c r="G61" s="946"/>
      <c r="H61" s="1658" t="s">
        <v>1745</v>
      </c>
      <c r="I61" s="957">
        <f>LARGE($I$4:$I$54,3)</f>
        <v>750102000</v>
      </c>
      <c r="J61" s="156"/>
      <c r="K61" s="156"/>
      <c r="L61" s="156"/>
      <c r="M61" s="156"/>
      <c r="N61" s="156"/>
      <c r="O61" s="156"/>
      <c r="P61" s="70"/>
      <c r="Q61" s="70" t="s">
        <v>654</v>
      </c>
      <c r="R61" s="70">
        <f>R56-Q56</f>
        <v>0</v>
      </c>
      <c r="S61" s="881">
        <f>R61/$I$56</f>
        <v>0</v>
      </c>
    </row>
    <row r="62" spans="1:20" s="85" customFormat="1" x14ac:dyDescent="0.6">
      <c r="C62" s="89"/>
      <c r="D62" s="89"/>
      <c r="E62" s="89"/>
      <c r="F62" s="174"/>
      <c r="J62" s="156"/>
      <c r="K62" s="156"/>
      <c r="L62" s="156"/>
      <c r="M62" s="156"/>
      <c r="N62" s="156"/>
      <c r="O62" s="156"/>
      <c r="P62" s="70"/>
      <c r="Q62" s="70" t="s">
        <v>602</v>
      </c>
      <c r="R62" s="70">
        <f>R60-R61</f>
        <v>0</v>
      </c>
      <c r="S62" s="881">
        <f>R62/$I$56</f>
        <v>0</v>
      </c>
    </row>
    <row r="63" spans="1:20" s="85" customFormat="1" x14ac:dyDescent="0.6">
      <c r="C63" s="89"/>
      <c r="D63" s="89"/>
      <c r="E63" s="89"/>
      <c r="F63" s="174"/>
      <c r="J63" s="156"/>
      <c r="K63" s="156"/>
      <c r="L63" s="156"/>
      <c r="M63" s="156"/>
      <c r="N63" s="156"/>
      <c r="O63" s="156"/>
      <c r="P63" s="70"/>
      <c r="Q63" s="70"/>
      <c r="S63" s="70"/>
    </row>
    <row r="64" spans="1:20" s="85" customFormat="1" x14ac:dyDescent="0.6">
      <c r="C64" s="89"/>
      <c r="D64" s="89"/>
      <c r="E64" s="89"/>
      <c r="F64" s="174"/>
      <c r="J64" s="156"/>
      <c r="K64" s="156"/>
      <c r="L64" s="156"/>
      <c r="M64" s="156"/>
      <c r="N64" s="156"/>
      <c r="O64" s="156"/>
      <c r="P64" s="70"/>
      <c r="Q64" s="70" t="s">
        <v>686</v>
      </c>
      <c r="S64" s="506">
        <f>Q56/I56</f>
        <v>1.6930090350738356</v>
      </c>
    </row>
    <row r="65" spans="3:20" s="85" customFormat="1" x14ac:dyDescent="0.6">
      <c r="C65" s="89"/>
      <c r="D65" s="89"/>
      <c r="E65" s="89"/>
      <c r="F65" s="174"/>
      <c r="J65" s="156"/>
      <c r="K65" s="156"/>
      <c r="L65" s="156"/>
      <c r="M65" s="156"/>
      <c r="N65" s="156"/>
      <c r="O65" s="156"/>
      <c r="P65" s="70"/>
      <c r="Q65" s="70" t="s">
        <v>645</v>
      </c>
      <c r="S65" s="506">
        <f>P56/I56</f>
        <v>1.6930090350738356</v>
      </c>
    </row>
    <row r="66" spans="3:20" s="85" customFormat="1" x14ac:dyDescent="0.6">
      <c r="C66" s="89"/>
      <c r="D66" s="89"/>
      <c r="E66" s="89"/>
      <c r="F66" s="174"/>
      <c r="J66" s="156"/>
      <c r="K66" s="156"/>
      <c r="L66" s="156"/>
      <c r="M66" s="156"/>
      <c r="N66" s="156"/>
      <c r="O66" s="156"/>
      <c r="P66" s="70"/>
      <c r="Q66" s="70"/>
      <c r="R66" s="70"/>
    </row>
    <row r="67" spans="3:20" s="85" customFormat="1" x14ac:dyDescent="0.6">
      <c r="C67" s="89"/>
      <c r="D67" s="89"/>
      <c r="E67" s="89"/>
      <c r="F67" s="174"/>
      <c r="J67" s="156"/>
      <c r="K67" s="156"/>
      <c r="L67" s="156"/>
      <c r="M67" s="156"/>
      <c r="N67" s="156"/>
      <c r="O67" s="156"/>
      <c r="P67" s="70"/>
      <c r="Q67" s="17"/>
      <c r="R67" s="1"/>
      <c r="S67" s="17"/>
      <c r="T67" s="826"/>
    </row>
    <row r="68" spans="3:20" s="85" customFormat="1" x14ac:dyDescent="0.6">
      <c r="C68" s="89"/>
      <c r="D68" s="89"/>
      <c r="E68" s="89"/>
      <c r="F68" s="174"/>
      <c r="J68" s="156"/>
      <c r="K68" s="156"/>
      <c r="L68" s="156"/>
      <c r="M68" s="156"/>
      <c r="N68" s="156"/>
      <c r="O68" s="156"/>
      <c r="P68" s="70"/>
      <c r="Q68" s="1"/>
      <c r="R68" s="1"/>
      <c r="S68" s="70"/>
      <c r="T68" s="17"/>
    </row>
    <row r="69" spans="3:20" s="85" customFormat="1" x14ac:dyDescent="0.6">
      <c r="C69" s="89"/>
      <c r="D69" s="89"/>
      <c r="E69" s="89"/>
      <c r="F69" s="174"/>
      <c r="J69" s="156"/>
      <c r="K69" s="156"/>
      <c r="L69" s="156"/>
      <c r="M69" s="156"/>
      <c r="N69" s="156"/>
      <c r="O69" s="156"/>
      <c r="P69" s="70"/>
      <c r="Q69" s="1"/>
      <c r="R69" s="1"/>
      <c r="S69" s="70"/>
      <c r="T69" s="17"/>
    </row>
    <row r="70" spans="3:20" s="85" customFormat="1" x14ac:dyDescent="0.6">
      <c r="C70" s="89"/>
      <c r="D70" s="89"/>
      <c r="E70" s="89"/>
      <c r="F70" s="174"/>
      <c r="J70" s="156"/>
      <c r="K70" s="156"/>
      <c r="L70" s="156"/>
      <c r="M70" s="156"/>
      <c r="N70" s="156"/>
      <c r="O70" s="156"/>
      <c r="P70" s="70"/>
      <c r="Q70" s="1"/>
      <c r="R70" s="1"/>
      <c r="S70" s="70"/>
      <c r="T70" s="17"/>
    </row>
    <row r="71" spans="3:20" s="85" customFormat="1" x14ac:dyDescent="0.6">
      <c r="C71" s="89"/>
      <c r="D71" s="89"/>
      <c r="E71" s="89"/>
      <c r="F71" s="174"/>
      <c r="J71" s="156"/>
      <c r="K71" s="156"/>
      <c r="L71" s="156"/>
      <c r="M71" s="156"/>
      <c r="N71" s="156"/>
      <c r="O71" s="156"/>
      <c r="P71" s="70"/>
      <c r="Q71" s="1"/>
      <c r="R71" s="1"/>
      <c r="S71" s="891"/>
      <c r="T71" s="929"/>
    </row>
    <row r="72" spans="3:20" s="85" customFormat="1" x14ac:dyDescent="0.6">
      <c r="C72" s="89"/>
      <c r="D72" s="89"/>
      <c r="E72" s="89"/>
      <c r="F72" s="174"/>
      <c r="J72" s="156"/>
      <c r="K72" s="156"/>
      <c r="L72" s="156"/>
      <c r="M72" s="156"/>
      <c r="N72" s="156"/>
      <c r="O72" s="156"/>
      <c r="P72" s="70"/>
      <c r="Q72" s="1"/>
      <c r="R72" s="1"/>
      <c r="S72" s="891"/>
      <c r="T72" s="929"/>
    </row>
    <row r="73" spans="3:20" s="85" customFormat="1" x14ac:dyDescent="0.6">
      <c r="C73" s="89"/>
      <c r="D73" s="89"/>
      <c r="E73" s="89"/>
      <c r="F73" s="174"/>
      <c r="J73" s="156"/>
      <c r="K73" s="156"/>
      <c r="L73" s="156"/>
      <c r="M73" s="156"/>
      <c r="N73" s="156"/>
      <c r="O73" s="156"/>
      <c r="P73" s="70"/>
      <c r="Q73" s="1"/>
      <c r="R73" s="1"/>
      <c r="S73" s="70"/>
      <c r="T73" s="17"/>
    </row>
    <row r="74" spans="3:20" s="85" customFormat="1" x14ac:dyDescent="0.6">
      <c r="C74" s="89"/>
      <c r="D74" s="89"/>
      <c r="E74" s="89"/>
      <c r="F74" s="174"/>
      <c r="J74" s="156"/>
      <c r="K74" s="156"/>
      <c r="L74" s="156"/>
      <c r="M74" s="156"/>
      <c r="N74" s="156"/>
      <c r="O74" s="156"/>
      <c r="P74" s="70"/>
      <c r="Q74" s="1"/>
      <c r="R74" s="1"/>
      <c r="S74" s="821"/>
      <c r="T74" s="17"/>
    </row>
    <row r="75" spans="3:20" s="85" customFormat="1" x14ac:dyDescent="0.6">
      <c r="C75" s="89"/>
      <c r="D75" s="89"/>
      <c r="E75" s="89"/>
      <c r="F75" s="174"/>
      <c r="J75" s="156"/>
      <c r="K75" s="156"/>
      <c r="L75" s="156"/>
      <c r="M75" s="156"/>
      <c r="N75" s="156"/>
      <c r="O75" s="156"/>
      <c r="P75" s="70"/>
      <c r="Q75" s="1"/>
    </row>
    <row r="76" spans="3:20" s="85" customFormat="1" x14ac:dyDescent="0.6">
      <c r="C76" s="89"/>
      <c r="D76" s="89"/>
      <c r="E76" s="89"/>
      <c r="F76" s="174"/>
      <c r="J76" s="156"/>
      <c r="K76" s="156"/>
      <c r="L76" s="156"/>
      <c r="M76" s="156"/>
      <c r="N76" s="156"/>
      <c r="O76" s="156"/>
      <c r="P76" s="70"/>
      <c r="Q76" s="1"/>
    </row>
    <row r="77" spans="3:20" s="85" customFormat="1" x14ac:dyDescent="0.6">
      <c r="C77" s="89"/>
      <c r="D77" s="89"/>
      <c r="E77" s="89"/>
      <c r="F77" s="174"/>
      <c r="J77" s="156"/>
      <c r="K77" s="156"/>
      <c r="L77" s="156"/>
      <c r="M77" s="156"/>
      <c r="N77" s="156"/>
      <c r="O77" s="156"/>
      <c r="P77" s="70"/>
      <c r="Q77" s="17"/>
      <c r="R77" s="17"/>
      <c r="S77" s="891"/>
      <c r="T77" s="1"/>
    </row>
    <row r="78" spans="3:20" s="85" customFormat="1" x14ac:dyDescent="0.6">
      <c r="C78" s="89"/>
      <c r="D78" s="89"/>
      <c r="E78" s="89"/>
      <c r="F78" s="174"/>
      <c r="J78" s="156"/>
      <c r="K78" s="156"/>
      <c r="L78" s="156"/>
      <c r="M78" s="156"/>
      <c r="N78" s="156"/>
      <c r="O78" s="156"/>
      <c r="P78" s="70"/>
      <c r="Q78" s="17"/>
      <c r="R78" s="17"/>
      <c r="S78" s="891"/>
      <c r="T78" s="1"/>
    </row>
    <row r="79" spans="3:20" s="85" customFormat="1" x14ac:dyDescent="0.6">
      <c r="C79" s="89"/>
      <c r="D79" s="89"/>
      <c r="E79" s="89"/>
      <c r="F79" s="174"/>
      <c r="J79" s="156"/>
      <c r="K79" s="156"/>
      <c r="L79" s="156"/>
      <c r="M79" s="156"/>
      <c r="N79" s="156"/>
      <c r="O79" s="156"/>
      <c r="P79" s="70"/>
      <c r="Q79" s="17"/>
      <c r="R79" s="17"/>
      <c r="S79" s="891"/>
      <c r="T79" s="1"/>
    </row>
    <row r="80" spans="3:20" s="85" customFormat="1" x14ac:dyDescent="0.6">
      <c r="C80" s="89"/>
      <c r="D80" s="89"/>
      <c r="E80" s="89"/>
      <c r="F80" s="174"/>
      <c r="J80" s="156"/>
      <c r="K80" s="156"/>
      <c r="L80" s="156"/>
      <c r="M80" s="156"/>
      <c r="N80" s="156"/>
      <c r="O80" s="156"/>
      <c r="P80" s="70"/>
      <c r="Q80" s="17"/>
      <c r="R80" s="17"/>
      <c r="S80" s="70"/>
      <c r="T80" s="1"/>
    </row>
    <row r="81" spans="3:18" s="85" customFormat="1" x14ac:dyDescent="0.6">
      <c r="C81" s="89"/>
      <c r="D81" s="89"/>
      <c r="E81" s="89"/>
      <c r="F81" s="174"/>
      <c r="J81" s="156"/>
      <c r="K81" s="156"/>
      <c r="L81" s="156"/>
      <c r="M81" s="156"/>
      <c r="N81" s="156"/>
      <c r="O81" s="156"/>
      <c r="P81" s="70"/>
      <c r="Q81" s="70"/>
      <c r="R81" s="70"/>
    </row>
    <row r="82" spans="3:18" s="85" customFormat="1" x14ac:dyDescent="0.6">
      <c r="C82" s="89"/>
      <c r="D82" s="89"/>
      <c r="E82" s="89"/>
      <c r="F82" s="174"/>
      <c r="J82" s="156"/>
      <c r="K82" s="156"/>
      <c r="L82" s="156"/>
      <c r="M82" s="156"/>
      <c r="N82" s="156"/>
      <c r="O82" s="156"/>
      <c r="P82" s="70"/>
      <c r="Q82" s="70"/>
      <c r="R82" s="70"/>
    </row>
    <row r="83" spans="3:18" s="85" customFormat="1" x14ac:dyDescent="0.6">
      <c r="C83" s="89"/>
      <c r="D83" s="89"/>
      <c r="E83" s="89"/>
      <c r="F83" s="174"/>
      <c r="J83" s="156"/>
      <c r="K83" s="156"/>
      <c r="L83" s="156"/>
      <c r="M83" s="156"/>
      <c r="N83" s="156"/>
      <c r="O83" s="156"/>
      <c r="P83" s="70"/>
      <c r="Q83" s="70"/>
      <c r="R83" s="70"/>
    </row>
    <row r="84" spans="3:18" s="85" customFormat="1" x14ac:dyDescent="0.6">
      <c r="C84" s="89"/>
      <c r="D84" s="89"/>
      <c r="E84" s="89"/>
      <c r="F84" s="174"/>
      <c r="J84" s="156"/>
      <c r="K84" s="156"/>
      <c r="L84" s="156"/>
      <c r="M84" s="156"/>
      <c r="N84" s="156"/>
      <c r="O84" s="156"/>
      <c r="P84" s="70"/>
      <c r="Q84" s="70"/>
      <c r="R84" s="70"/>
    </row>
    <row r="85" spans="3:18" s="85" customFormat="1" x14ac:dyDescent="0.6">
      <c r="C85" s="89"/>
      <c r="D85" s="89"/>
      <c r="E85" s="89"/>
      <c r="F85" s="174"/>
      <c r="J85" s="156"/>
      <c r="K85" s="156"/>
      <c r="L85" s="156"/>
      <c r="M85" s="156"/>
      <c r="N85" s="156"/>
      <c r="O85" s="156"/>
      <c r="P85" s="70"/>
      <c r="Q85" s="70"/>
      <c r="R85" s="70"/>
    </row>
    <row r="86" spans="3:18" s="85" customFormat="1" x14ac:dyDescent="0.6">
      <c r="C86" s="89"/>
      <c r="D86" s="89"/>
      <c r="E86" s="89"/>
      <c r="F86" s="174"/>
      <c r="J86" s="156"/>
      <c r="K86" s="156"/>
      <c r="L86" s="156"/>
      <c r="M86" s="156"/>
      <c r="N86" s="156"/>
      <c r="O86" s="156"/>
      <c r="P86" s="70"/>
      <c r="Q86" s="70"/>
      <c r="R86" s="7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autoPageBreaks="0"/>
  </sheetPr>
  <dimension ref="A1:AA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0.5" style="12" customWidth="1"/>
    <col min="7" max="7" width="10.84765625" style="7" bestFit="1" customWidth="1"/>
    <col min="8" max="8" width="11.09765625" style="1" bestFit="1" customWidth="1"/>
    <col min="9" max="9" width="11.09765625" style="10" bestFit="1" customWidth="1"/>
    <col min="10" max="10" width="12.5" style="5" bestFit="1" customWidth="1"/>
    <col min="11" max="11" width="13" style="10" bestFit="1" customWidth="1"/>
    <col min="12" max="12" width="9.5" style="28" customWidth="1"/>
    <col min="13" max="13" width="9.5" style="331" customWidth="1"/>
    <col min="14" max="15" width="10.34765625" style="10" customWidth="1"/>
    <col min="16" max="16" width="15" style="271" customWidth="1"/>
    <col min="17" max="17" width="9.5" style="271" customWidth="1"/>
    <col min="18" max="18" width="15.84765625" style="271" customWidth="1"/>
    <col min="19" max="19" width="9.5" style="10" customWidth="1"/>
    <col min="20" max="20" width="16" style="70" customWidth="1"/>
    <col min="21" max="21" width="19.59765625" style="57" customWidth="1"/>
    <col min="22" max="22" width="15" style="17" bestFit="1" customWidth="1"/>
    <col min="23" max="23" width="17.5" style="17" bestFit="1" customWidth="1"/>
    <col min="24" max="24" width="10.59765625" style="10" bestFit="1" customWidth="1"/>
    <col min="25" max="25" width="18.5" style="17" bestFit="1" customWidth="1"/>
    <col min="26" max="26" width="17.5" style="10" bestFit="1" customWidth="1"/>
    <col min="27" max="16384" width="10.84765625" style="1"/>
  </cols>
  <sheetData>
    <row r="1" spans="1:26" x14ac:dyDescent="0.6">
      <c r="A1" s="24" t="s">
        <v>97</v>
      </c>
      <c r="C1" s="19" t="s">
        <v>855</v>
      </c>
      <c r="E1" s="107"/>
      <c r="F1" s="1177"/>
      <c r="K1" s="54"/>
    </row>
    <row r="2" spans="1:26" s="2" customFormat="1" x14ac:dyDescent="0.6">
      <c r="A2" s="24" t="s">
        <v>98</v>
      </c>
      <c r="C2" s="14" t="s">
        <v>24</v>
      </c>
      <c r="D2" s="14"/>
      <c r="E2" s="56"/>
      <c r="F2" s="115" t="s">
        <v>25</v>
      </c>
      <c r="G2" s="8" t="s">
        <v>87</v>
      </c>
      <c r="H2" s="11" t="s">
        <v>638</v>
      </c>
      <c r="I2" s="11" t="s">
        <v>638</v>
      </c>
      <c r="J2" s="6" t="s">
        <v>627</v>
      </c>
      <c r="K2" s="11" t="s">
        <v>627</v>
      </c>
      <c r="L2" s="71" t="s">
        <v>194</v>
      </c>
      <c r="M2" s="332" t="s">
        <v>194</v>
      </c>
      <c r="N2" s="11" t="s">
        <v>194</v>
      </c>
      <c r="O2" s="11" t="s">
        <v>650</v>
      </c>
      <c r="P2" s="272" t="s">
        <v>397</v>
      </c>
      <c r="Q2" s="272" t="s">
        <v>881</v>
      </c>
      <c r="R2" s="272" t="s">
        <v>1747</v>
      </c>
      <c r="S2" s="11" t="s">
        <v>881</v>
      </c>
      <c r="T2" s="114"/>
      <c r="U2" s="58" t="s">
        <v>622</v>
      </c>
      <c r="V2" s="18" t="s">
        <v>42</v>
      </c>
      <c r="W2" s="18"/>
      <c r="X2" s="11" t="s">
        <v>645</v>
      </c>
      <c r="Y2" s="18"/>
      <c r="Z2" s="11"/>
    </row>
    <row r="3" spans="1:26" s="2" customFormat="1" x14ac:dyDescent="0.6">
      <c r="C3" s="14" t="s">
        <v>93</v>
      </c>
      <c r="D3" s="14" t="s">
        <v>25</v>
      </c>
      <c r="E3" s="56" t="s">
        <v>41</v>
      </c>
      <c r="F3" s="115" t="s">
        <v>1132</v>
      </c>
      <c r="G3" s="8" t="s">
        <v>22</v>
      </c>
      <c r="H3" s="11" t="s">
        <v>649</v>
      </c>
      <c r="I3" s="11" t="s">
        <v>639</v>
      </c>
      <c r="J3" s="6" t="s">
        <v>648</v>
      </c>
      <c r="K3" s="11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272" t="s">
        <v>79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707</v>
      </c>
      <c r="V3" s="18" t="s">
        <v>77</v>
      </c>
      <c r="W3" s="18" t="s">
        <v>34</v>
      </c>
      <c r="X3" s="11" t="s">
        <v>639</v>
      </c>
      <c r="Y3" s="18" t="s">
        <v>642</v>
      </c>
      <c r="Z3" s="11"/>
    </row>
    <row r="4" spans="1:26" x14ac:dyDescent="0.6">
      <c r="A4" s="61">
        <v>1</v>
      </c>
      <c r="B4" s="44" t="s">
        <v>37</v>
      </c>
      <c r="C4" s="290">
        <v>1396</v>
      </c>
      <c r="D4" s="345">
        <f>C4*Assumptions!$C$30</f>
        <v>680131200</v>
      </c>
      <c r="E4" s="399">
        <v>1</v>
      </c>
      <c r="F4" s="1178"/>
      <c r="G4" s="297">
        <f>Assumptions!$C$115</f>
        <v>3.7854100000000002</v>
      </c>
      <c r="H4" s="389"/>
      <c r="I4" s="301">
        <f>'State LPG-Transport'!S64</f>
        <v>0.42811860060476115</v>
      </c>
      <c r="J4" s="87"/>
      <c r="K4" s="306">
        <f>'State LPG-Transport'!S60</f>
        <v>0.37688139939523885</v>
      </c>
      <c r="L4" s="329"/>
      <c r="M4" s="329">
        <f>L4*I4</f>
        <v>0</v>
      </c>
      <c r="N4" s="329">
        <f>M4*J4</f>
        <v>0</v>
      </c>
      <c r="O4" s="313"/>
      <c r="P4" s="314">
        <f>'State LPG-Transport'!S61*D4</f>
        <v>20734405.602716837</v>
      </c>
      <c r="Q4" s="1053">
        <f>K4+O4</f>
        <v>0.37688139939523885</v>
      </c>
      <c r="R4" s="1047">
        <f>Q4*D4</f>
        <v>256328798.42836308</v>
      </c>
      <c r="S4" s="310">
        <f>'State LPG-Transport'!S62</f>
        <v>0.3463955084337349</v>
      </c>
      <c r="T4" s="366">
        <f>D4*S4</f>
        <v>235594392.82564625</v>
      </c>
      <c r="U4" s="336">
        <f>-'OECD LPG subsidies'!C2</f>
        <v>0</v>
      </c>
      <c r="V4" s="342">
        <f>U4*E4</f>
        <v>0</v>
      </c>
      <c r="W4" s="111">
        <f>T4+V4</f>
        <v>235594392.82564625</v>
      </c>
      <c r="X4" s="320">
        <f>(I4+K4)*(1+L4)</f>
        <v>0.80499999999999994</v>
      </c>
      <c r="Y4" s="342">
        <f>X4*D4+V4</f>
        <v>547505616</v>
      </c>
    </row>
    <row r="5" spans="1:26" s="2" customFormat="1" x14ac:dyDescent="0.6">
      <c r="A5" s="40" t="s">
        <v>640</v>
      </c>
      <c r="B5" s="40"/>
      <c r="C5" s="356"/>
      <c r="D5" s="346"/>
      <c r="E5" s="418"/>
      <c r="F5" s="966"/>
      <c r="G5" s="298"/>
      <c r="H5" s="385"/>
      <c r="I5" s="302"/>
      <c r="J5" s="426"/>
      <c r="K5" s="307"/>
      <c r="L5" s="358"/>
      <c r="M5" s="333"/>
      <c r="N5" s="316"/>
      <c r="O5" s="316"/>
      <c r="P5" s="317"/>
      <c r="Q5" s="1051"/>
      <c r="R5" s="1052"/>
      <c r="S5" s="311"/>
      <c r="T5" s="367"/>
      <c r="U5" s="338"/>
      <c r="V5" s="343"/>
      <c r="W5" s="165"/>
      <c r="X5" s="316"/>
      <c r="Y5" s="343"/>
      <c r="Z5" s="11"/>
    </row>
    <row r="6" spans="1:26" x14ac:dyDescent="0.6">
      <c r="A6" s="46">
        <f>A4+1</f>
        <v>2</v>
      </c>
      <c r="B6" s="44" t="s">
        <v>0</v>
      </c>
      <c r="C6" s="290">
        <v>58</v>
      </c>
      <c r="D6" s="345">
        <f>C6*Assumptions!$C$30</f>
        <v>28257600</v>
      </c>
      <c r="E6" s="391">
        <f>Assumptions!$H$3</f>
        <v>1.1863330000000001</v>
      </c>
      <c r="F6" s="1178">
        <f>Assumptions!C29</f>
        <v>487.2</v>
      </c>
      <c r="G6" s="297">
        <f>Assumptions!$C$115</f>
        <v>3.7854100000000002</v>
      </c>
      <c r="H6" s="422">
        <v>0.35399999999999998</v>
      </c>
      <c r="I6" s="301">
        <f>H6*E6*G6</f>
        <v>1.5897279077416202</v>
      </c>
      <c r="J6" s="427"/>
      <c r="K6" s="286">
        <f t="shared" ref="K6:K34" si="0">J6*G6*E6</f>
        <v>0</v>
      </c>
      <c r="L6" s="322">
        <v>0.21</v>
      </c>
      <c r="M6" s="329">
        <f t="shared" ref="M6:M26" si="1">L6*I6</f>
        <v>0.33384286062574026</v>
      </c>
      <c r="N6" s="281">
        <f t="shared" ref="N6:N26" si="2">L6*K6</f>
        <v>0</v>
      </c>
      <c r="O6" s="281">
        <f t="shared" ref="O6:O26" si="3">N6+M6</f>
        <v>0.33384286062574026</v>
      </c>
      <c r="P6" s="314">
        <f t="shared" ref="P6:P26" si="4">M6*D6</f>
        <v>9433598.0184179172</v>
      </c>
      <c r="Q6" s="1053">
        <f t="shared" ref="Q6:Q39" si="5">K6+O6</f>
        <v>0.33384286062574026</v>
      </c>
      <c r="R6" s="1047">
        <f t="shared" ref="R6:R39" si="6">Q6*D6</f>
        <v>9433598.0184179172</v>
      </c>
      <c r="S6" s="268">
        <f t="shared" ref="S6:S26" si="7">N6+K6</f>
        <v>0</v>
      </c>
      <c r="T6" s="366">
        <f t="shared" ref="T6:T26" si="8">D6*S6</f>
        <v>0</v>
      </c>
      <c r="U6" s="336">
        <f>-'OECD LPG subsidies'!C11</f>
        <v>0</v>
      </c>
      <c r="V6" s="342">
        <f t="shared" ref="V6:V26" si="9">U6*E6</f>
        <v>0</v>
      </c>
      <c r="W6" s="111">
        <f t="shared" ref="W6:W26" si="10">T6+V6</f>
        <v>0</v>
      </c>
      <c r="X6" s="281">
        <f t="shared" ref="X6:X26" si="11">(I6+K6)*(1+L6)</f>
        <v>1.9235707683673604</v>
      </c>
      <c r="Y6" s="342">
        <f t="shared" ref="Y6:Y26" si="12">X6*D6+V6</f>
        <v>54355493.344217524</v>
      </c>
    </row>
    <row r="7" spans="1:26" x14ac:dyDescent="0.6">
      <c r="A7" s="46">
        <f t="shared" ref="A7:A26" si="13">A6+1</f>
        <v>3</v>
      </c>
      <c r="B7" s="44" t="s">
        <v>1</v>
      </c>
      <c r="C7" s="290">
        <v>98</v>
      </c>
      <c r="D7" s="345">
        <f>C7*Assumptions!$C$30</f>
        <v>47745600</v>
      </c>
      <c r="E7" s="391">
        <f>Assumptions!$H$15</f>
        <v>4.5997000000000003E-2</v>
      </c>
      <c r="F7" s="1178">
        <f>F6</f>
        <v>487.2</v>
      </c>
      <c r="G7" s="297">
        <f>Assumptions!$C$115</f>
        <v>3.7854100000000002</v>
      </c>
      <c r="H7" s="386">
        <v>9.58</v>
      </c>
      <c r="I7" s="301">
        <f t="shared" ref="I7:I28" si="14">E7*H7*G7</f>
        <v>1.6680456861166002</v>
      </c>
      <c r="J7" s="428">
        <v>3933</v>
      </c>
      <c r="K7" s="286">
        <f>J7/F7*E7</f>
        <v>0.37131814655172413</v>
      </c>
      <c r="L7" s="322">
        <v>0.21</v>
      </c>
      <c r="M7" s="329">
        <f t="shared" si="1"/>
        <v>0.35028959408448601</v>
      </c>
      <c r="N7" s="281">
        <f t="shared" si="2"/>
        <v>7.7976810775862063E-2</v>
      </c>
      <c r="O7" s="281">
        <f t="shared" si="3"/>
        <v>0.42826640486034806</v>
      </c>
      <c r="P7" s="314">
        <f t="shared" si="4"/>
        <v>16724786.843320236</v>
      </c>
      <c r="Q7" s="1053">
        <f t="shared" si="5"/>
        <v>0.79958455141207219</v>
      </c>
      <c r="R7" s="1047">
        <f t="shared" si="6"/>
        <v>38176644.157900237</v>
      </c>
      <c r="S7" s="268">
        <f t="shared" si="7"/>
        <v>0.44929495732758618</v>
      </c>
      <c r="T7" s="366">
        <f t="shared" si="8"/>
        <v>21451857.314579997</v>
      </c>
      <c r="U7" s="336">
        <f>-'OECD LPG subsidies'!C16</f>
        <v>0</v>
      </c>
      <c r="V7" s="342">
        <f t="shared" si="9"/>
        <v>0</v>
      </c>
      <c r="W7" s="111">
        <f t="shared" si="10"/>
        <v>21451857.314579997</v>
      </c>
      <c r="X7" s="281">
        <f t="shared" si="11"/>
        <v>2.4676302375286725</v>
      </c>
      <c r="Y7" s="342">
        <f t="shared" si="12"/>
        <v>117818486.26894899</v>
      </c>
    </row>
    <row r="8" spans="1:26" x14ac:dyDescent="0.6">
      <c r="A8" s="46">
        <f t="shared" si="13"/>
        <v>4</v>
      </c>
      <c r="B8" s="44" t="s">
        <v>2</v>
      </c>
      <c r="C8" s="290">
        <v>0</v>
      </c>
      <c r="D8" s="345">
        <f>C8*Assumptions!$C$30</f>
        <v>0</v>
      </c>
      <c r="E8" s="391">
        <f>Assumptions!$H$16</f>
        <v>0.15934999999999999</v>
      </c>
      <c r="F8" s="1178">
        <f t="shared" ref="F8:F26" si="15">F7</f>
        <v>487.2</v>
      </c>
      <c r="G8" s="297">
        <f>Assumptions!$C$115</f>
        <v>3.7854100000000002</v>
      </c>
      <c r="H8" s="423"/>
      <c r="I8" s="1077">
        <f>IF(D8=0,0,Assumptions!$C$94+Assumptions!$C$34)</f>
        <v>0</v>
      </c>
      <c r="J8" s="437">
        <v>3834</v>
      </c>
      <c r="K8" s="286">
        <f t="shared" ref="K8:K26" si="16">J8/F8*E8</f>
        <v>1.2539981527093595</v>
      </c>
      <c r="L8" s="322">
        <v>0.25</v>
      </c>
      <c r="M8" s="329">
        <f t="shared" si="1"/>
        <v>0</v>
      </c>
      <c r="N8" s="281">
        <f t="shared" si="2"/>
        <v>0.31349953817733989</v>
      </c>
      <c r="O8" s="281">
        <f t="shared" si="3"/>
        <v>0.31349953817733989</v>
      </c>
      <c r="P8" s="314">
        <f t="shared" si="4"/>
        <v>0</v>
      </c>
      <c r="Q8" s="1053">
        <f t="shared" si="5"/>
        <v>1.5674976908866993</v>
      </c>
      <c r="R8" s="1047">
        <f t="shared" si="6"/>
        <v>0</v>
      </c>
      <c r="S8" s="268">
        <f t="shared" si="7"/>
        <v>1.5674976908866993</v>
      </c>
      <c r="T8" s="366">
        <f t="shared" si="8"/>
        <v>0</v>
      </c>
      <c r="U8" s="336">
        <f>-'OECD LPG subsidies'!C18</f>
        <v>0</v>
      </c>
      <c r="V8" s="342">
        <f t="shared" si="9"/>
        <v>0</v>
      </c>
      <c r="W8" s="111">
        <f t="shared" si="10"/>
        <v>0</v>
      </c>
      <c r="X8" s="281">
        <f t="shared" si="11"/>
        <v>1.5674976908866993</v>
      </c>
      <c r="Y8" s="342">
        <f t="shared" si="12"/>
        <v>0</v>
      </c>
    </row>
    <row r="9" spans="1:26" x14ac:dyDescent="0.6">
      <c r="A9" s="46">
        <f t="shared" si="13"/>
        <v>5</v>
      </c>
      <c r="B9" s="44" t="s">
        <v>3</v>
      </c>
      <c r="C9" s="290">
        <v>548</v>
      </c>
      <c r="D9" s="345">
        <f>C9*Assumptions!$C$30</f>
        <v>266985600</v>
      </c>
      <c r="E9" s="391">
        <f>Assumptions!$H$3</f>
        <v>1.1863330000000001</v>
      </c>
      <c r="F9" s="1178">
        <f t="shared" si="15"/>
        <v>487.2</v>
      </c>
      <c r="G9" s="297">
        <f>Assumptions!$C$115</f>
        <v>3.7854100000000002</v>
      </c>
      <c r="H9" s="422">
        <v>0.373</v>
      </c>
      <c r="I9" s="301">
        <f t="shared" si="14"/>
        <v>1.6750522869706903</v>
      </c>
      <c r="J9" s="434">
        <v>180.32</v>
      </c>
      <c r="K9" s="286">
        <f t="shared" si="16"/>
        <v>0.43907957011494253</v>
      </c>
      <c r="L9" s="322">
        <v>0.19</v>
      </c>
      <c r="M9" s="329">
        <f t="shared" si="1"/>
        <v>0.31825993452443119</v>
      </c>
      <c r="N9" s="281">
        <f t="shared" si="2"/>
        <v>8.3425118321839076E-2</v>
      </c>
      <c r="O9" s="281">
        <f t="shared" si="3"/>
        <v>0.40168505284627026</v>
      </c>
      <c r="P9" s="314">
        <f t="shared" si="4"/>
        <v>84970819.574965969</v>
      </c>
      <c r="Q9" s="1053">
        <f t="shared" si="5"/>
        <v>0.84076462296121279</v>
      </c>
      <c r="R9" s="1047">
        <f t="shared" si="6"/>
        <v>224472047.32007319</v>
      </c>
      <c r="S9" s="268">
        <f t="shared" si="7"/>
        <v>0.52250468843678166</v>
      </c>
      <c r="T9" s="366">
        <f t="shared" si="8"/>
        <v>139501227.7451072</v>
      </c>
      <c r="U9" s="336">
        <f>-'OECD LPG subsidies'!C20</f>
        <v>-75542912</v>
      </c>
      <c r="V9" s="342">
        <f t="shared" si="9"/>
        <v>-89619049.421696007</v>
      </c>
      <c r="W9" s="111">
        <f t="shared" si="10"/>
        <v>49882178.323411196</v>
      </c>
      <c r="X9" s="281">
        <f t="shared" si="11"/>
        <v>2.5158169099319028</v>
      </c>
      <c r="Y9" s="342">
        <f t="shared" si="12"/>
        <v>582067837.76661897</v>
      </c>
    </row>
    <row r="10" spans="1:26" x14ac:dyDescent="0.6">
      <c r="A10" s="46">
        <f t="shared" si="13"/>
        <v>6</v>
      </c>
      <c r="B10" s="44" t="s">
        <v>4</v>
      </c>
      <c r="C10" s="290">
        <v>0</v>
      </c>
      <c r="D10" s="345">
        <f>C10*Assumptions!$C$30</f>
        <v>0</v>
      </c>
      <c r="E10" s="391">
        <f>Assumptions!$H$3</f>
        <v>1.1863330000000001</v>
      </c>
      <c r="F10" s="1178">
        <f t="shared" si="15"/>
        <v>487.2</v>
      </c>
      <c r="G10" s="297">
        <f>Assumptions!$C$115</f>
        <v>3.7854100000000002</v>
      </c>
      <c r="H10" s="422">
        <v>0.378</v>
      </c>
      <c r="I10" s="301">
        <f t="shared" si="14"/>
        <v>1.6975060709783401</v>
      </c>
      <c r="J10" s="434">
        <v>125.26</v>
      </c>
      <c r="K10" s="286">
        <f t="shared" si="16"/>
        <v>0.30500835710180624</v>
      </c>
      <c r="L10" s="322">
        <v>0.2</v>
      </c>
      <c r="M10" s="329">
        <f t="shared" si="1"/>
        <v>0.33950121419566803</v>
      </c>
      <c r="N10" s="281">
        <f t="shared" si="2"/>
        <v>6.1001671420361253E-2</v>
      </c>
      <c r="O10" s="281">
        <f t="shared" si="3"/>
        <v>0.40050288561602931</v>
      </c>
      <c r="P10" s="314">
        <f t="shared" si="4"/>
        <v>0</v>
      </c>
      <c r="Q10" s="1053">
        <f t="shared" si="5"/>
        <v>0.70551124271783561</v>
      </c>
      <c r="R10" s="1047">
        <f t="shared" si="6"/>
        <v>0</v>
      </c>
      <c r="S10" s="268">
        <f t="shared" si="7"/>
        <v>0.36601002852216746</v>
      </c>
      <c r="T10" s="366">
        <f t="shared" si="8"/>
        <v>0</v>
      </c>
      <c r="U10" s="336">
        <f>-'OECD LPG subsidies'!C26</f>
        <v>0</v>
      </c>
      <c r="V10" s="342">
        <f t="shared" si="9"/>
        <v>0</v>
      </c>
      <c r="W10" s="111">
        <f t="shared" si="10"/>
        <v>0</v>
      </c>
      <c r="X10" s="281">
        <f t="shared" si="11"/>
        <v>2.4030173136961754</v>
      </c>
      <c r="Y10" s="342">
        <f t="shared" si="12"/>
        <v>0</v>
      </c>
    </row>
    <row r="11" spans="1:26" x14ac:dyDescent="0.6">
      <c r="A11" s="46">
        <f t="shared" si="13"/>
        <v>7</v>
      </c>
      <c r="B11" s="44" t="s">
        <v>5</v>
      </c>
      <c r="C11" s="290">
        <v>234</v>
      </c>
      <c r="D11" s="345">
        <f>C11*Assumptions!$C$30</f>
        <v>114004800</v>
      </c>
      <c r="E11" s="391">
        <f>Assumptions!$H$3</f>
        <v>1.1863330000000001</v>
      </c>
      <c r="F11" s="1178">
        <f t="shared" si="15"/>
        <v>487.2</v>
      </c>
      <c r="G11" s="297">
        <f>Assumptions!$C$115</f>
        <v>3.7854100000000002</v>
      </c>
      <c r="H11" s="422"/>
      <c r="I11" s="1077">
        <f>IF(D11=0,0,Assumptions!$C$94+Assumptions!$C$34)</f>
        <v>2</v>
      </c>
      <c r="J11" s="434">
        <v>330</v>
      </c>
      <c r="K11" s="286">
        <f t="shared" si="16"/>
        <v>0.80355067733990149</v>
      </c>
      <c r="L11" s="322">
        <v>0.23</v>
      </c>
      <c r="M11" s="329">
        <f t="shared" si="1"/>
        <v>0.46</v>
      </c>
      <c r="N11" s="281">
        <f t="shared" si="2"/>
        <v>0.18481665578817735</v>
      </c>
      <c r="O11" s="281">
        <f t="shared" si="3"/>
        <v>0.64481665578817737</v>
      </c>
      <c r="P11" s="314">
        <f t="shared" si="4"/>
        <v>52442208</v>
      </c>
      <c r="Q11" s="1053">
        <f t="shared" si="5"/>
        <v>1.4483673331280789</v>
      </c>
      <c r="R11" s="1047">
        <f t="shared" si="6"/>
        <v>165120828.13980001</v>
      </c>
      <c r="S11" s="268">
        <f t="shared" si="7"/>
        <v>0.9883673331280789</v>
      </c>
      <c r="T11" s="366">
        <f t="shared" si="8"/>
        <v>112678620.13980001</v>
      </c>
      <c r="U11" s="336">
        <f>-'OECD LPG subsidies'!C28</f>
        <v>0</v>
      </c>
      <c r="V11" s="342">
        <f t="shared" si="9"/>
        <v>0</v>
      </c>
      <c r="W11" s="111">
        <f t="shared" si="10"/>
        <v>112678620.13980001</v>
      </c>
      <c r="X11" s="281">
        <f t="shared" si="11"/>
        <v>3.4483673331280786</v>
      </c>
      <c r="Y11" s="342">
        <f t="shared" si="12"/>
        <v>393130428.13979995</v>
      </c>
    </row>
    <row r="12" spans="1:26" x14ac:dyDescent="0.6">
      <c r="A12" s="46">
        <f t="shared" si="13"/>
        <v>8</v>
      </c>
      <c r="B12" s="44" t="s">
        <v>6</v>
      </c>
      <c r="C12" s="290">
        <v>43</v>
      </c>
      <c r="D12" s="345">
        <f>C12*Assumptions!$C$30</f>
        <v>20949600</v>
      </c>
      <c r="E12" s="391">
        <f>Assumptions!$H$3</f>
        <v>1.1863330000000001</v>
      </c>
      <c r="F12" s="1178">
        <f t="shared" si="15"/>
        <v>487.2</v>
      </c>
      <c r="G12" s="297">
        <f>Assumptions!$C$115</f>
        <v>3.7854100000000002</v>
      </c>
      <c r="H12" s="422">
        <v>0.46</v>
      </c>
      <c r="I12" s="301">
        <f t="shared" si="14"/>
        <v>2.0657481287038002</v>
      </c>
      <c r="J12" s="434">
        <v>57.47</v>
      </c>
      <c r="K12" s="286">
        <f t="shared" si="16"/>
        <v>0.13993956795977014</v>
      </c>
      <c r="L12" s="322">
        <v>0.21</v>
      </c>
      <c r="M12" s="329">
        <f t="shared" si="1"/>
        <v>0.43380710702779801</v>
      </c>
      <c r="N12" s="281">
        <f t="shared" si="2"/>
        <v>2.9387309271551729E-2</v>
      </c>
      <c r="O12" s="281">
        <f t="shared" si="3"/>
        <v>0.46319441629934976</v>
      </c>
      <c r="P12" s="314">
        <f t="shared" si="4"/>
        <v>9088085.3693895563</v>
      </c>
      <c r="Q12" s="1053">
        <f t="shared" si="5"/>
        <v>0.6031339842591199</v>
      </c>
      <c r="R12" s="1047">
        <f t="shared" si="6"/>
        <v>12635415.716634858</v>
      </c>
      <c r="S12" s="268">
        <f t="shared" si="7"/>
        <v>0.16932687723132187</v>
      </c>
      <c r="T12" s="366">
        <f t="shared" si="8"/>
        <v>3547330.3472453007</v>
      </c>
      <c r="U12" s="336">
        <f>-'OECD LPG subsidies'!C30</f>
        <v>0</v>
      </c>
      <c r="V12" s="342">
        <f t="shared" si="9"/>
        <v>0</v>
      </c>
      <c r="W12" s="111">
        <f t="shared" si="10"/>
        <v>3547330.3472453007</v>
      </c>
      <c r="X12" s="281">
        <f t="shared" si="11"/>
        <v>2.6688821129629203</v>
      </c>
      <c r="Y12" s="342">
        <f t="shared" si="12"/>
        <v>55912012.713727996</v>
      </c>
    </row>
    <row r="13" spans="1:26" x14ac:dyDescent="0.6">
      <c r="A13" s="46">
        <f t="shared" si="13"/>
        <v>9</v>
      </c>
      <c r="B13" s="44" t="s">
        <v>7</v>
      </c>
      <c r="C13" s="290">
        <v>81</v>
      </c>
      <c r="D13" s="345">
        <f>C13*Assumptions!$C$30</f>
        <v>39463200</v>
      </c>
      <c r="E13" s="391">
        <f>Assumptions!$H$3</f>
        <v>1.1863330000000001</v>
      </c>
      <c r="F13" s="1178">
        <f t="shared" si="15"/>
        <v>487.2</v>
      </c>
      <c r="G13" s="297">
        <f>Assumptions!$C$115</f>
        <v>3.7854100000000002</v>
      </c>
      <c r="H13" s="422">
        <v>0.55300000000000005</v>
      </c>
      <c r="I13" s="301">
        <f t="shared" si="14"/>
        <v>2.4833885112460905</v>
      </c>
      <c r="J13" s="434">
        <v>130</v>
      </c>
      <c r="K13" s="286">
        <f t="shared" si="16"/>
        <v>0.31655026683087029</v>
      </c>
      <c r="L13" s="322">
        <v>0.2</v>
      </c>
      <c r="M13" s="329">
        <f t="shared" si="1"/>
        <v>0.49667770224921814</v>
      </c>
      <c r="N13" s="281">
        <f t="shared" si="2"/>
        <v>6.3310053366174054E-2</v>
      </c>
      <c r="O13" s="281">
        <f t="shared" si="3"/>
        <v>0.55998775561539216</v>
      </c>
      <c r="P13" s="314">
        <f t="shared" si="4"/>
        <v>19600491.499401346</v>
      </c>
      <c r="Q13" s="1053">
        <f t="shared" si="5"/>
        <v>0.87653802244626244</v>
      </c>
      <c r="R13" s="1047">
        <f t="shared" si="6"/>
        <v>34590995.287401341</v>
      </c>
      <c r="S13" s="268">
        <f t="shared" si="7"/>
        <v>0.37986032019704435</v>
      </c>
      <c r="T13" s="366">
        <f t="shared" si="8"/>
        <v>14990503.788000001</v>
      </c>
      <c r="U13" s="336">
        <f>-'OECD LPG subsidies'!C32</f>
        <v>-2401772</v>
      </c>
      <c r="V13" s="342">
        <f t="shared" si="9"/>
        <v>-2849301.3820760003</v>
      </c>
      <c r="W13" s="111">
        <f t="shared" si="10"/>
        <v>12141202.405924</v>
      </c>
      <c r="X13" s="281">
        <f t="shared" si="11"/>
        <v>3.3599265336923527</v>
      </c>
      <c r="Y13" s="342">
        <f t="shared" si="12"/>
        <v>129744151.40233205</v>
      </c>
    </row>
    <row r="14" spans="1:26" x14ac:dyDescent="0.6">
      <c r="A14" s="46">
        <f t="shared" si="13"/>
        <v>10</v>
      </c>
      <c r="B14" s="44" t="s">
        <v>8</v>
      </c>
      <c r="C14" s="290">
        <v>2</v>
      </c>
      <c r="D14" s="345">
        <f>C14*Assumptions!$C$30</f>
        <v>974400</v>
      </c>
      <c r="E14" s="391">
        <f>Assumptions!$H$3</f>
        <v>1.1863330000000001</v>
      </c>
      <c r="F14" s="1178">
        <f t="shared" si="15"/>
        <v>487.2</v>
      </c>
      <c r="G14" s="297">
        <f>Assumptions!$C$115</f>
        <v>3.7854100000000002</v>
      </c>
      <c r="H14" s="422"/>
      <c r="I14" s="1077">
        <f>IF(D14=0,0,Assumptions!$C$94+Assumptions!$C$34)</f>
        <v>2</v>
      </c>
      <c r="J14" s="434">
        <v>176.33</v>
      </c>
      <c r="K14" s="286">
        <f t="shared" si="16"/>
        <v>0.42936391192528744</v>
      </c>
      <c r="L14" s="322">
        <v>0.23</v>
      </c>
      <c r="M14" s="329">
        <f t="shared" si="1"/>
        <v>0.46</v>
      </c>
      <c r="N14" s="281">
        <f t="shared" si="2"/>
        <v>9.8753699742816115E-2</v>
      </c>
      <c r="O14" s="281">
        <f t="shared" si="3"/>
        <v>0.55875369974281619</v>
      </c>
      <c r="P14" s="314">
        <f t="shared" si="4"/>
        <v>448224</v>
      </c>
      <c r="Q14" s="1053">
        <f t="shared" si="5"/>
        <v>0.98811761166810363</v>
      </c>
      <c r="R14" s="1047">
        <f t="shared" si="6"/>
        <v>962821.80080940016</v>
      </c>
      <c r="S14" s="268">
        <f t="shared" si="7"/>
        <v>0.52811761166810356</v>
      </c>
      <c r="T14" s="366">
        <f t="shared" si="8"/>
        <v>514597.8008094001</v>
      </c>
      <c r="U14" s="336">
        <f>-'OECD LPG subsidies'!C40</f>
        <v>0</v>
      </c>
      <c r="V14" s="342">
        <f t="shared" si="9"/>
        <v>0</v>
      </c>
      <c r="W14" s="111">
        <f t="shared" si="10"/>
        <v>514597.8008094001</v>
      </c>
      <c r="X14" s="281">
        <f t="shared" si="11"/>
        <v>2.9881176116681036</v>
      </c>
      <c r="Y14" s="342">
        <f t="shared" si="12"/>
        <v>2911621.8008094002</v>
      </c>
    </row>
    <row r="15" spans="1:26" x14ac:dyDescent="0.6">
      <c r="A15" s="46">
        <f t="shared" si="13"/>
        <v>11</v>
      </c>
      <c r="B15" s="44" t="s">
        <v>9</v>
      </c>
      <c r="C15" s="290">
        <v>1654</v>
      </c>
      <c r="D15" s="345">
        <f>C15*Assumptions!$C$30</f>
        <v>805828800</v>
      </c>
      <c r="E15" s="391">
        <f>Assumptions!$H$3</f>
        <v>1.1863330000000001</v>
      </c>
      <c r="F15" s="1178">
        <f t="shared" si="15"/>
        <v>487.2</v>
      </c>
      <c r="G15" s="297">
        <f>Assumptions!$C$115</f>
        <v>3.7854100000000002</v>
      </c>
      <c r="H15" s="422">
        <v>0.34100000000000003</v>
      </c>
      <c r="I15" s="301">
        <f t="shared" si="14"/>
        <v>1.5313480693217303</v>
      </c>
      <c r="J15" s="434">
        <v>267.77</v>
      </c>
      <c r="K15" s="286">
        <f t="shared" si="16"/>
        <v>0.6520204996100164</v>
      </c>
      <c r="L15" s="322">
        <v>0.22</v>
      </c>
      <c r="M15" s="329">
        <f t="shared" si="1"/>
        <v>0.33689657525078065</v>
      </c>
      <c r="N15" s="281">
        <f t="shared" si="2"/>
        <v>0.1434445099142036</v>
      </c>
      <c r="O15" s="281">
        <f t="shared" si="3"/>
        <v>0.48034108516498425</v>
      </c>
      <c r="P15" s="314">
        <f t="shared" si="4"/>
        <v>271480962.95844626</v>
      </c>
      <c r="Q15" s="1053">
        <f t="shared" si="5"/>
        <v>1.1323615847750006</v>
      </c>
      <c r="R15" s="1047">
        <f t="shared" si="6"/>
        <v>912489577.02533698</v>
      </c>
      <c r="S15" s="268">
        <f t="shared" si="7"/>
        <v>0.79546500952421995</v>
      </c>
      <c r="T15" s="366">
        <f t="shared" si="8"/>
        <v>641008614.06689072</v>
      </c>
      <c r="U15" s="336">
        <f>-'OECD LPG subsidies'!C46</f>
        <v>-7818213</v>
      </c>
      <c r="V15" s="342">
        <f t="shared" si="9"/>
        <v>-9275004.0829290003</v>
      </c>
      <c r="W15" s="111">
        <f t="shared" si="10"/>
        <v>631733609.9839617</v>
      </c>
      <c r="X15" s="281">
        <f t="shared" si="11"/>
        <v>2.6637096540967309</v>
      </c>
      <c r="Y15" s="342">
        <f t="shared" si="12"/>
        <v>2137218950.0262549</v>
      </c>
    </row>
    <row r="16" spans="1:26" x14ac:dyDescent="0.6">
      <c r="A16" s="46">
        <f t="shared" si="13"/>
        <v>12</v>
      </c>
      <c r="B16" s="44" t="s">
        <v>10</v>
      </c>
      <c r="C16" s="290">
        <v>1</v>
      </c>
      <c r="D16" s="345">
        <f>C16*Assumptions!$C$30</f>
        <v>487200</v>
      </c>
      <c r="E16" s="391">
        <f>Assumptions!$H$3</f>
        <v>1.1863330000000001</v>
      </c>
      <c r="F16" s="1178">
        <f t="shared" si="15"/>
        <v>487.2</v>
      </c>
      <c r="G16" s="297">
        <f>Assumptions!$C$115</f>
        <v>3.7854100000000002</v>
      </c>
      <c r="H16" s="422">
        <v>0.34200000000000003</v>
      </c>
      <c r="I16" s="301">
        <f t="shared" si="14"/>
        <v>1.5358388261232603</v>
      </c>
      <c r="J16" s="434">
        <v>101.64</v>
      </c>
      <c r="K16" s="286">
        <f t="shared" si="16"/>
        <v>0.24749360862068967</v>
      </c>
      <c r="L16" s="322">
        <v>0.17</v>
      </c>
      <c r="M16" s="329">
        <f t="shared" si="1"/>
        <v>0.26109260044095428</v>
      </c>
      <c r="N16" s="281">
        <f t="shared" si="2"/>
        <v>4.2073913465517247E-2</v>
      </c>
      <c r="O16" s="281">
        <f t="shared" si="3"/>
        <v>0.30316651390647154</v>
      </c>
      <c r="P16" s="314">
        <f t="shared" si="4"/>
        <v>127204.31493483293</v>
      </c>
      <c r="Q16" s="1053">
        <f t="shared" si="5"/>
        <v>0.55066012252716123</v>
      </c>
      <c r="R16" s="1047">
        <f t="shared" si="6"/>
        <v>268281.61169523298</v>
      </c>
      <c r="S16" s="268">
        <f t="shared" si="7"/>
        <v>0.2895675220862069</v>
      </c>
      <c r="T16" s="366">
        <f t="shared" si="8"/>
        <v>141077.2967604</v>
      </c>
      <c r="U16" s="336">
        <f>-'OECD LPG subsidies'!C57</f>
        <v>0</v>
      </c>
      <c r="V16" s="342">
        <f t="shared" si="9"/>
        <v>0</v>
      </c>
      <c r="W16" s="111">
        <f t="shared" si="10"/>
        <v>141077.2967604</v>
      </c>
      <c r="X16" s="281">
        <f t="shared" si="11"/>
        <v>2.0864989486504211</v>
      </c>
      <c r="Y16" s="342">
        <f t="shared" si="12"/>
        <v>1016542.2877824851</v>
      </c>
    </row>
    <row r="17" spans="1:26" x14ac:dyDescent="0.6">
      <c r="A17" s="46">
        <f t="shared" si="13"/>
        <v>13</v>
      </c>
      <c r="B17" s="44" t="s">
        <v>11</v>
      </c>
      <c r="C17" s="290">
        <v>27</v>
      </c>
      <c r="D17" s="345">
        <f>C17*Assumptions!$C$30</f>
        <v>13154400</v>
      </c>
      <c r="E17" s="391">
        <f>Assumptions!$H$17</f>
        <v>3.8049999999999998E-3</v>
      </c>
      <c r="F17" s="1178">
        <f t="shared" si="15"/>
        <v>487.2</v>
      </c>
      <c r="G17" s="297">
        <f>Assumptions!$C$115</f>
        <v>3.7854100000000002</v>
      </c>
      <c r="H17" s="459">
        <v>136.87</v>
      </c>
      <c r="I17" s="301">
        <f t="shared" si="14"/>
        <v>1.9714049987934998</v>
      </c>
      <c r="J17" s="430">
        <v>95800</v>
      </c>
      <c r="K17" s="286">
        <f t="shared" si="16"/>
        <v>0.74819170771756982</v>
      </c>
      <c r="L17" s="322">
        <v>0.27</v>
      </c>
      <c r="M17" s="329">
        <f t="shared" si="1"/>
        <v>0.53227934967424495</v>
      </c>
      <c r="N17" s="281">
        <f t="shared" si="2"/>
        <v>0.20201176108374386</v>
      </c>
      <c r="O17" s="281">
        <f t="shared" si="3"/>
        <v>0.73429111075798881</v>
      </c>
      <c r="P17" s="314">
        <f t="shared" si="4"/>
        <v>7001815.4773548879</v>
      </c>
      <c r="Q17" s="1053">
        <f t="shared" si="5"/>
        <v>1.4824828184755585</v>
      </c>
      <c r="R17" s="1047">
        <f t="shared" si="6"/>
        <v>19501171.987354886</v>
      </c>
      <c r="S17" s="268">
        <f t="shared" si="7"/>
        <v>0.95020346880131368</v>
      </c>
      <c r="T17" s="366">
        <f t="shared" si="8"/>
        <v>12499356.51</v>
      </c>
      <c r="U17" s="336">
        <f>-'OECD LPG subsidies'!C60</f>
        <v>0</v>
      </c>
      <c r="V17" s="342">
        <f t="shared" si="9"/>
        <v>0</v>
      </c>
      <c r="W17" s="111">
        <f t="shared" si="10"/>
        <v>12499356.51</v>
      </c>
      <c r="X17" s="281">
        <f t="shared" si="11"/>
        <v>3.4538878172690586</v>
      </c>
      <c r="Y17" s="342">
        <f t="shared" si="12"/>
        <v>45433821.903484106</v>
      </c>
      <c r="Z17" s="1"/>
    </row>
    <row r="18" spans="1:26" x14ac:dyDescent="0.6">
      <c r="A18" s="46">
        <f t="shared" si="13"/>
        <v>14</v>
      </c>
      <c r="B18" s="44" t="s">
        <v>12</v>
      </c>
      <c r="C18" s="290">
        <v>182</v>
      </c>
      <c r="D18" s="345">
        <f>C18*Assumptions!$C$30</f>
        <v>88670400</v>
      </c>
      <c r="E18" s="391">
        <f>Assumptions!$H$3</f>
        <v>1.1863330000000001</v>
      </c>
      <c r="F18" s="1178">
        <f t="shared" si="15"/>
        <v>487.2</v>
      </c>
      <c r="G18" s="297">
        <f>Assumptions!$C$115</f>
        <v>3.7854100000000002</v>
      </c>
      <c r="H18" s="422">
        <v>0.30499999999999999</v>
      </c>
      <c r="I18" s="301">
        <f t="shared" si="14"/>
        <v>1.3696808244666501</v>
      </c>
      <c r="J18" s="434">
        <v>334.67</v>
      </c>
      <c r="K18" s="286">
        <f t="shared" si="16"/>
        <v>0.81492213692528748</v>
      </c>
      <c r="L18" s="322">
        <v>0.21</v>
      </c>
      <c r="M18" s="329">
        <f t="shared" si="1"/>
        <v>0.28763297313799652</v>
      </c>
      <c r="N18" s="281">
        <f t="shared" si="2"/>
        <v>0.17113364875431036</v>
      </c>
      <c r="O18" s="281">
        <f t="shared" si="3"/>
        <v>0.45876662189230688</v>
      </c>
      <c r="P18" s="314">
        <f t="shared" si="4"/>
        <v>25504530.781335406</v>
      </c>
      <c r="Q18" s="1053">
        <f t="shared" si="5"/>
        <v>1.2736887588175945</v>
      </c>
      <c r="R18" s="1047">
        <f t="shared" si="6"/>
        <v>112938491.71985963</v>
      </c>
      <c r="S18" s="268">
        <f t="shared" si="7"/>
        <v>0.98605578567959784</v>
      </c>
      <c r="T18" s="366">
        <f t="shared" si="8"/>
        <v>87433960.938524216</v>
      </c>
      <c r="U18" s="336">
        <f>-'OECD LPG subsidies'!C62</f>
        <v>0</v>
      </c>
      <c r="V18" s="342">
        <f t="shared" si="9"/>
        <v>0</v>
      </c>
      <c r="W18" s="111">
        <f t="shared" si="10"/>
        <v>87433960.938524216</v>
      </c>
      <c r="X18" s="281">
        <f t="shared" si="11"/>
        <v>2.6433695832842443</v>
      </c>
      <c r="Y18" s="342">
        <f t="shared" si="12"/>
        <v>234388638.29764727</v>
      </c>
      <c r="Z18" s="1"/>
    </row>
    <row r="19" spans="1:26" x14ac:dyDescent="0.6">
      <c r="A19" s="46">
        <f t="shared" si="13"/>
        <v>15</v>
      </c>
      <c r="B19" s="44" t="s">
        <v>13</v>
      </c>
      <c r="C19" s="290">
        <v>13</v>
      </c>
      <c r="D19" s="345">
        <f>C19*Assumptions!$C$30</f>
        <v>6333600</v>
      </c>
      <c r="E19" s="391">
        <f>Assumptions!$H$3</f>
        <v>1.1863330000000001</v>
      </c>
      <c r="F19" s="1178">
        <f t="shared" si="15"/>
        <v>487.2</v>
      </c>
      <c r="G19" s="297">
        <f>Assumptions!$C$115</f>
        <v>3.7854100000000002</v>
      </c>
      <c r="H19" s="422"/>
      <c r="I19" s="301">
        <f t="shared" si="14"/>
        <v>0</v>
      </c>
      <c r="J19" s="434">
        <v>261</v>
      </c>
      <c r="K19" s="286">
        <f t="shared" si="16"/>
        <v>0.63553553571428578</v>
      </c>
      <c r="L19" s="322">
        <v>0.2</v>
      </c>
      <c r="M19" s="329">
        <f t="shared" si="1"/>
        <v>0</v>
      </c>
      <c r="N19" s="281">
        <f t="shared" si="2"/>
        <v>0.12710710714285717</v>
      </c>
      <c r="O19" s="281">
        <f t="shared" si="3"/>
        <v>0.12710710714285717</v>
      </c>
      <c r="P19" s="314">
        <f t="shared" si="4"/>
        <v>0</v>
      </c>
      <c r="Q19" s="1053">
        <f t="shared" si="5"/>
        <v>0.76264264285714289</v>
      </c>
      <c r="R19" s="1047">
        <f t="shared" si="6"/>
        <v>4830273.4428000003</v>
      </c>
      <c r="S19" s="268">
        <f t="shared" si="7"/>
        <v>0.76264264285714289</v>
      </c>
      <c r="T19" s="366">
        <f t="shared" si="8"/>
        <v>4830273.4428000003</v>
      </c>
      <c r="U19" s="336">
        <f>-'OECD LPG subsidies'!C63</f>
        <v>0</v>
      </c>
      <c r="V19" s="342">
        <f t="shared" si="9"/>
        <v>0</v>
      </c>
      <c r="W19" s="111">
        <f t="shared" si="10"/>
        <v>4830273.4428000003</v>
      </c>
      <c r="X19" s="281">
        <f t="shared" si="11"/>
        <v>0.76264264285714289</v>
      </c>
      <c r="Y19" s="342">
        <f t="shared" si="12"/>
        <v>4830273.4428000003</v>
      </c>
      <c r="Z19" s="1"/>
    </row>
    <row r="20" spans="1:26" x14ac:dyDescent="0.6">
      <c r="A20" s="46">
        <f t="shared" si="13"/>
        <v>16</v>
      </c>
      <c r="B20" s="44" t="s">
        <v>14</v>
      </c>
      <c r="C20" s="290">
        <v>1543</v>
      </c>
      <c r="D20" s="345">
        <f>C20*Assumptions!$C$30</f>
        <v>751749600</v>
      </c>
      <c r="E20" s="391">
        <f>Assumptions!$H$18</f>
        <v>0.28262100000000001</v>
      </c>
      <c r="F20" s="1178">
        <f t="shared" si="15"/>
        <v>487.2</v>
      </c>
      <c r="G20" s="297">
        <f>Assumptions!$C$115</f>
        <v>3.7854100000000002</v>
      </c>
      <c r="H20" s="424">
        <v>1.0620000000000001</v>
      </c>
      <c r="I20" s="301">
        <f t="shared" si="14"/>
        <v>1.1361662139058202</v>
      </c>
      <c r="J20" s="431">
        <v>829.71</v>
      </c>
      <c r="K20" s="286">
        <f t="shared" si="16"/>
        <v>0.48130843577586213</v>
      </c>
      <c r="L20" s="322">
        <v>0.23</v>
      </c>
      <c r="M20" s="329">
        <f t="shared" si="1"/>
        <v>0.26131822919833864</v>
      </c>
      <c r="N20" s="281">
        <f t="shared" si="2"/>
        <v>0.1107009402284483</v>
      </c>
      <c r="O20" s="281">
        <f t="shared" si="3"/>
        <v>0.37201916942678692</v>
      </c>
      <c r="P20" s="314">
        <f t="shared" si="4"/>
        <v>196445874.2725594</v>
      </c>
      <c r="Q20" s="1053">
        <f t="shared" si="5"/>
        <v>0.85332760520264905</v>
      </c>
      <c r="R20" s="1047">
        <f t="shared" si="6"/>
        <v>641488685.88004935</v>
      </c>
      <c r="S20" s="268">
        <f t="shared" si="7"/>
        <v>0.59200937600431047</v>
      </c>
      <c r="T20" s="366">
        <f t="shared" si="8"/>
        <v>445042811.60749</v>
      </c>
      <c r="U20" s="336">
        <f>-'OECD LPG subsidies'!C67</f>
        <v>0</v>
      </c>
      <c r="V20" s="342">
        <f t="shared" si="9"/>
        <v>0</v>
      </c>
      <c r="W20" s="111">
        <f t="shared" si="10"/>
        <v>445042811.60749</v>
      </c>
      <c r="X20" s="281">
        <f t="shared" si="11"/>
        <v>1.9894938191084692</v>
      </c>
      <c r="Y20" s="342">
        <f t="shared" si="12"/>
        <v>1495601182.7172642</v>
      </c>
      <c r="Z20" s="1"/>
    </row>
    <row r="21" spans="1:26" x14ac:dyDescent="0.6">
      <c r="A21" s="46">
        <f t="shared" si="13"/>
        <v>17</v>
      </c>
      <c r="B21" s="44" t="s">
        <v>15</v>
      </c>
      <c r="C21" s="290">
        <v>36</v>
      </c>
      <c r="D21" s="345">
        <f>C21*Assumptions!$C$30</f>
        <v>17539200</v>
      </c>
      <c r="E21" s="391">
        <f>Assumptions!$H$3</f>
        <v>1.1863330000000001</v>
      </c>
      <c r="F21" s="1178">
        <f t="shared" si="15"/>
        <v>487.2</v>
      </c>
      <c r="G21" s="297">
        <f>Assumptions!$C$115</f>
        <v>3.7854100000000002</v>
      </c>
      <c r="H21" s="422">
        <v>0.33400000000000002</v>
      </c>
      <c r="I21" s="301">
        <f t="shared" si="14"/>
        <v>1.4999127717110203</v>
      </c>
      <c r="J21" s="434">
        <v>265.64999999999998</v>
      </c>
      <c r="K21" s="286">
        <f t="shared" si="16"/>
        <v>0.64685829525862071</v>
      </c>
      <c r="L21" s="322">
        <v>0.23</v>
      </c>
      <c r="M21" s="329">
        <f t="shared" si="1"/>
        <v>0.34497993749353467</v>
      </c>
      <c r="N21" s="281">
        <f t="shared" si="2"/>
        <v>0.14877740790948277</v>
      </c>
      <c r="O21" s="281">
        <f t="shared" si="3"/>
        <v>0.49375734540301741</v>
      </c>
      <c r="P21" s="314">
        <f t="shared" si="4"/>
        <v>6050672.1196866035</v>
      </c>
      <c r="Q21" s="1053">
        <f t="shared" si="5"/>
        <v>1.1406156406616381</v>
      </c>
      <c r="R21" s="1047">
        <f t="shared" si="6"/>
        <v>20005485.844692603</v>
      </c>
      <c r="S21" s="268">
        <f t="shared" si="7"/>
        <v>0.7956357031681035</v>
      </c>
      <c r="T21" s="366">
        <f t="shared" si="8"/>
        <v>13954813.725006001</v>
      </c>
      <c r="U21" s="336">
        <f>-'OECD LPG subsidies'!C69</f>
        <v>0</v>
      </c>
      <c r="V21" s="342">
        <f t="shared" si="9"/>
        <v>0</v>
      </c>
      <c r="W21" s="111">
        <f t="shared" si="10"/>
        <v>13954813.725006001</v>
      </c>
      <c r="X21" s="281">
        <f t="shared" si="11"/>
        <v>2.6405284123726585</v>
      </c>
      <c r="Y21" s="342">
        <f t="shared" si="12"/>
        <v>46312755.930286534</v>
      </c>
      <c r="Z21" s="1"/>
    </row>
    <row r="22" spans="1:26" x14ac:dyDescent="0.6">
      <c r="A22" s="46">
        <f t="shared" si="13"/>
        <v>18</v>
      </c>
      <c r="B22" s="44" t="s">
        <v>16</v>
      </c>
      <c r="C22" s="290">
        <v>13</v>
      </c>
      <c r="D22" s="345">
        <f>C22*Assumptions!$C$30</f>
        <v>6333600</v>
      </c>
      <c r="E22" s="391">
        <f>Assumptions!$H$3</f>
        <v>1.1863330000000001</v>
      </c>
      <c r="F22" s="1178">
        <f t="shared" si="15"/>
        <v>487.2</v>
      </c>
      <c r="G22" s="297">
        <f>Assumptions!$C$115</f>
        <v>3.7854100000000002</v>
      </c>
      <c r="H22" s="422">
        <v>0.40500000000000003</v>
      </c>
      <c r="I22" s="301">
        <f t="shared" si="14"/>
        <v>1.8187565046196503</v>
      </c>
      <c r="J22" s="434">
        <v>127.5</v>
      </c>
      <c r="K22" s="286">
        <f t="shared" si="16"/>
        <v>0.31046276169950743</v>
      </c>
      <c r="L22" s="322">
        <v>0.22</v>
      </c>
      <c r="M22" s="329">
        <f t="shared" si="1"/>
        <v>0.40012643101632306</v>
      </c>
      <c r="N22" s="281">
        <f t="shared" si="2"/>
        <v>6.8301807573891635E-2</v>
      </c>
      <c r="O22" s="281">
        <f t="shared" si="3"/>
        <v>0.46842823859021471</v>
      </c>
      <c r="P22" s="314">
        <f t="shared" si="4"/>
        <v>2534240.7634849837</v>
      </c>
      <c r="Q22" s="1053">
        <f t="shared" si="5"/>
        <v>0.77889100028972214</v>
      </c>
      <c r="R22" s="1047">
        <f t="shared" si="6"/>
        <v>4933184.0394349843</v>
      </c>
      <c r="S22" s="268">
        <f t="shared" si="7"/>
        <v>0.37876456927339908</v>
      </c>
      <c r="T22" s="366">
        <f t="shared" si="8"/>
        <v>2398943.2759500006</v>
      </c>
      <c r="U22" s="336">
        <f>-'OECD LPG subsidies'!C71</f>
        <v>0</v>
      </c>
      <c r="V22" s="342">
        <f t="shared" si="9"/>
        <v>0</v>
      </c>
      <c r="W22" s="111">
        <f t="shared" si="10"/>
        <v>2398943.2759500006</v>
      </c>
      <c r="X22" s="281">
        <f t="shared" si="11"/>
        <v>2.5976475049093724</v>
      </c>
      <c r="Y22" s="342">
        <f t="shared" si="12"/>
        <v>16452460.237094</v>
      </c>
      <c r="Z22" s="1"/>
    </row>
    <row r="23" spans="1:26" x14ac:dyDescent="0.6">
      <c r="A23" s="46">
        <f t="shared" si="13"/>
        <v>19</v>
      </c>
      <c r="B23" s="44" t="s">
        <v>17</v>
      </c>
      <c r="C23" s="290">
        <v>34</v>
      </c>
      <c r="D23" s="345">
        <f>C23*Assumptions!$C$30</f>
        <v>16564800</v>
      </c>
      <c r="E23" s="391">
        <f>Assumptions!$H$3</f>
        <v>1.1863330000000001</v>
      </c>
      <c r="F23" s="1178">
        <f t="shared" si="15"/>
        <v>487.2</v>
      </c>
      <c r="G23" s="297">
        <f>Assumptions!$C$115</f>
        <v>3.7854100000000002</v>
      </c>
      <c r="H23" s="422">
        <v>0.23799999999999999</v>
      </c>
      <c r="I23" s="301">
        <f t="shared" si="14"/>
        <v>1.0688001187641401</v>
      </c>
      <c r="J23" s="434">
        <v>182</v>
      </c>
      <c r="K23" s="286">
        <f t="shared" si="16"/>
        <v>0.44317037356321842</v>
      </c>
      <c r="L23" s="322">
        <v>0.2</v>
      </c>
      <c r="M23" s="329">
        <f t="shared" si="1"/>
        <v>0.21376002375282802</v>
      </c>
      <c r="N23" s="281">
        <f t="shared" si="2"/>
        <v>8.8634074712643687E-2</v>
      </c>
      <c r="O23" s="281">
        <f t="shared" si="3"/>
        <v>0.30239409846547172</v>
      </c>
      <c r="P23" s="314">
        <f t="shared" si="4"/>
        <v>3540892.0414608456</v>
      </c>
      <c r="Q23" s="1053">
        <f t="shared" si="5"/>
        <v>0.74556447202869014</v>
      </c>
      <c r="R23" s="1047">
        <f t="shared" si="6"/>
        <v>12350126.366260847</v>
      </c>
      <c r="S23" s="268">
        <f t="shared" si="7"/>
        <v>0.53180444827586215</v>
      </c>
      <c r="T23" s="366">
        <f t="shared" si="8"/>
        <v>8809234.3248000015</v>
      </c>
      <c r="U23" s="336">
        <f>-'OECD LPG subsidies'!C73</f>
        <v>0</v>
      </c>
      <c r="V23" s="342">
        <f t="shared" si="9"/>
        <v>0</v>
      </c>
      <c r="W23" s="111">
        <f t="shared" si="10"/>
        <v>8809234.3248000015</v>
      </c>
      <c r="X23" s="281">
        <f t="shared" si="11"/>
        <v>1.8143645907928301</v>
      </c>
      <c r="Y23" s="342">
        <f t="shared" si="12"/>
        <v>30054586.573565073</v>
      </c>
      <c r="Z23" s="1"/>
    </row>
    <row r="24" spans="1:26" x14ac:dyDescent="0.6">
      <c r="A24" s="46">
        <f t="shared" si="13"/>
        <v>20</v>
      </c>
      <c r="B24" s="44" t="s">
        <v>18</v>
      </c>
      <c r="C24" s="290">
        <v>0</v>
      </c>
      <c r="D24" s="345">
        <f>C24*Assumptions!$C$30</f>
        <v>0</v>
      </c>
      <c r="E24" s="391">
        <f>Assumptions!$H$3</f>
        <v>1.1863330000000001</v>
      </c>
      <c r="F24" s="1178">
        <f t="shared" si="15"/>
        <v>487.2</v>
      </c>
      <c r="G24" s="297">
        <f>Assumptions!$C$115</f>
        <v>3.7854100000000002</v>
      </c>
      <c r="H24" s="422"/>
      <c r="I24" s="1077">
        <f>IF(D24=0,0,Assumptions!$C$94+Assumptions!$C$34)</f>
        <v>0</v>
      </c>
      <c r="J24" s="427">
        <v>0</v>
      </c>
      <c r="K24" s="286">
        <f t="shared" si="16"/>
        <v>0</v>
      </c>
      <c r="L24" s="322">
        <v>0.24</v>
      </c>
      <c r="M24" s="329">
        <f t="shared" si="1"/>
        <v>0</v>
      </c>
      <c r="N24" s="281">
        <f t="shared" si="2"/>
        <v>0</v>
      </c>
      <c r="O24" s="281">
        <f t="shared" si="3"/>
        <v>0</v>
      </c>
      <c r="P24" s="314">
        <f t="shared" si="4"/>
        <v>0</v>
      </c>
      <c r="Q24" s="1053">
        <f t="shared" si="5"/>
        <v>0</v>
      </c>
      <c r="R24" s="1047">
        <f t="shared" si="6"/>
        <v>0</v>
      </c>
      <c r="S24" s="268">
        <f t="shared" si="7"/>
        <v>0</v>
      </c>
      <c r="T24" s="366">
        <f t="shared" si="8"/>
        <v>0</v>
      </c>
      <c r="U24" s="336">
        <f>-'OECD LPG subsidies'!C75</f>
        <v>0</v>
      </c>
      <c r="V24" s="342">
        <f t="shared" si="9"/>
        <v>0</v>
      </c>
      <c r="W24" s="111">
        <f t="shared" si="10"/>
        <v>0</v>
      </c>
      <c r="X24" s="281">
        <f t="shared" si="11"/>
        <v>0</v>
      </c>
      <c r="Y24" s="342">
        <f t="shared" si="12"/>
        <v>0</v>
      </c>
      <c r="Z24" s="1"/>
    </row>
    <row r="25" spans="1:26" x14ac:dyDescent="0.6">
      <c r="A25" s="46">
        <f t="shared" si="13"/>
        <v>21</v>
      </c>
      <c r="B25" s="44" t="s">
        <v>19</v>
      </c>
      <c r="C25" s="290">
        <v>0</v>
      </c>
      <c r="D25" s="345">
        <f>C25*Assumptions!$C$30</f>
        <v>0</v>
      </c>
      <c r="E25" s="391">
        <f>Assumptions!$H$19</f>
        <v>0.119739</v>
      </c>
      <c r="F25" s="1178">
        <f t="shared" si="15"/>
        <v>487.2</v>
      </c>
      <c r="G25" s="297">
        <f>Assumptions!$C$115</f>
        <v>3.7854100000000002</v>
      </c>
      <c r="H25" s="425"/>
      <c r="I25" s="1077">
        <f>IF(D25=0,0,Assumptions!$C$94+Assumptions!$C$34)</f>
        <v>0</v>
      </c>
      <c r="J25" s="1184">
        <v>3385</v>
      </c>
      <c r="K25" s="286">
        <f t="shared" si="16"/>
        <v>0.83193044950738915</v>
      </c>
      <c r="L25" s="322">
        <v>0.25</v>
      </c>
      <c r="M25" s="329">
        <f t="shared" si="1"/>
        <v>0</v>
      </c>
      <c r="N25" s="281">
        <f t="shared" si="2"/>
        <v>0.20798261237684729</v>
      </c>
      <c r="O25" s="281">
        <f t="shared" si="3"/>
        <v>0.20798261237684729</v>
      </c>
      <c r="P25" s="314">
        <f t="shared" si="4"/>
        <v>0</v>
      </c>
      <c r="Q25" s="1053">
        <f t="shared" si="5"/>
        <v>1.0399130618842365</v>
      </c>
      <c r="R25" s="1047">
        <f t="shared" si="6"/>
        <v>0</v>
      </c>
      <c r="S25" s="268">
        <f t="shared" si="7"/>
        <v>1.0399130618842365</v>
      </c>
      <c r="T25" s="366">
        <f t="shared" si="8"/>
        <v>0</v>
      </c>
      <c r="U25" s="336">
        <f>-'OECD LPG subsidies'!C77</f>
        <v>0</v>
      </c>
      <c r="V25" s="342">
        <f t="shared" si="9"/>
        <v>0</v>
      </c>
      <c r="W25" s="111">
        <f t="shared" si="10"/>
        <v>0</v>
      </c>
      <c r="X25" s="281">
        <f t="shared" si="11"/>
        <v>1.0399130618842365</v>
      </c>
      <c r="Y25" s="342">
        <f t="shared" si="12"/>
        <v>0</v>
      </c>
      <c r="Z25" s="1"/>
    </row>
    <row r="26" spans="1:26" ht="15.9" thickBot="1" x14ac:dyDescent="0.65">
      <c r="A26" s="15">
        <f t="shared" si="13"/>
        <v>22</v>
      </c>
      <c r="B26" s="47" t="s">
        <v>20</v>
      </c>
      <c r="C26" s="291">
        <v>82</v>
      </c>
      <c r="D26" s="347">
        <f>C26*Assumptions!$C$30</f>
        <v>39950400</v>
      </c>
      <c r="E26" s="419">
        <f>Assumptions!$H$20</f>
        <v>1.337591</v>
      </c>
      <c r="F26" s="1179">
        <f t="shared" si="15"/>
        <v>487.2</v>
      </c>
      <c r="G26" s="299">
        <f>Assumptions!$C$115</f>
        <v>3.7854100000000002</v>
      </c>
      <c r="H26" s="421"/>
      <c r="I26" s="1055">
        <f>IF(D26=0,0,Assumptions!$C$94+Assumptions!$C$34)</f>
        <v>2</v>
      </c>
      <c r="J26" s="433">
        <v>316.10000000000002</v>
      </c>
      <c r="K26" s="308">
        <f t="shared" si="16"/>
        <v>0.8678417797619048</v>
      </c>
      <c r="L26" s="359">
        <v>0.2</v>
      </c>
      <c r="M26" s="334">
        <f t="shared" si="1"/>
        <v>0.4</v>
      </c>
      <c r="N26" s="318">
        <f t="shared" si="2"/>
        <v>0.17356835595238096</v>
      </c>
      <c r="O26" s="318">
        <f t="shared" si="3"/>
        <v>0.57356835595238098</v>
      </c>
      <c r="P26" s="319">
        <f t="shared" si="4"/>
        <v>15980160</v>
      </c>
      <c r="Q26" s="1054">
        <f t="shared" si="5"/>
        <v>1.4414101357142859</v>
      </c>
      <c r="R26" s="1048">
        <f t="shared" si="6"/>
        <v>57584911.485840008</v>
      </c>
      <c r="S26" s="269">
        <f t="shared" si="7"/>
        <v>1.0414101357142858</v>
      </c>
      <c r="T26" s="368">
        <f t="shared" si="8"/>
        <v>41604751.48584</v>
      </c>
      <c r="U26" s="340">
        <f>-'OECD LPG subsidies'!C86</f>
        <v>0</v>
      </c>
      <c r="V26" s="344">
        <f t="shared" si="9"/>
        <v>0</v>
      </c>
      <c r="W26" s="163">
        <f t="shared" si="10"/>
        <v>41604751.48584</v>
      </c>
      <c r="X26" s="318">
        <f t="shared" si="11"/>
        <v>3.4414101357142854</v>
      </c>
      <c r="Y26" s="344">
        <f t="shared" si="12"/>
        <v>137485711.48583999</v>
      </c>
      <c r="Z26" s="1"/>
    </row>
    <row r="27" spans="1:26" ht="15.9" thickTop="1" x14ac:dyDescent="0.6">
      <c r="A27" s="48" t="s">
        <v>882</v>
      </c>
      <c r="B27" s="44"/>
      <c r="C27" s="290"/>
      <c r="D27" s="345"/>
      <c r="E27" s="399"/>
      <c r="F27" s="1178"/>
      <c r="G27" s="297"/>
      <c r="H27" s="383"/>
      <c r="I27" s="301"/>
      <c r="J27" s="393"/>
      <c r="K27" s="306">
        <f t="shared" si="0"/>
        <v>0</v>
      </c>
      <c r="L27" s="322"/>
      <c r="M27" s="329"/>
      <c r="N27" s="320"/>
      <c r="O27" s="320"/>
      <c r="P27" s="314"/>
      <c r="Q27" s="1053"/>
      <c r="R27" s="1047"/>
      <c r="S27" s="310"/>
      <c r="T27" s="366"/>
      <c r="U27" s="336"/>
      <c r="V27" s="342"/>
      <c r="W27" s="111"/>
      <c r="X27" s="320"/>
      <c r="Y27" s="342"/>
      <c r="Z27" s="1"/>
    </row>
    <row r="28" spans="1:26" x14ac:dyDescent="0.6">
      <c r="A28" s="61">
        <f>A26+1</f>
        <v>23</v>
      </c>
      <c r="B28" s="44" t="s">
        <v>38</v>
      </c>
      <c r="C28" s="290">
        <v>211</v>
      </c>
      <c r="D28" s="345">
        <f>C28*Assumptions!$C$30</f>
        <v>102799200</v>
      </c>
      <c r="E28" s="399">
        <f>Assumptions!$H$4</f>
        <v>0.78824099999999997</v>
      </c>
      <c r="F28" s="1178"/>
      <c r="G28" s="297">
        <f>Assumptions!$C$115</f>
        <v>3.7854100000000002</v>
      </c>
      <c r="H28" s="441">
        <v>0.61599999999999999</v>
      </c>
      <c r="I28" s="301">
        <f t="shared" si="14"/>
        <v>1.8380302641069599</v>
      </c>
      <c r="J28" s="447"/>
      <c r="K28" s="306">
        <f t="shared" si="0"/>
        <v>0</v>
      </c>
      <c r="L28" s="322">
        <v>9.0499999999999997E-2</v>
      </c>
      <c r="M28" s="329">
        <f t="shared" ref="M28:M34" si="17">L28*I28</f>
        <v>0.16634173890167986</v>
      </c>
      <c r="N28" s="320">
        <f t="shared" ref="N28:N34" si="18">L28*K28</f>
        <v>0</v>
      </c>
      <c r="O28" s="320">
        <f t="shared" ref="O28:O34" si="19">N28+M28</f>
        <v>0.16634173890167986</v>
      </c>
      <c r="P28" s="314">
        <f t="shared" ref="P28:P34" si="20">M28*D28</f>
        <v>17099797.685701568</v>
      </c>
      <c r="Q28" s="1053">
        <f t="shared" si="5"/>
        <v>0.16634173890167986</v>
      </c>
      <c r="R28" s="1047">
        <f t="shared" si="6"/>
        <v>17099797.685701568</v>
      </c>
      <c r="S28" s="310">
        <f t="shared" ref="S28:S34" si="21">N28+K28</f>
        <v>0</v>
      </c>
      <c r="T28" s="366">
        <f t="shared" ref="T28:T34" si="22">D28*S28</f>
        <v>0</v>
      </c>
      <c r="U28" s="336">
        <f>-'OECD LPG subsidies'!C88</f>
        <v>-773128</v>
      </c>
      <c r="V28" s="342">
        <f t="shared" ref="V28:V34" si="23">U28*E28</f>
        <v>-609411.18784799997</v>
      </c>
      <c r="W28" s="111">
        <f t="shared" ref="W28:W34" si="24">T28+V28</f>
        <v>-609411.18784799997</v>
      </c>
      <c r="X28" s="320">
        <f t="shared" ref="X28:X39" si="25">(I28+K28)*(1+L28)</f>
        <v>2.00437200300864</v>
      </c>
      <c r="Y28" s="342">
        <f t="shared" ref="Y28:Y34" si="26">X28*D28+V28</f>
        <v>205438427.22383779</v>
      </c>
      <c r="Z28" s="1"/>
    </row>
    <row r="29" spans="1:26" x14ac:dyDescent="0.6">
      <c r="A29" s="61">
        <f t="shared" ref="A29:A34" si="27">A28+1</f>
        <v>24</v>
      </c>
      <c r="B29" s="44" t="s">
        <v>39</v>
      </c>
      <c r="C29" s="290">
        <v>2</v>
      </c>
      <c r="D29" s="345">
        <f>C29*Assumptions!$C$30</f>
        <v>974400</v>
      </c>
      <c r="E29" s="399">
        <f>Assumptions!$H$5</f>
        <v>0.12035</v>
      </c>
      <c r="F29" s="1178"/>
      <c r="G29" s="297">
        <f>Assumptions!$C$115</f>
        <v>3.7854100000000002</v>
      </c>
      <c r="H29" s="442"/>
      <c r="I29" s="1077">
        <f>IF(D29=0,0,Assumptions!$C$94+Assumptions!$C$34)</f>
        <v>2</v>
      </c>
      <c r="J29" s="448"/>
      <c r="K29" s="306">
        <f t="shared" si="0"/>
        <v>0</v>
      </c>
      <c r="L29" s="322">
        <v>0.25</v>
      </c>
      <c r="M29" s="329">
        <f t="shared" si="17"/>
        <v>0.5</v>
      </c>
      <c r="N29" s="320">
        <f t="shared" si="18"/>
        <v>0</v>
      </c>
      <c r="O29" s="320">
        <f t="shared" si="19"/>
        <v>0.5</v>
      </c>
      <c r="P29" s="314">
        <f t="shared" si="20"/>
        <v>487200</v>
      </c>
      <c r="Q29" s="1053">
        <f t="shared" si="5"/>
        <v>0.5</v>
      </c>
      <c r="R29" s="1047">
        <f t="shared" si="6"/>
        <v>487200</v>
      </c>
      <c r="S29" s="310">
        <f t="shared" si="21"/>
        <v>0</v>
      </c>
      <c r="T29" s="366">
        <f t="shared" si="22"/>
        <v>0</v>
      </c>
      <c r="U29" s="336">
        <f>-'OECD LPG subsidies'!C97</f>
        <v>-13809934.5</v>
      </c>
      <c r="V29" s="342">
        <f t="shared" si="23"/>
        <v>-1662025.617075</v>
      </c>
      <c r="W29" s="111">
        <f t="shared" si="24"/>
        <v>-1662025.617075</v>
      </c>
      <c r="X29" s="320">
        <f t="shared" si="25"/>
        <v>2.5</v>
      </c>
      <c r="Y29" s="342">
        <f t="shared" si="26"/>
        <v>773974.38292500004</v>
      </c>
      <c r="Z29" s="1"/>
    </row>
    <row r="30" spans="1:26" x14ac:dyDescent="0.6">
      <c r="A30" s="61">
        <f t="shared" si="27"/>
        <v>25</v>
      </c>
      <c r="B30" s="44" t="s">
        <v>40</v>
      </c>
      <c r="C30" s="290">
        <v>2</v>
      </c>
      <c r="D30" s="345">
        <f>C30*Assumptions!$C$30</f>
        <v>974400</v>
      </c>
      <c r="E30" s="399">
        <f>Assumptions!$H$6</f>
        <v>1.010632</v>
      </c>
      <c r="F30" s="1178"/>
      <c r="G30" s="297">
        <f>Assumptions!$C$115</f>
        <v>3.7854100000000002</v>
      </c>
      <c r="H30" s="443"/>
      <c r="I30" s="1077">
        <f>IF(D30=0,0,Assumptions!$C$94+Assumptions!$C$34)</f>
        <v>2</v>
      </c>
      <c r="J30" s="449"/>
      <c r="K30" s="306">
        <f t="shared" si="0"/>
        <v>0</v>
      </c>
      <c r="L30" s="322">
        <v>0.08</v>
      </c>
      <c r="M30" s="329">
        <f t="shared" si="17"/>
        <v>0.16</v>
      </c>
      <c r="N30" s="320">
        <f t="shared" si="18"/>
        <v>0</v>
      </c>
      <c r="O30" s="320">
        <f t="shared" si="19"/>
        <v>0.16</v>
      </c>
      <c r="P30" s="314">
        <f t="shared" si="20"/>
        <v>155904</v>
      </c>
      <c r="Q30" s="1053">
        <f t="shared" si="5"/>
        <v>0.16</v>
      </c>
      <c r="R30" s="1047">
        <f t="shared" si="6"/>
        <v>155904</v>
      </c>
      <c r="S30" s="310">
        <f t="shared" si="21"/>
        <v>0</v>
      </c>
      <c r="T30" s="366">
        <f t="shared" si="22"/>
        <v>0</v>
      </c>
      <c r="U30" s="336">
        <f>-'OECD LPG subsidies'!C99</f>
        <v>0</v>
      </c>
      <c r="V30" s="342">
        <f t="shared" si="23"/>
        <v>0</v>
      </c>
      <c r="W30" s="111">
        <f t="shared" si="24"/>
        <v>0</v>
      </c>
      <c r="X30" s="320">
        <f t="shared" si="25"/>
        <v>2.16</v>
      </c>
      <c r="Y30" s="342">
        <f t="shared" si="26"/>
        <v>2104704</v>
      </c>
      <c r="Z30" s="1"/>
    </row>
    <row r="31" spans="1:26" x14ac:dyDescent="0.6">
      <c r="A31" s="46">
        <f t="shared" si="27"/>
        <v>26</v>
      </c>
      <c r="B31" s="44" t="s">
        <v>31</v>
      </c>
      <c r="C31" s="290">
        <v>925</v>
      </c>
      <c r="D31" s="345">
        <f>C31*Assumptions!$C$30</f>
        <v>450660000</v>
      </c>
      <c r="E31" s="399">
        <f>Assumptions!$H$7</f>
        <v>8.829E-3</v>
      </c>
      <c r="F31" s="1178"/>
      <c r="G31" s="297">
        <f>Assumptions!$C$115</f>
        <v>3.7854100000000002</v>
      </c>
      <c r="H31" s="484">
        <v>68.3</v>
      </c>
      <c r="I31" s="301">
        <f t="shared" ref="I31:I33" si="28">H31*E31*G31</f>
        <v>2.282680587987</v>
      </c>
      <c r="J31" s="469">
        <v>9.8000000000000007</v>
      </c>
      <c r="K31" s="306">
        <f t="shared" si="0"/>
        <v>0.32752957192200005</v>
      </c>
      <c r="L31" s="322">
        <v>0.08</v>
      </c>
      <c r="M31" s="329">
        <f t="shared" si="17"/>
        <v>0.18261444703896001</v>
      </c>
      <c r="N31" s="320">
        <f t="shared" si="18"/>
        <v>2.6202365753760004E-2</v>
      </c>
      <c r="O31" s="320">
        <f t="shared" si="19"/>
        <v>0.20881681279272002</v>
      </c>
      <c r="P31" s="314">
        <f t="shared" si="20"/>
        <v>82297026.702577725</v>
      </c>
      <c r="Q31" s="1053">
        <f t="shared" si="5"/>
        <v>0.53634638471472007</v>
      </c>
      <c r="R31" s="1047">
        <f t="shared" si="6"/>
        <v>241709861.73553574</v>
      </c>
      <c r="S31" s="310">
        <f t="shared" si="21"/>
        <v>0.35373193767576006</v>
      </c>
      <c r="T31" s="366">
        <f t="shared" si="22"/>
        <v>159412835.03295803</v>
      </c>
      <c r="U31" s="336">
        <f>-'OECD LPG subsidies'!C101</f>
        <v>-4606534476</v>
      </c>
      <c r="V31" s="342">
        <f t="shared" si="23"/>
        <v>-40671092.888604</v>
      </c>
      <c r="W31" s="111">
        <f t="shared" si="24"/>
        <v>118741742.14435403</v>
      </c>
      <c r="X31" s="320">
        <f t="shared" si="25"/>
        <v>2.8190269727017205</v>
      </c>
      <c r="Y31" s="342">
        <f t="shared" si="26"/>
        <v>1229751602.6291535</v>
      </c>
      <c r="Z31" s="1"/>
    </row>
    <row r="32" spans="1:26" x14ac:dyDescent="0.6">
      <c r="A32" s="46">
        <f t="shared" si="27"/>
        <v>27</v>
      </c>
      <c r="B32" s="44" t="s">
        <v>47</v>
      </c>
      <c r="C32" s="290">
        <v>3487</v>
      </c>
      <c r="D32" s="345">
        <f>C32*Assumptions!$C$30</f>
        <v>1698866400</v>
      </c>
      <c r="E32" s="399">
        <f>Assumptions!$H$8</f>
        <v>9.3000000000000005E-4</v>
      </c>
      <c r="F32" s="1178"/>
      <c r="G32" s="297">
        <f>Assumptions!$C$115</f>
        <v>3.7854100000000002</v>
      </c>
      <c r="H32" s="446">
        <v>507.21</v>
      </c>
      <c r="I32" s="301">
        <f t="shared" si="28"/>
        <v>1.7855979596730001</v>
      </c>
      <c r="J32" s="470">
        <v>221.06</v>
      </c>
      <c r="K32" s="306">
        <f t="shared" si="0"/>
        <v>0.77822654317800011</v>
      </c>
      <c r="L32" s="322">
        <v>0.1</v>
      </c>
      <c r="M32" s="329">
        <f t="shared" si="17"/>
        <v>0.17855979596730001</v>
      </c>
      <c r="N32" s="320">
        <f t="shared" si="18"/>
        <v>7.7822654317800014E-2</v>
      </c>
      <c r="O32" s="320">
        <f t="shared" si="19"/>
        <v>0.25638245028510004</v>
      </c>
      <c r="P32" s="314">
        <f t="shared" si="20"/>
        <v>303349237.75970149</v>
      </c>
      <c r="Q32" s="1053">
        <f t="shared" si="5"/>
        <v>1.0346089934631002</v>
      </c>
      <c r="R32" s="1047">
        <f t="shared" si="6"/>
        <v>1757662456.1322806</v>
      </c>
      <c r="S32" s="310">
        <f t="shared" si="21"/>
        <v>0.85604919749580011</v>
      </c>
      <c r="T32" s="366">
        <f t="shared" si="22"/>
        <v>1454313218.3725789</v>
      </c>
      <c r="U32" s="336">
        <f>-'OECD LPG subsidies'!C112</f>
        <v>0</v>
      </c>
      <c r="V32" s="342">
        <f t="shared" si="23"/>
        <v>0</v>
      </c>
      <c r="W32" s="111">
        <f t="shared" si="24"/>
        <v>1454313218.3725789</v>
      </c>
      <c r="X32" s="320">
        <f t="shared" si="25"/>
        <v>2.8202069531361005</v>
      </c>
      <c r="Y32" s="342">
        <f t="shared" si="26"/>
        <v>4791154833.7292957</v>
      </c>
      <c r="Z32" s="1"/>
    </row>
    <row r="33" spans="1:27" x14ac:dyDescent="0.6">
      <c r="A33" s="46">
        <f t="shared" si="27"/>
        <v>28</v>
      </c>
      <c r="B33" s="44" t="s">
        <v>32</v>
      </c>
      <c r="C33" s="290">
        <v>1038</v>
      </c>
      <c r="D33" s="345">
        <f>C33*Assumptions!$C$30</f>
        <v>505713600</v>
      </c>
      <c r="E33" s="399">
        <f>Assumptions!$H$9</f>
        <v>0.77382200000000001</v>
      </c>
      <c r="F33" s="1178"/>
      <c r="G33" s="297">
        <f>Assumptions!$C$115</f>
        <v>3.7854100000000002</v>
      </c>
      <c r="H33" s="389">
        <v>0.38800000000000001</v>
      </c>
      <c r="I33" s="301">
        <f t="shared" si="28"/>
        <v>1.1365426123637601</v>
      </c>
      <c r="J33" s="452">
        <v>0.128</v>
      </c>
      <c r="K33" s="306">
        <f t="shared" si="0"/>
        <v>0.37494189273856005</v>
      </c>
      <c r="L33" s="322">
        <v>0.1</v>
      </c>
      <c r="M33" s="329">
        <f t="shared" si="17"/>
        <v>0.11365426123637601</v>
      </c>
      <c r="N33" s="320">
        <f t="shared" si="18"/>
        <v>3.7494189273856005E-2</v>
      </c>
      <c r="O33" s="320">
        <f t="shared" si="19"/>
        <v>0.15114845051023201</v>
      </c>
      <c r="P33" s="314">
        <f t="shared" si="20"/>
        <v>57476505.605188161</v>
      </c>
      <c r="Q33" s="1053">
        <f t="shared" si="5"/>
        <v>0.526090343248792</v>
      </c>
      <c r="R33" s="1047">
        <f t="shared" si="6"/>
        <v>266051041.40958229</v>
      </c>
      <c r="S33" s="310">
        <f t="shared" si="21"/>
        <v>0.41243608201241605</v>
      </c>
      <c r="T33" s="366">
        <f t="shared" si="22"/>
        <v>208574535.80439416</v>
      </c>
      <c r="U33" s="336">
        <f>-'OECD LPG subsidies'!C117</f>
        <v>-57240495</v>
      </c>
      <c r="V33" s="342">
        <f t="shared" si="23"/>
        <v>-44293954.321890004</v>
      </c>
      <c r="W33" s="111">
        <f t="shared" si="24"/>
        <v>164280581.48250416</v>
      </c>
      <c r="X33" s="320">
        <f t="shared" si="25"/>
        <v>1.6626329556125523</v>
      </c>
      <c r="Y33" s="342">
        <f t="shared" si="26"/>
        <v>796522143.13957405</v>
      </c>
    </row>
    <row r="34" spans="1:27" ht="15.9" thickBot="1" x14ac:dyDescent="0.65">
      <c r="A34" s="15">
        <f t="shared" si="27"/>
        <v>29</v>
      </c>
      <c r="B34" s="47" t="s">
        <v>33</v>
      </c>
      <c r="C34" s="291">
        <v>7</v>
      </c>
      <c r="D34" s="347">
        <f>C34*Assumptions!$C$30</f>
        <v>3410400</v>
      </c>
      <c r="E34" s="417">
        <f>Assumptions!$H$10</f>
        <v>0.70460400000000001</v>
      </c>
      <c r="F34" s="1179"/>
      <c r="G34" s="299">
        <f>Assumptions!$C$115</f>
        <v>3.7854100000000002</v>
      </c>
      <c r="H34" s="445"/>
      <c r="I34" s="1055">
        <f>I33</f>
        <v>1.1365426123637601</v>
      </c>
      <c r="J34" s="453"/>
      <c r="K34" s="309">
        <f t="shared" si="0"/>
        <v>0</v>
      </c>
      <c r="L34" s="359">
        <v>0.15</v>
      </c>
      <c r="M34" s="334">
        <f t="shared" si="17"/>
        <v>0.17048139185456401</v>
      </c>
      <c r="N34" s="321">
        <f t="shared" si="18"/>
        <v>0</v>
      </c>
      <c r="O34" s="321">
        <f t="shared" si="19"/>
        <v>0.17048139185456401</v>
      </c>
      <c r="P34" s="319">
        <f t="shared" si="20"/>
        <v>581409.73878080514</v>
      </c>
      <c r="Q34" s="1054">
        <f t="shared" si="5"/>
        <v>0.17048139185456401</v>
      </c>
      <c r="R34" s="1048">
        <f t="shared" si="6"/>
        <v>581409.73878080514</v>
      </c>
      <c r="S34" s="312">
        <f t="shared" si="21"/>
        <v>0</v>
      </c>
      <c r="T34" s="368">
        <f t="shared" si="22"/>
        <v>0</v>
      </c>
      <c r="U34" s="340">
        <f>-'OECD LPG subsidies'!C123</f>
        <v>0</v>
      </c>
      <c r="V34" s="344">
        <f t="shared" si="23"/>
        <v>0</v>
      </c>
      <c r="W34" s="163">
        <f t="shared" si="24"/>
        <v>0</v>
      </c>
      <c r="X34" s="321">
        <f t="shared" si="25"/>
        <v>1.3070240042183241</v>
      </c>
      <c r="Y34" s="344">
        <f t="shared" si="26"/>
        <v>4457474.6639861725</v>
      </c>
    </row>
    <row r="35" spans="1:27" ht="15.9" thickTop="1" x14ac:dyDescent="0.6">
      <c r="A35" s="49" t="s">
        <v>883</v>
      </c>
      <c r="B35" s="50"/>
      <c r="C35" s="290"/>
      <c r="D35" s="345"/>
      <c r="E35" s="391"/>
      <c r="F35" s="1178"/>
      <c r="G35" s="297"/>
      <c r="H35" s="295"/>
      <c r="I35" s="304"/>
      <c r="J35" s="393"/>
      <c r="K35" s="306"/>
      <c r="L35" s="322"/>
      <c r="M35" s="329"/>
      <c r="N35" s="320"/>
      <c r="O35" s="320"/>
      <c r="P35" s="314"/>
      <c r="Q35" s="1053"/>
      <c r="R35" s="1047"/>
      <c r="S35" s="310"/>
      <c r="T35" s="366"/>
      <c r="U35" s="336"/>
      <c r="V35" s="342"/>
      <c r="W35" s="111"/>
      <c r="X35" s="320"/>
      <c r="Y35" s="342"/>
    </row>
    <row r="36" spans="1:27" x14ac:dyDescent="0.6">
      <c r="A36" s="72">
        <f>A34+1</f>
        <v>30</v>
      </c>
      <c r="B36" s="50" t="s">
        <v>46</v>
      </c>
      <c r="C36" s="290">
        <v>1000</v>
      </c>
      <c r="D36" s="348">
        <f>C36*Assumptions!$C$30</f>
        <v>487200000</v>
      </c>
      <c r="E36" s="399">
        <f>Assumptions!$H$11</f>
        <v>0.152529</v>
      </c>
      <c r="F36" s="1178"/>
      <c r="G36" s="297">
        <f>Assumptions!$C$115</f>
        <v>3.7854100000000002</v>
      </c>
      <c r="H36" s="295"/>
      <c r="I36" s="1163">
        <f>IF(D36=0,0,Assumptions!$C$94+Assumptions!$C$34)</f>
        <v>2</v>
      </c>
      <c r="J36" s="1058">
        <v>1.2</v>
      </c>
      <c r="K36" s="306">
        <f>J36*G36*E36</f>
        <v>0.692861762268</v>
      </c>
      <c r="L36" s="322">
        <v>0.17</v>
      </c>
      <c r="M36" s="329">
        <f t="shared" ref="M36:M39" si="29">L36*I36</f>
        <v>0.34</v>
      </c>
      <c r="N36" s="320">
        <f t="shared" ref="N36:N39" si="30">L36*K36</f>
        <v>0.11778649958556001</v>
      </c>
      <c r="O36" s="320">
        <f t="shared" ref="O36:O39" si="31">N36+M36</f>
        <v>0.45778649958556006</v>
      </c>
      <c r="P36" s="314">
        <f t="shared" ref="P36:P39" si="32">M36*D36</f>
        <v>165648000</v>
      </c>
      <c r="Q36" s="1053">
        <f t="shared" si="5"/>
        <v>1.1506482618535601</v>
      </c>
      <c r="R36" s="1047">
        <f t="shared" si="6"/>
        <v>560595833.17505443</v>
      </c>
      <c r="S36" s="310">
        <f t="shared" ref="S36:S39" si="33">N36+K36</f>
        <v>0.81064826185355998</v>
      </c>
      <c r="T36" s="366">
        <f t="shared" ref="T36:T39" si="34">D36*S36</f>
        <v>394947833.17505443</v>
      </c>
      <c r="U36" s="336">
        <f>-'OECD LPG subsidies'!C125</f>
        <v>0</v>
      </c>
      <c r="V36" s="342">
        <f>U36*E36</f>
        <v>0</v>
      </c>
      <c r="W36" s="111">
        <f>T36+V36</f>
        <v>394947833.17505443</v>
      </c>
      <c r="X36" s="320">
        <f t="shared" si="25"/>
        <v>3.1506482618535596</v>
      </c>
      <c r="Y36" s="342">
        <f>X36*D36+V36</f>
        <v>1534995833.1750543</v>
      </c>
    </row>
    <row r="37" spans="1:27" x14ac:dyDescent="0.6">
      <c r="A37" s="46">
        <f>A36+1</f>
        <v>31</v>
      </c>
      <c r="B37" s="50" t="s">
        <v>49</v>
      </c>
      <c r="C37" s="290">
        <v>172</v>
      </c>
      <c r="D37" s="348">
        <f>C37*Assumptions!$C$30</f>
        <v>83798400</v>
      </c>
      <c r="E37" s="399">
        <f>Assumptions!$H$12</f>
        <v>1.5587E-2</v>
      </c>
      <c r="F37" s="1178"/>
      <c r="G37" s="297">
        <f>Assumptions!$C$115</f>
        <v>3.7854100000000002</v>
      </c>
      <c r="H37" s="1057"/>
      <c r="I37" s="1163">
        <f>IF(D37=0,0,Assumptions!$C$94+Assumptions!$C$34)</f>
        <v>2</v>
      </c>
      <c r="J37" s="1056"/>
      <c r="K37" s="306">
        <f>J37*G37*E37</f>
        <v>0</v>
      </c>
      <c r="L37" s="322">
        <v>0.25</v>
      </c>
      <c r="M37" s="329">
        <f t="shared" si="29"/>
        <v>0.5</v>
      </c>
      <c r="N37" s="320">
        <f t="shared" si="30"/>
        <v>0</v>
      </c>
      <c r="O37" s="320">
        <f t="shared" si="31"/>
        <v>0.5</v>
      </c>
      <c r="P37" s="314">
        <f t="shared" si="32"/>
        <v>41899200</v>
      </c>
      <c r="Q37" s="1053">
        <f t="shared" si="5"/>
        <v>0.5</v>
      </c>
      <c r="R37" s="1047">
        <f t="shared" si="6"/>
        <v>41899200</v>
      </c>
      <c r="S37" s="310">
        <f t="shared" si="33"/>
        <v>0</v>
      </c>
      <c r="T37" s="366">
        <f t="shared" si="34"/>
        <v>0</v>
      </c>
      <c r="U37" s="336">
        <f>-'OECD LPG subsidies'!C129</f>
        <v>-11036475000</v>
      </c>
      <c r="V37" s="342">
        <f>U37*E37</f>
        <v>-172025535.82499999</v>
      </c>
      <c r="W37" s="111">
        <f>T37+V37</f>
        <v>-172025535.82499999</v>
      </c>
      <c r="X37" s="320">
        <f t="shared" si="25"/>
        <v>2.5</v>
      </c>
      <c r="Y37" s="342">
        <f>X37*D37+V37</f>
        <v>37470464.175000012</v>
      </c>
    </row>
    <row r="38" spans="1:27" x14ac:dyDescent="0.6">
      <c r="A38" s="46">
        <f>A37+1</f>
        <v>32</v>
      </c>
      <c r="B38" s="44" t="s">
        <v>50</v>
      </c>
      <c r="C38" s="290">
        <v>0</v>
      </c>
      <c r="D38" s="348">
        <f>C38*Assumptions!$C$30</f>
        <v>0</v>
      </c>
      <c r="E38" s="399">
        <f>Assumptions!$H$13</f>
        <v>0.30204900000000001</v>
      </c>
      <c r="F38" s="1178"/>
      <c r="G38" s="297">
        <f>Assumptions!$C$115</f>
        <v>3.7854100000000002</v>
      </c>
      <c r="H38" s="1045"/>
      <c r="I38" s="1077">
        <f>IF(D38=0,0,Assumptions!$C$94+Assumptions!$C$34)</f>
        <v>0</v>
      </c>
      <c r="J38" s="1044"/>
      <c r="K38" s="306">
        <f>J38*G38*E38</f>
        <v>0</v>
      </c>
      <c r="L38" s="322">
        <v>0.19</v>
      </c>
      <c r="M38" s="329">
        <f t="shared" si="29"/>
        <v>0</v>
      </c>
      <c r="N38" s="320">
        <f t="shared" si="30"/>
        <v>0</v>
      </c>
      <c r="O38" s="320">
        <f t="shared" si="31"/>
        <v>0</v>
      </c>
      <c r="P38" s="314">
        <f t="shared" si="32"/>
        <v>0</v>
      </c>
      <c r="Q38" s="1053">
        <f t="shared" si="5"/>
        <v>0</v>
      </c>
      <c r="R38" s="1047">
        <f t="shared" si="6"/>
        <v>0</v>
      </c>
      <c r="S38" s="310">
        <f t="shared" si="33"/>
        <v>0</v>
      </c>
      <c r="T38" s="366">
        <f t="shared" si="34"/>
        <v>0</v>
      </c>
      <c r="U38" s="336">
        <f>-'OECD LPG subsidies'!C135</f>
        <v>0</v>
      </c>
      <c r="V38" s="342">
        <f>U38*E38</f>
        <v>0</v>
      </c>
      <c r="W38" s="111">
        <f t="shared" ref="W38" si="35">T38+V38</f>
        <v>0</v>
      </c>
      <c r="X38" s="320">
        <f t="shared" si="25"/>
        <v>0</v>
      </c>
      <c r="Y38" s="342">
        <f>X38*D38+V38</f>
        <v>0</v>
      </c>
    </row>
    <row r="39" spans="1:27" ht="15.9" thickBot="1" x14ac:dyDescent="0.65">
      <c r="A39" s="15">
        <f>A38+1</f>
        <v>33</v>
      </c>
      <c r="B39" s="47" t="s">
        <v>51</v>
      </c>
      <c r="C39" s="291">
        <v>409</v>
      </c>
      <c r="D39" s="349">
        <f>C39*Assumptions!$C$30</f>
        <v>199264800</v>
      </c>
      <c r="E39" s="417">
        <f>Assumptions!$H$14</f>
        <v>1.7344999999999999E-2</v>
      </c>
      <c r="F39" s="1179"/>
      <c r="G39" s="299">
        <f>Assumptions!$C$115</f>
        <v>3.7854100000000002</v>
      </c>
      <c r="H39" s="296"/>
      <c r="I39" s="1055">
        <f>IF(D39=0,0,Assumptions!$C$94+Assumptions!$C$34)</f>
        <v>2</v>
      </c>
      <c r="J39" s="1076"/>
      <c r="K39" s="309">
        <f>J39*G39/E39/1000</f>
        <v>0</v>
      </c>
      <c r="L39" s="359">
        <v>0.18</v>
      </c>
      <c r="M39" s="334">
        <f t="shared" si="29"/>
        <v>0.36</v>
      </c>
      <c r="N39" s="321">
        <f t="shared" si="30"/>
        <v>0</v>
      </c>
      <c r="O39" s="321">
        <f t="shared" si="31"/>
        <v>0.36</v>
      </c>
      <c r="P39" s="319">
        <f t="shared" si="32"/>
        <v>71735328</v>
      </c>
      <c r="Q39" s="1054">
        <f t="shared" si="5"/>
        <v>0.36</v>
      </c>
      <c r="R39" s="1048">
        <f t="shared" si="6"/>
        <v>71735328</v>
      </c>
      <c r="S39" s="312">
        <f t="shared" si="33"/>
        <v>0</v>
      </c>
      <c r="T39" s="368">
        <f t="shared" si="34"/>
        <v>0</v>
      </c>
      <c r="U39" s="340">
        <f>-'OECD LPG subsidies'!C137</f>
        <v>0</v>
      </c>
      <c r="V39" s="344">
        <f>U39*E39</f>
        <v>0</v>
      </c>
      <c r="W39" s="163">
        <f>T39+V39</f>
        <v>0</v>
      </c>
      <c r="X39" s="321">
        <f t="shared" si="25"/>
        <v>2.36</v>
      </c>
      <c r="Y39" s="344">
        <f>X39*D39+V39</f>
        <v>470264928</v>
      </c>
    </row>
    <row r="40" spans="1:27" ht="15.9" thickTop="1" x14ac:dyDescent="0.6">
      <c r="A40" s="48" t="s">
        <v>52</v>
      </c>
      <c r="B40" s="44"/>
      <c r="C40" s="290"/>
      <c r="D40" s="348"/>
      <c r="E40" s="391"/>
      <c r="F40" s="1178"/>
      <c r="G40" s="390"/>
      <c r="H40" s="293"/>
      <c r="I40" s="301"/>
      <c r="J40" s="393"/>
      <c r="K40" s="394"/>
      <c r="L40" s="322"/>
      <c r="M40" s="329"/>
      <c r="N40" s="320"/>
      <c r="O40" s="320"/>
      <c r="P40" s="314"/>
      <c r="Q40" s="1046"/>
      <c r="R40" s="1047"/>
      <c r="S40" s="395"/>
      <c r="T40" s="396"/>
      <c r="U40" s="542"/>
      <c r="V40" s="543"/>
      <c r="W40" s="573"/>
      <c r="X40" s="571"/>
      <c r="Y40" s="548"/>
      <c r="AA40" s="55"/>
    </row>
    <row r="41" spans="1:27" x14ac:dyDescent="0.6">
      <c r="A41" s="61">
        <f>A39+1</f>
        <v>34</v>
      </c>
      <c r="B41" s="44" t="s">
        <v>48</v>
      </c>
      <c r="C41" s="290">
        <v>1105</v>
      </c>
      <c r="D41" s="348">
        <f>C41*Assumptions!$C$30</f>
        <v>538356000</v>
      </c>
      <c r="E41" s="399"/>
      <c r="F41" s="1178"/>
      <c r="G41" s="390">
        <f>Assumptions!$C$115</f>
        <v>3.7854100000000002</v>
      </c>
      <c r="H41" s="1128"/>
      <c r="I41" s="1163">
        <f>IF(D41=0,0,Assumptions!$C$94+Assumptions!$C$34)</f>
        <v>2</v>
      </c>
      <c r="J41" s="382"/>
      <c r="K41" s="394"/>
      <c r="L41" s="322"/>
      <c r="M41" s="329"/>
      <c r="N41" s="320"/>
      <c r="O41" s="320"/>
      <c r="P41" s="314"/>
      <c r="Q41" s="1046"/>
      <c r="R41" s="1047"/>
      <c r="S41" s="395"/>
      <c r="T41" s="396"/>
      <c r="U41" s="336"/>
      <c r="V41" s="342"/>
      <c r="W41" s="574"/>
      <c r="X41" s="1043">
        <f>I41</f>
        <v>2</v>
      </c>
      <c r="Y41" s="342">
        <f t="shared" ref="Y41:Y65" si="36">X41*D41</f>
        <v>1076712000</v>
      </c>
    </row>
    <row r="42" spans="1:27" x14ac:dyDescent="0.6">
      <c r="A42" s="46">
        <f>A41+1</f>
        <v>35</v>
      </c>
      <c r="B42" s="44" t="s">
        <v>53</v>
      </c>
      <c r="C42" s="290">
        <v>291</v>
      </c>
      <c r="D42" s="348">
        <f>C42*Assumptions!$C$30</f>
        <v>141775200</v>
      </c>
      <c r="E42" s="391"/>
      <c r="F42" s="1178"/>
      <c r="G42" s="390">
        <f>Assumptions!$C$115</f>
        <v>3.7854100000000002</v>
      </c>
      <c r="H42" s="1128"/>
      <c r="I42" s="1163">
        <f>IF(D42=0,0,Assumptions!$C$94+Assumptions!$C$34)</f>
        <v>2</v>
      </c>
      <c r="J42" s="382"/>
      <c r="K42" s="394"/>
      <c r="L42" s="322"/>
      <c r="M42" s="329"/>
      <c r="N42" s="320"/>
      <c r="O42" s="320"/>
      <c r="P42" s="314"/>
      <c r="Q42" s="1046"/>
      <c r="R42" s="1047"/>
      <c r="S42" s="395"/>
      <c r="T42" s="394"/>
      <c r="U42" s="336"/>
      <c r="V42" s="342"/>
      <c r="W42" s="574"/>
      <c r="X42" s="363">
        <f>0.08*G42</f>
        <v>0.30283280000000001</v>
      </c>
      <c r="Y42" s="342">
        <f t="shared" si="36"/>
        <v>42934180.786559999</v>
      </c>
    </row>
    <row r="43" spans="1:27" x14ac:dyDescent="0.6">
      <c r="A43" s="46">
        <f t="shared" ref="A43:A65" si="37">A42+1</f>
        <v>36</v>
      </c>
      <c r="B43" s="44" t="s">
        <v>54</v>
      </c>
      <c r="C43" s="290">
        <v>0</v>
      </c>
      <c r="D43" s="348">
        <f>C43*Assumptions!$C$30</f>
        <v>0</v>
      </c>
      <c r="E43" s="391"/>
      <c r="F43" s="1178"/>
      <c r="G43" s="390">
        <f>Assumptions!$C$115</f>
        <v>3.7854100000000002</v>
      </c>
      <c r="H43" s="1128"/>
      <c r="I43" s="1163">
        <f>IF(D43=0,0,Assumptions!$C$94+Assumptions!$C$34)</f>
        <v>0</v>
      </c>
      <c r="J43" s="382"/>
      <c r="K43" s="394"/>
      <c r="L43" s="322"/>
      <c r="M43" s="329"/>
      <c r="N43" s="320"/>
      <c r="O43" s="320"/>
      <c r="P43" s="314"/>
      <c r="Q43" s="1046"/>
      <c r="R43" s="1047"/>
      <c r="S43" s="395"/>
      <c r="T43" s="396"/>
      <c r="U43" s="336"/>
      <c r="V43" s="342"/>
      <c r="W43" s="574"/>
      <c r="X43" s="363">
        <f>0.6*G43</f>
        <v>2.2712460000000001</v>
      </c>
      <c r="Y43" s="342">
        <f t="shared" si="36"/>
        <v>0</v>
      </c>
    </row>
    <row r="44" spans="1:27" s="85" customFormat="1" x14ac:dyDescent="0.6">
      <c r="A44" s="61">
        <f t="shared" si="37"/>
        <v>37</v>
      </c>
      <c r="B44" s="86" t="s">
        <v>55</v>
      </c>
      <c r="C44" s="290">
        <v>21</v>
      </c>
      <c r="D44" s="348">
        <f>C44*Assumptions!$C$30</f>
        <v>10231200</v>
      </c>
      <c r="E44" s="1005"/>
      <c r="F44" s="1180"/>
      <c r="G44" s="1006">
        <f>Assumptions!$C$115</f>
        <v>3.7854100000000002</v>
      </c>
      <c r="H44" s="1128"/>
      <c r="I44" s="1163">
        <f>IF(D44=0,0,Assumptions!$C$94+Assumptions!$C$34)</f>
        <v>2</v>
      </c>
      <c r="J44" s="393"/>
      <c r="K44" s="394"/>
      <c r="L44" s="322"/>
      <c r="M44" s="329"/>
      <c r="N44" s="320"/>
      <c r="O44" s="320"/>
      <c r="P44" s="314"/>
      <c r="Q44" s="1046"/>
      <c r="R44" s="1047"/>
      <c r="S44" s="395"/>
      <c r="T44" s="396"/>
      <c r="U44" s="1007"/>
      <c r="V44" s="847"/>
      <c r="W44" s="1008"/>
      <c r="X44" s="363">
        <f>0.23*G44</f>
        <v>0.87064430000000004</v>
      </c>
      <c r="Y44" s="847">
        <f t="shared" si="36"/>
        <v>8907735.9621600006</v>
      </c>
      <c r="Z44" s="506"/>
    </row>
    <row r="45" spans="1:27" s="85" customFormat="1" x14ac:dyDescent="0.6">
      <c r="A45" s="61">
        <f t="shared" si="37"/>
        <v>38</v>
      </c>
      <c r="B45" s="86" t="s">
        <v>56</v>
      </c>
      <c r="C45" s="290">
        <v>0</v>
      </c>
      <c r="D45" s="348">
        <f>C45*Assumptions!$C$30</f>
        <v>0</v>
      </c>
      <c r="E45" s="1005"/>
      <c r="F45" s="1180"/>
      <c r="G45" s="1006">
        <f>Assumptions!$C$115</f>
        <v>3.7854100000000002</v>
      </c>
      <c r="H45" s="1128"/>
      <c r="I45" s="1163">
        <f>IF(D45=0,0,Assumptions!$C$94+Assumptions!$C$34)</f>
        <v>0</v>
      </c>
      <c r="J45" s="393"/>
      <c r="K45" s="394"/>
      <c r="L45" s="322"/>
      <c r="M45" s="329"/>
      <c r="N45" s="320"/>
      <c r="O45" s="320"/>
      <c r="P45" s="314"/>
      <c r="Q45" s="1046"/>
      <c r="R45" s="1047"/>
      <c r="S45" s="395"/>
      <c r="T45" s="396"/>
      <c r="U45" s="1007"/>
      <c r="V45" s="847"/>
      <c r="W45" s="1008"/>
      <c r="X45" s="1043">
        <f t="shared" ref="X45:X65" si="38">I45</f>
        <v>0</v>
      </c>
      <c r="Y45" s="847">
        <f t="shared" si="36"/>
        <v>0</v>
      </c>
      <c r="Z45" s="506"/>
    </row>
    <row r="46" spans="1:27" x14ac:dyDescent="0.6">
      <c r="A46" s="46">
        <f t="shared" si="37"/>
        <v>39</v>
      </c>
      <c r="B46" s="44" t="s">
        <v>57</v>
      </c>
      <c r="C46" s="290">
        <v>0</v>
      </c>
      <c r="D46" s="348">
        <f>C46*Assumptions!$C$30</f>
        <v>0</v>
      </c>
      <c r="E46" s="391"/>
      <c r="F46" s="1178"/>
      <c r="G46" s="390">
        <f>Assumptions!$C$115</f>
        <v>3.7854100000000002</v>
      </c>
      <c r="H46" s="1128"/>
      <c r="I46" s="1163">
        <f>IF(D46=0,0,Assumptions!$C$94+Assumptions!$C$34)</f>
        <v>0</v>
      </c>
      <c r="J46" s="382"/>
      <c r="K46" s="400"/>
      <c r="L46" s="323"/>
      <c r="M46" s="329"/>
      <c r="N46" s="324"/>
      <c r="O46" s="324"/>
      <c r="P46" s="314"/>
      <c r="Q46" s="1046"/>
      <c r="R46" s="1047"/>
      <c r="S46" s="401"/>
      <c r="T46" s="396"/>
      <c r="U46" s="336"/>
      <c r="V46" s="342"/>
      <c r="W46" s="574"/>
      <c r="X46" s="1043">
        <f t="shared" si="38"/>
        <v>0</v>
      </c>
      <c r="Y46" s="342">
        <f t="shared" si="36"/>
        <v>0</v>
      </c>
    </row>
    <row r="47" spans="1:27" x14ac:dyDescent="0.6">
      <c r="A47" s="46">
        <f t="shared" si="37"/>
        <v>40</v>
      </c>
      <c r="B47" s="44" t="s">
        <v>58</v>
      </c>
      <c r="C47" s="290">
        <v>7</v>
      </c>
      <c r="D47" s="348">
        <f>C47*Assumptions!$C$30</f>
        <v>3410400</v>
      </c>
      <c r="E47" s="391"/>
      <c r="F47" s="1178"/>
      <c r="G47" s="390">
        <f>Assumptions!$C$115</f>
        <v>3.7854100000000002</v>
      </c>
      <c r="H47" s="1128"/>
      <c r="I47" s="1163">
        <f>IF(D47=0,0,Assumptions!$C$94+Assumptions!$C$34)</f>
        <v>2</v>
      </c>
      <c r="J47" s="382"/>
      <c r="K47" s="392"/>
      <c r="L47" s="325"/>
      <c r="M47" s="329"/>
      <c r="N47" s="281"/>
      <c r="O47" s="281"/>
      <c r="P47" s="314"/>
      <c r="Q47" s="1046"/>
      <c r="R47" s="1047"/>
      <c r="S47" s="402"/>
      <c r="T47" s="403"/>
      <c r="U47" s="336"/>
      <c r="V47" s="342"/>
      <c r="W47" s="574"/>
      <c r="X47" s="1043">
        <f t="shared" si="38"/>
        <v>2</v>
      </c>
      <c r="Y47" s="342">
        <f t="shared" si="36"/>
        <v>6820800</v>
      </c>
    </row>
    <row r="48" spans="1:27" x14ac:dyDescent="0.6">
      <c r="A48" s="46">
        <f t="shared" si="37"/>
        <v>41</v>
      </c>
      <c r="B48" s="44" t="s">
        <v>59</v>
      </c>
      <c r="C48" s="290">
        <v>0</v>
      </c>
      <c r="D48" s="348">
        <f>C48*Assumptions!$C$30</f>
        <v>0</v>
      </c>
      <c r="E48" s="391"/>
      <c r="F48" s="1178"/>
      <c r="G48" s="390">
        <f>Assumptions!$C$115</f>
        <v>3.7854100000000002</v>
      </c>
      <c r="H48" s="1128"/>
      <c r="I48" s="1163">
        <f>IF(D48=0,0,Assumptions!$C$94+Assumptions!$C$34)</f>
        <v>0</v>
      </c>
      <c r="J48" s="382"/>
      <c r="K48" s="392"/>
      <c r="L48" s="325"/>
      <c r="M48" s="329"/>
      <c r="N48" s="281"/>
      <c r="O48" s="281"/>
      <c r="P48" s="314"/>
      <c r="Q48" s="1046"/>
      <c r="R48" s="1047"/>
      <c r="S48" s="402"/>
      <c r="T48" s="396"/>
      <c r="U48" s="336"/>
      <c r="V48" s="342"/>
      <c r="W48" s="574"/>
      <c r="X48" s="1043">
        <f t="shared" si="38"/>
        <v>0</v>
      </c>
      <c r="Y48" s="342">
        <f t="shared" si="36"/>
        <v>0</v>
      </c>
    </row>
    <row r="49" spans="1:26" x14ac:dyDescent="0.6">
      <c r="A49" s="46">
        <f t="shared" si="37"/>
        <v>42</v>
      </c>
      <c r="B49" s="44" t="s">
        <v>60</v>
      </c>
      <c r="C49" s="290">
        <v>0</v>
      </c>
      <c r="D49" s="348">
        <f>C49*Assumptions!$C$30</f>
        <v>0</v>
      </c>
      <c r="E49" s="391"/>
      <c r="F49" s="1178"/>
      <c r="G49" s="390">
        <f>Assumptions!$C$115</f>
        <v>3.7854100000000002</v>
      </c>
      <c r="H49" s="1128"/>
      <c r="I49" s="1163">
        <f>IF(D49=0,0,Assumptions!$C$94+Assumptions!$C$34)</f>
        <v>0</v>
      </c>
      <c r="J49" s="382"/>
      <c r="K49" s="392"/>
      <c r="L49" s="325"/>
      <c r="M49" s="329"/>
      <c r="N49" s="281"/>
      <c r="O49" s="281"/>
      <c r="P49" s="314"/>
      <c r="Q49" s="1046"/>
      <c r="R49" s="1047"/>
      <c r="S49" s="402"/>
      <c r="T49" s="396"/>
      <c r="U49" s="336"/>
      <c r="V49" s="342"/>
      <c r="W49" s="574"/>
      <c r="X49" s="1043">
        <f t="shared" si="38"/>
        <v>0</v>
      </c>
      <c r="Y49" s="342">
        <f t="shared" si="36"/>
        <v>0</v>
      </c>
    </row>
    <row r="50" spans="1:26" s="85" customFormat="1" x14ac:dyDescent="0.6">
      <c r="A50" s="61">
        <f t="shared" si="37"/>
        <v>43</v>
      </c>
      <c r="B50" s="86" t="s">
        <v>61</v>
      </c>
      <c r="C50" s="290">
        <v>0</v>
      </c>
      <c r="D50" s="348">
        <f>C50*Assumptions!$C$30</f>
        <v>0</v>
      </c>
      <c r="E50" s="1009"/>
      <c r="F50" s="1181"/>
      <c r="G50" s="1006">
        <f>Assumptions!$C$115</f>
        <v>3.7854100000000002</v>
      </c>
      <c r="H50" s="1128"/>
      <c r="I50" s="1163">
        <f>IF(D50=0,0,Assumptions!$C$94+Assumptions!$C$34)</f>
        <v>0</v>
      </c>
      <c r="J50" s="393"/>
      <c r="K50" s="394"/>
      <c r="L50" s="322"/>
      <c r="M50" s="329"/>
      <c r="N50" s="320"/>
      <c r="O50" s="320"/>
      <c r="P50" s="314"/>
      <c r="Q50" s="1046"/>
      <c r="R50" s="1047"/>
      <c r="S50" s="395"/>
      <c r="T50" s="396"/>
      <c r="U50" s="1007"/>
      <c r="V50" s="847"/>
      <c r="W50" s="1008"/>
      <c r="X50" s="1043">
        <f t="shared" si="38"/>
        <v>0</v>
      </c>
      <c r="Y50" s="847">
        <f t="shared" si="36"/>
        <v>0</v>
      </c>
      <c r="Z50" s="506"/>
    </row>
    <row r="51" spans="1:26" s="85" customFormat="1" x14ac:dyDescent="0.6">
      <c r="A51" s="61">
        <f t="shared" si="37"/>
        <v>44</v>
      </c>
      <c r="B51" s="86" t="s">
        <v>62</v>
      </c>
      <c r="C51" s="290">
        <v>0</v>
      </c>
      <c r="D51" s="348">
        <f>C51*Assumptions!$C$30</f>
        <v>0</v>
      </c>
      <c r="E51" s="1005"/>
      <c r="F51" s="1180"/>
      <c r="G51" s="1006">
        <f>Assumptions!$C$115</f>
        <v>3.7854100000000002</v>
      </c>
      <c r="H51" s="1128"/>
      <c r="I51" s="1163">
        <f>IF(D51=0,0,Assumptions!$C$94+Assumptions!$C$34)</f>
        <v>0</v>
      </c>
      <c r="J51" s="393"/>
      <c r="K51" s="394"/>
      <c r="L51" s="322"/>
      <c r="M51" s="329"/>
      <c r="N51" s="320"/>
      <c r="O51" s="320"/>
      <c r="P51" s="314"/>
      <c r="Q51" s="1046"/>
      <c r="R51" s="1047"/>
      <c r="S51" s="395"/>
      <c r="T51" s="396"/>
      <c r="U51" s="1007"/>
      <c r="V51" s="847"/>
      <c r="W51" s="1008"/>
      <c r="X51" s="1043">
        <f t="shared" si="38"/>
        <v>0</v>
      </c>
      <c r="Y51" s="847">
        <f t="shared" si="36"/>
        <v>0</v>
      </c>
      <c r="Z51" s="506"/>
    </row>
    <row r="52" spans="1:26" s="85" customFormat="1" x14ac:dyDescent="0.6">
      <c r="A52" s="61">
        <f t="shared" si="37"/>
        <v>45</v>
      </c>
      <c r="B52" s="86" t="s">
        <v>63</v>
      </c>
      <c r="C52" s="290">
        <v>23</v>
      </c>
      <c r="D52" s="348">
        <f>C52*Assumptions!$C$30</f>
        <v>11205600</v>
      </c>
      <c r="E52" s="1005"/>
      <c r="F52" s="1180"/>
      <c r="G52" s="1006">
        <f>Assumptions!$C$115</f>
        <v>3.7854100000000002</v>
      </c>
      <c r="H52" s="1128"/>
      <c r="I52" s="1163">
        <f>IF(D52=0,0,Assumptions!$C$94+Assumptions!$C$34)</f>
        <v>2</v>
      </c>
      <c r="J52" s="393"/>
      <c r="K52" s="394"/>
      <c r="L52" s="322"/>
      <c r="M52" s="329"/>
      <c r="N52" s="320"/>
      <c r="O52" s="320"/>
      <c r="P52" s="314"/>
      <c r="Q52" s="1046"/>
      <c r="R52" s="1047"/>
      <c r="S52" s="395"/>
      <c r="T52" s="396"/>
      <c r="U52" s="1007"/>
      <c r="V52" s="847"/>
      <c r="W52" s="1008"/>
      <c r="X52" s="1043">
        <f t="shared" si="38"/>
        <v>2</v>
      </c>
      <c r="Y52" s="847">
        <f t="shared" si="36"/>
        <v>22411200</v>
      </c>
      <c r="Z52" s="70"/>
    </row>
    <row r="53" spans="1:26" s="85" customFormat="1" x14ac:dyDescent="0.6">
      <c r="A53" s="61">
        <f t="shared" si="37"/>
        <v>46</v>
      </c>
      <c r="B53" s="86" t="s">
        <v>64</v>
      </c>
      <c r="C53" s="290">
        <v>6</v>
      </c>
      <c r="D53" s="348">
        <f>C53*Assumptions!$C$30</f>
        <v>2923200</v>
      </c>
      <c r="E53" s="1005"/>
      <c r="F53" s="1180"/>
      <c r="G53" s="1006">
        <f>Assumptions!$C$115</f>
        <v>3.7854100000000002</v>
      </c>
      <c r="H53" s="1128"/>
      <c r="I53" s="1163">
        <f>IF(D53=0,0,Assumptions!$C$94+Assumptions!$C$34)</f>
        <v>2</v>
      </c>
      <c r="J53" s="393"/>
      <c r="K53" s="394"/>
      <c r="L53" s="322"/>
      <c r="M53" s="329"/>
      <c r="N53" s="320"/>
      <c r="O53" s="320"/>
      <c r="P53" s="314"/>
      <c r="Q53" s="1046"/>
      <c r="R53" s="1047"/>
      <c r="S53" s="395"/>
      <c r="T53" s="396"/>
      <c r="U53" s="1007"/>
      <c r="V53" s="847"/>
      <c r="W53" s="1008"/>
      <c r="X53" s="1043">
        <f t="shared" si="38"/>
        <v>2</v>
      </c>
      <c r="Y53" s="847">
        <f t="shared" si="36"/>
        <v>5846400</v>
      </c>
      <c r="Z53" s="506"/>
    </row>
    <row r="54" spans="1:26" s="85" customFormat="1" x14ac:dyDescent="0.6">
      <c r="A54" s="61">
        <f t="shared" si="37"/>
        <v>47</v>
      </c>
      <c r="B54" s="86" t="s">
        <v>65</v>
      </c>
      <c r="C54" s="290">
        <v>0</v>
      </c>
      <c r="D54" s="348">
        <f>C54*Assumptions!$C$30</f>
        <v>0</v>
      </c>
      <c r="E54" s="1005"/>
      <c r="F54" s="1180"/>
      <c r="G54" s="1006">
        <f>Assumptions!$C$115</f>
        <v>3.7854100000000002</v>
      </c>
      <c r="H54" s="1128"/>
      <c r="I54" s="1163">
        <f>IF(D54=0,0,Assumptions!$C$94+Assumptions!$C$34)</f>
        <v>0</v>
      </c>
      <c r="J54" s="393"/>
      <c r="K54" s="394"/>
      <c r="L54" s="322"/>
      <c r="M54" s="329"/>
      <c r="N54" s="320"/>
      <c r="O54" s="320"/>
      <c r="P54" s="314"/>
      <c r="Q54" s="1046"/>
      <c r="R54" s="1047"/>
      <c r="S54" s="395"/>
      <c r="T54" s="396"/>
      <c r="U54" s="1007"/>
      <c r="V54" s="1010"/>
      <c r="W54" s="1011"/>
      <c r="X54" s="1043">
        <f t="shared" si="38"/>
        <v>0</v>
      </c>
      <c r="Y54" s="847">
        <f t="shared" si="36"/>
        <v>0</v>
      </c>
      <c r="Z54" s="70"/>
    </row>
    <row r="55" spans="1:26" s="85" customFormat="1" x14ac:dyDescent="0.6">
      <c r="A55" s="61">
        <f t="shared" si="37"/>
        <v>48</v>
      </c>
      <c r="B55" s="86" t="s">
        <v>66</v>
      </c>
      <c r="C55" s="290">
        <v>0</v>
      </c>
      <c r="D55" s="348">
        <f>C55*Assumptions!$C$30</f>
        <v>0</v>
      </c>
      <c r="E55" s="1005"/>
      <c r="F55" s="1180"/>
      <c r="G55" s="1006">
        <f>Assumptions!$C$115</f>
        <v>3.7854100000000002</v>
      </c>
      <c r="H55" s="1128"/>
      <c r="I55" s="1163">
        <f>IF(D55=0,0,Assumptions!$C$94+Assumptions!$C$34)</f>
        <v>0</v>
      </c>
      <c r="J55" s="393"/>
      <c r="K55" s="394"/>
      <c r="L55" s="322"/>
      <c r="M55" s="329"/>
      <c r="N55" s="320"/>
      <c r="O55" s="320"/>
      <c r="P55" s="314"/>
      <c r="Q55" s="1046"/>
      <c r="R55" s="1047"/>
      <c r="S55" s="395"/>
      <c r="T55" s="396"/>
      <c r="U55" s="1007"/>
      <c r="V55" s="1010"/>
      <c r="W55" s="1011"/>
      <c r="X55" s="1043">
        <f t="shared" si="38"/>
        <v>0</v>
      </c>
      <c r="Y55" s="847">
        <f t="shared" si="36"/>
        <v>0</v>
      </c>
      <c r="Z55" s="506"/>
    </row>
    <row r="56" spans="1:26" s="85" customFormat="1" x14ac:dyDescent="0.6">
      <c r="A56" s="61">
        <f t="shared" si="37"/>
        <v>49</v>
      </c>
      <c r="B56" s="86" t="s">
        <v>67</v>
      </c>
      <c r="C56" s="290">
        <v>0</v>
      </c>
      <c r="D56" s="348">
        <f>C56*Assumptions!$C$30</f>
        <v>0</v>
      </c>
      <c r="E56" s="1005"/>
      <c r="F56" s="1180"/>
      <c r="G56" s="1006">
        <f>Assumptions!$C$115</f>
        <v>3.7854100000000002</v>
      </c>
      <c r="H56" s="1128"/>
      <c r="I56" s="1163">
        <f>IF(D56=0,0,Assumptions!$C$94+Assumptions!$C$34)</f>
        <v>0</v>
      </c>
      <c r="J56" s="393"/>
      <c r="K56" s="394"/>
      <c r="L56" s="322"/>
      <c r="M56" s="329"/>
      <c r="N56" s="320"/>
      <c r="O56" s="320"/>
      <c r="P56" s="314"/>
      <c r="Q56" s="1046"/>
      <c r="R56" s="1047"/>
      <c r="S56" s="395"/>
      <c r="T56" s="396"/>
      <c r="U56" s="1007"/>
      <c r="V56" s="1010"/>
      <c r="W56" s="1011"/>
      <c r="X56" s="1043">
        <f t="shared" si="38"/>
        <v>0</v>
      </c>
      <c r="Y56" s="847">
        <f t="shared" si="36"/>
        <v>0</v>
      </c>
      <c r="Z56" s="506"/>
    </row>
    <row r="57" spans="1:26" s="85" customFormat="1" x14ac:dyDescent="0.6">
      <c r="A57" s="61">
        <f t="shared" si="37"/>
        <v>50</v>
      </c>
      <c r="B57" s="86" t="s">
        <v>68</v>
      </c>
      <c r="C57" s="290">
        <v>0</v>
      </c>
      <c r="D57" s="348">
        <f>C57*Assumptions!$C$30</f>
        <v>0</v>
      </c>
      <c r="E57" s="1005"/>
      <c r="F57" s="1180"/>
      <c r="G57" s="1006">
        <f>Assumptions!$C$115</f>
        <v>3.7854100000000002</v>
      </c>
      <c r="H57" s="1128"/>
      <c r="I57" s="1163">
        <f>IF(D57=0,0,Assumptions!$C$94+Assumptions!$C$34)</f>
        <v>0</v>
      </c>
      <c r="J57" s="393"/>
      <c r="K57" s="394"/>
      <c r="L57" s="322"/>
      <c r="M57" s="329"/>
      <c r="N57" s="320"/>
      <c r="O57" s="320"/>
      <c r="P57" s="314"/>
      <c r="Q57" s="1046"/>
      <c r="R57" s="1047"/>
      <c r="S57" s="395"/>
      <c r="T57" s="396"/>
      <c r="U57" s="1007"/>
      <c r="V57" s="1010"/>
      <c r="W57" s="1011"/>
      <c r="X57" s="1043">
        <f t="shared" si="38"/>
        <v>0</v>
      </c>
      <c r="Y57" s="847">
        <f t="shared" si="36"/>
        <v>0</v>
      </c>
      <c r="Z57" s="506"/>
    </row>
    <row r="58" spans="1:26" s="85" customFormat="1" x14ac:dyDescent="0.6">
      <c r="A58" s="61">
        <f t="shared" si="37"/>
        <v>51</v>
      </c>
      <c r="B58" s="86" t="s">
        <v>695</v>
      </c>
      <c r="C58" s="290">
        <v>0</v>
      </c>
      <c r="D58" s="348">
        <f>C58*Assumptions!$C$30</f>
        <v>0</v>
      </c>
      <c r="E58" s="1005"/>
      <c r="F58" s="1180"/>
      <c r="G58" s="1006">
        <f>Assumptions!$C$115</f>
        <v>3.7854100000000002</v>
      </c>
      <c r="H58" s="1128"/>
      <c r="I58" s="1163">
        <f>IF(D58=0,0,Assumptions!$C$94+Assumptions!$C$34)</f>
        <v>0</v>
      </c>
      <c r="J58" s="393"/>
      <c r="K58" s="394"/>
      <c r="L58" s="322"/>
      <c r="M58" s="329"/>
      <c r="N58" s="320"/>
      <c r="O58" s="320"/>
      <c r="P58" s="314"/>
      <c r="Q58" s="1046"/>
      <c r="R58" s="1047"/>
      <c r="S58" s="395"/>
      <c r="T58" s="396"/>
      <c r="U58" s="1007"/>
      <c r="V58" s="1010"/>
      <c r="W58" s="1011"/>
      <c r="X58" s="1043">
        <f t="shared" si="38"/>
        <v>0</v>
      </c>
      <c r="Y58" s="847">
        <f t="shared" si="36"/>
        <v>0</v>
      </c>
      <c r="Z58" s="506"/>
    </row>
    <row r="59" spans="1:26" s="85" customFormat="1" x14ac:dyDescent="0.6">
      <c r="A59" s="61">
        <f t="shared" si="37"/>
        <v>52</v>
      </c>
      <c r="B59" s="86" t="s">
        <v>69</v>
      </c>
      <c r="C59" s="290">
        <v>0</v>
      </c>
      <c r="D59" s="348">
        <f>C59*Assumptions!$C$30</f>
        <v>0</v>
      </c>
      <c r="E59" s="1005"/>
      <c r="F59" s="1180"/>
      <c r="G59" s="1006">
        <f>Assumptions!$C$115</f>
        <v>3.7854100000000002</v>
      </c>
      <c r="H59" s="1128"/>
      <c r="I59" s="1163">
        <f>IF(D59=0,0,Assumptions!$C$94+Assumptions!$C$34)</f>
        <v>0</v>
      </c>
      <c r="J59" s="393"/>
      <c r="K59" s="394"/>
      <c r="L59" s="322"/>
      <c r="M59" s="329"/>
      <c r="N59" s="320"/>
      <c r="O59" s="320"/>
      <c r="P59" s="314"/>
      <c r="Q59" s="1046"/>
      <c r="R59" s="1047"/>
      <c r="S59" s="395"/>
      <c r="T59" s="396"/>
      <c r="U59" s="1007"/>
      <c r="V59" s="1010"/>
      <c r="W59" s="1011"/>
      <c r="X59" s="1043">
        <f t="shared" si="38"/>
        <v>0</v>
      </c>
      <c r="Y59" s="847">
        <f t="shared" si="36"/>
        <v>0</v>
      </c>
      <c r="Z59" s="70"/>
    </row>
    <row r="60" spans="1:26" s="85" customFormat="1" x14ac:dyDescent="0.6">
      <c r="A60" s="61">
        <f t="shared" si="37"/>
        <v>53</v>
      </c>
      <c r="B60" s="86" t="s">
        <v>70</v>
      </c>
      <c r="C60" s="290">
        <v>0</v>
      </c>
      <c r="D60" s="348">
        <f>C60*Assumptions!$C$30</f>
        <v>0</v>
      </c>
      <c r="E60" s="1005"/>
      <c r="F60" s="1180"/>
      <c r="G60" s="1006">
        <f>Assumptions!$C$115</f>
        <v>3.7854100000000002</v>
      </c>
      <c r="H60" s="1128"/>
      <c r="I60" s="1163">
        <f>IF(D60=0,0,Assumptions!$C$94+Assumptions!$C$34)</f>
        <v>0</v>
      </c>
      <c r="J60" s="393"/>
      <c r="K60" s="394"/>
      <c r="L60" s="322"/>
      <c r="M60" s="329"/>
      <c r="N60" s="320"/>
      <c r="O60" s="320"/>
      <c r="P60" s="314"/>
      <c r="Q60" s="1046"/>
      <c r="R60" s="1047"/>
      <c r="S60" s="395"/>
      <c r="T60" s="396"/>
      <c r="U60" s="1007"/>
      <c r="V60" s="1010"/>
      <c r="W60" s="1011"/>
      <c r="X60" s="1043">
        <f t="shared" si="38"/>
        <v>0</v>
      </c>
      <c r="Y60" s="847">
        <f t="shared" si="36"/>
        <v>0</v>
      </c>
      <c r="Z60" s="70"/>
    </row>
    <row r="61" spans="1:26" s="85" customFormat="1" x14ac:dyDescent="0.6">
      <c r="A61" s="61">
        <f t="shared" si="37"/>
        <v>54</v>
      </c>
      <c r="B61" s="86" t="s">
        <v>71</v>
      </c>
      <c r="C61" s="290">
        <v>0</v>
      </c>
      <c r="D61" s="348">
        <f>C61*Assumptions!$C$30</f>
        <v>0</v>
      </c>
      <c r="E61" s="1005"/>
      <c r="F61" s="1180"/>
      <c r="G61" s="1006">
        <f>Assumptions!$C$115</f>
        <v>3.7854100000000002</v>
      </c>
      <c r="H61" s="1128"/>
      <c r="I61" s="1163">
        <f>IF(D61=0,0,Assumptions!$C$94+Assumptions!$C$34)</f>
        <v>0</v>
      </c>
      <c r="J61" s="393"/>
      <c r="K61" s="394"/>
      <c r="L61" s="322"/>
      <c r="M61" s="329"/>
      <c r="N61" s="320"/>
      <c r="O61" s="320"/>
      <c r="P61" s="314"/>
      <c r="Q61" s="1046"/>
      <c r="R61" s="1047"/>
      <c r="S61" s="395"/>
      <c r="T61" s="396"/>
      <c r="U61" s="1007"/>
      <c r="V61" s="1010"/>
      <c r="W61" s="1011"/>
      <c r="X61" s="1043">
        <f t="shared" si="38"/>
        <v>0</v>
      </c>
      <c r="Y61" s="847">
        <f t="shared" si="36"/>
        <v>0</v>
      </c>
      <c r="Z61" s="506"/>
    </row>
    <row r="62" spans="1:26" s="85" customFormat="1" x14ac:dyDescent="0.6">
      <c r="A62" s="61">
        <f t="shared" si="37"/>
        <v>55</v>
      </c>
      <c r="B62" s="86" t="s">
        <v>72</v>
      </c>
      <c r="C62" s="290">
        <v>0</v>
      </c>
      <c r="D62" s="348">
        <f>C62*Assumptions!$C$30</f>
        <v>0</v>
      </c>
      <c r="E62" s="1005"/>
      <c r="F62" s="1180"/>
      <c r="G62" s="1006">
        <f>Assumptions!$C$115</f>
        <v>3.7854100000000002</v>
      </c>
      <c r="H62" s="1128"/>
      <c r="I62" s="1163">
        <f>IF(D62=0,0,Assumptions!$C$94+Assumptions!$C$34)</f>
        <v>0</v>
      </c>
      <c r="J62" s="393"/>
      <c r="K62" s="394"/>
      <c r="L62" s="322"/>
      <c r="M62" s="329"/>
      <c r="N62" s="320"/>
      <c r="O62" s="320"/>
      <c r="P62" s="314"/>
      <c r="Q62" s="1046"/>
      <c r="R62" s="1047"/>
      <c r="S62" s="395"/>
      <c r="T62" s="396"/>
      <c r="U62" s="1007"/>
      <c r="V62" s="1010"/>
      <c r="W62" s="1011"/>
      <c r="X62" s="1043">
        <f t="shared" si="38"/>
        <v>0</v>
      </c>
      <c r="Y62" s="847">
        <f t="shared" si="36"/>
        <v>0</v>
      </c>
      <c r="Z62" s="506"/>
    </row>
    <row r="63" spans="1:26" s="85" customFormat="1" x14ac:dyDescent="0.6">
      <c r="A63" s="61">
        <f t="shared" si="37"/>
        <v>56</v>
      </c>
      <c r="B63" s="86" t="s">
        <v>73</v>
      </c>
      <c r="C63" s="290">
        <v>0</v>
      </c>
      <c r="D63" s="348">
        <f>C63*Assumptions!$C$30</f>
        <v>0</v>
      </c>
      <c r="E63" s="1005"/>
      <c r="F63" s="1180"/>
      <c r="G63" s="1006">
        <f>Assumptions!$C$115</f>
        <v>3.7854100000000002</v>
      </c>
      <c r="H63" s="1128"/>
      <c r="I63" s="1163">
        <f>IF(D63=0,0,Assumptions!$C$94+Assumptions!$C$34)</f>
        <v>0</v>
      </c>
      <c r="J63" s="393"/>
      <c r="K63" s="394"/>
      <c r="L63" s="322"/>
      <c r="M63" s="329"/>
      <c r="N63" s="320"/>
      <c r="O63" s="320"/>
      <c r="P63" s="314"/>
      <c r="Q63" s="1046"/>
      <c r="R63" s="1047"/>
      <c r="S63" s="395"/>
      <c r="T63" s="396"/>
      <c r="U63" s="1007"/>
      <c r="V63" s="1010"/>
      <c r="W63" s="1011"/>
      <c r="X63" s="1043">
        <f t="shared" si="38"/>
        <v>0</v>
      </c>
      <c r="Y63" s="847">
        <f t="shared" si="36"/>
        <v>0</v>
      </c>
      <c r="Z63" s="70"/>
    </row>
    <row r="64" spans="1:26" s="85" customFormat="1" x14ac:dyDescent="0.6">
      <c r="A64" s="61">
        <f t="shared" si="37"/>
        <v>57</v>
      </c>
      <c r="B64" s="86" t="s">
        <v>74</v>
      </c>
      <c r="C64" s="290">
        <v>6</v>
      </c>
      <c r="D64" s="348">
        <f>C64*Assumptions!$C$30</f>
        <v>2923200</v>
      </c>
      <c r="E64" s="1005"/>
      <c r="F64" s="1180"/>
      <c r="G64" s="1006">
        <f>Assumptions!$C$115</f>
        <v>3.7854100000000002</v>
      </c>
      <c r="H64" s="1128"/>
      <c r="I64" s="1163">
        <f>IF(D64=0,0,Assumptions!$C$94+Assumptions!$C$34)</f>
        <v>2</v>
      </c>
      <c r="J64" s="393"/>
      <c r="K64" s="394"/>
      <c r="L64" s="322"/>
      <c r="M64" s="329"/>
      <c r="N64" s="320"/>
      <c r="O64" s="320"/>
      <c r="P64" s="314"/>
      <c r="Q64" s="1046"/>
      <c r="R64" s="1047"/>
      <c r="S64" s="395"/>
      <c r="T64" s="396"/>
      <c r="U64" s="1007"/>
      <c r="V64" s="1010"/>
      <c r="W64" s="1011"/>
      <c r="X64" s="1043">
        <f t="shared" si="38"/>
        <v>2</v>
      </c>
      <c r="Y64" s="847">
        <f t="shared" si="36"/>
        <v>5846400</v>
      </c>
      <c r="Z64" s="506"/>
    </row>
    <row r="65" spans="1:26" s="85" customFormat="1" x14ac:dyDescent="0.6">
      <c r="A65" s="63">
        <f t="shared" si="37"/>
        <v>58</v>
      </c>
      <c r="B65" s="90" t="s">
        <v>75</v>
      </c>
      <c r="C65" s="292">
        <v>0</v>
      </c>
      <c r="D65" s="350">
        <f>C65*Assumptions!$C$30</f>
        <v>0</v>
      </c>
      <c r="E65" s="1012"/>
      <c r="F65" s="1182"/>
      <c r="G65" s="1013">
        <f>Assumptions!$C$115</f>
        <v>3.7854100000000002</v>
      </c>
      <c r="H65" s="1129"/>
      <c r="I65" s="1164">
        <f>IF(D65=0,0,Assumptions!$C$94+Assumptions!$C$34)</f>
        <v>0</v>
      </c>
      <c r="J65" s="819"/>
      <c r="K65" s="858"/>
      <c r="L65" s="967"/>
      <c r="M65" s="335"/>
      <c r="N65" s="1014"/>
      <c r="O65" s="1014"/>
      <c r="P65" s="328"/>
      <c r="Q65" s="1049"/>
      <c r="R65" s="1050"/>
      <c r="S65" s="1015"/>
      <c r="T65" s="409"/>
      <c r="U65" s="1016"/>
      <c r="V65" s="1017"/>
      <c r="W65" s="1018"/>
      <c r="X65" s="1172">
        <f t="shared" si="38"/>
        <v>0</v>
      </c>
      <c r="Y65" s="1019">
        <f t="shared" si="36"/>
        <v>0</v>
      </c>
      <c r="Z65" s="506"/>
    </row>
    <row r="66" spans="1:26" x14ac:dyDescent="0.6">
      <c r="B66" s="1" t="s">
        <v>42</v>
      </c>
      <c r="C66" s="13">
        <f>SUM(C4:C65)</f>
        <v>14757</v>
      </c>
      <c r="D66" s="13">
        <f>SUM(D4:D65)</f>
        <v>7189610400</v>
      </c>
      <c r="E66" s="398"/>
      <c r="F66" s="1183"/>
      <c r="G66" s="410"/>
      <c r="H66" s="83"/>
      <c r="I66" s="278"/>
      <c r="J66" s="411"/>
      <c r="K66" s="278"/>
      <c r="L66" s="412"/>
      <c r="M66" s="413"/>
      <c r="N66" s="278"/>
      <c r="O66" s="278"/>
      <c r="P66" s="414"/>
      <c r="Q66" s="414"/>
      <c r="R66" s="414"/>
      <c r="S66" s="278"/>
      <c r="T66" s="415"/>
      <c r="U66" s="397"/>
      <c r="V66" s="83"/>
      <c r="W66" s="1"/>
    </row>
    <row r="67" spans="1:26" x14ac:dyDescent="0.6">
      <c r="B67" s="1" t="s">
        <v>357</v>
      </c>
      <c r="C67" s="13">
        <v>23153</v>
      </c>
      <c r="D67" s="13">
        <f>C67*Assumptions!$C$30</f>
        <v>11280141600</v>
      </c>
      <c r="E67" s="398"/>
      <c r="F67" s="1183"/>
      <c r="G67" s="410"/>
      <c r="H67" s="83"/>
      <c r="I67" s="278"/>
      <c r="J67" s="411"/>
      <c r="K67" s="278"/>
      <c r="L67" s="412"/>
      <c r="M67" s="413"/>
      <c r="N67" s="278"/>
      <c r="O67" s="278"/>
      <c r="P67" s="414"/>
      <c r="Q67" s="414"/>
      <c r="R67" s="414"/>
      <c r="S67" s="278"/>
      <c r="T67" s="415"/>
      <c r="U67" s="397"/>
      <c r="V67" s="83"/>
      <c r="W67" s="1"/>
    </row>
    <row r="68" spans="1:26" x14ac:dyDescent="0.6">
      <c r="C68" s="28"/>
      <c r="D68" s="28">
        <f>D66/D67</f>
        <v>0.63736880749794844</v>
      </c>
      <c r="E68" s="398"/>
      <c r="F68" s="1183"/>
      <c r="G68" s="410"/>
      <c r="H68" s="83"/>
      <c r="I68" s="278"/>
      <c r="J68" s="411"/>
      <c r="K68" s="278"/>
      <c r="L68" s="412"/>
      <c r="M68" s="413"/>
      <c r="N68" s="278"/>
      <c r="O68" s="278"/>
      <c r="P68" s="414"/>
      <c r="Q68" s="414"/>
      <c r="R68" s="414"/>
      <c r="S68" s="278"/>
      <c r="T68" s="415"/>
      <c r="U68" s="397"/>
      <c r="V68" s="83"/>
      <c r="W68" s="1"/>
    </row>
    <row r="69" spans="1:26" x14ac:dyDescent="0.6">
      <c r="A69" s="1"/>
      <c r="D69" s="1"/>
      <c r="E69" s="398"/>
      <c r="F69" s="1183"/>
      <c r="G69" s="83"/>
      <c r="H69" s="83"/>
      <c r="I69" s="278"/>
      <c r="J69" s="83"/>
      <c r="K69" s="83"/>
      <c r="L69" s="412"/>
      <c r="M69" s="413"/>
      <c r="N69" s="83"/>
      <c r="O69" s="83"/>
      <c r="P69" s="414"/>
      <c r="Q69" s="414"/>
      <c r="R69" s="414"/>
      <c r="S69" s="83"/>
      <c r="T69" s="416"/>
      <c r="U69" s="397"/>
      <c r="V69" s="83"/>
      <c r="W69" s="1"/>
    </row>
    <row r="70" spans="1:26" x14ac:dyDescent="0.6">
      <c r="D70" s="239"/>
      <c r="E70" s="398"/>
      <c r="F70" s="1183"/>
      <c r="G70" s="410"/>
      <c r="H70" s="83"/>
      <c r="I70" s="278"/>
      <c r="J70" s="411"/>
      <c r="K70" s="278"/>
      <c r="L70" s="412"/>
      <c r="M70" s="413"/>
      <c r="N70" s="278"/>
      <c r="O70" s="278"/>
      <c r="P70" s="414"/>
      <c r="Q70" s="414"/>
      <c r="R70" s="414"/>
      <c r="S70" s="278"/>
      <c r="T70" s="415"/>
      <c r="U70" s="397"/>
      <c r="V70" s="276"/>
    </row>
    <row r="71" spans="1:26" x14ac:dyDescent="0.6">
      <c r="E71" s="398"/>
      <c r="F71" s="1183"/>
      <c r="G71" s="410"/>
      <c r="H71" s="83"/>
      <c r="I71" s="278"/>
      <c r="J71" s="411"/>
      <c r="K71" s="278"/>
      <c r="L71" s="412"/>
      <c r="M71" s="413"/>
      <c r="N71" s="278"/>
      <c r="O71" s="278"/>
      <c r="P71" s="414"/>
      <c r="Q71" s="414"/>
      <c r="R71" s="414"/>
      <c r="S71" s="278"/>
      <c r="T71" s="415"/>
      <c r="U71" s="397"/>
      <c r="V71" s="276"/>
    </row>
    <row r="72" spans="1:26" x14ac:dyDescent="0.6">
      <c r="E72" s="398"/>
      <c r="F72" s="1183"/>
      <c r="G72" s="410"/>
      <c r="H72" s="83"/>
      <c r="I72" s="278"/>
      <c r="J72" s="411"/>
      <c r="K72" s="278"/>
      <c r="L72" s="412"/>
      <c r="M72" s="413"/>
      <c r="N72" s="278"/>
      <c r="O72" s="278"/>
      <c r="P72" s="414"/>
      <c r="Q72" s="414"/>
      <c r="R72" s="414"/>
      <c r="S72" s="278"/>
      <c r="T72" s="415"/>
      <c r="U72" s="397"/>
      <c r="V72" s="276"/>
    </row>
    <row r="73" spans="1:26" x14ac:dyDescent="0.6">
      <c r="E73" s="398"/>
      <c r="F73" s="1183"/>
      <c r="G73" s="410"/>
      <c r="H73" s="83"/>
      <c r="I73" s="278"/>
      <c r="J73" s="411"/>
      <c r="K73" s="278"/>
      <c r="L73" s="412"/>
      <c r="M73" s="413"/>
      <c r="N73" s="278"/>
      <c r="O73" s="278"/>
      <c r="P73" s="414"/>
      <c r="Q73" s="414"/>
      <c r="R73" s="414"/>
      <c r="S73" s="278"/>
      <c r="T73" s="415"/>
      <c r="U73" s="397"/>
      <c r="V73" s="276"/>
    </row>
    <row r="74" spans="1:26" x14ac:dyDescent="0.6">
      <c r="E74" s="398"/>
      <c r="F74" s="1183"/>
      <c r="G74" s="410"/>
      <c r="H74" s="83"/>
      <c r="I74" s="278"/>
      <c r="J74" s="411"/>
      <c r="K74" s="278"/>
      <c r="L74" s="412"/>
      <c r="M74" s="413"/>
      <c r="N74" s="278"/>
      <c r="O74" s="278"/>
      <c r="P74" s="414"/>
      <c r="Q74" s="414"/>
      <c r="R74" s="414"/>
      <c r="S74" s="278"/>
      <c r="T74" s="415"/>
      <c r="U74" s="397"/>
      <c r="V74" s="276"/>
    </row>
    <row r="75" spans="1:26" x14ac:dyDescent="0.6">
      <c r="E75" s="398"/>
      <c r="F75" s="1183"/>
      <c r="G75" s="410"/>
      <c r="H75" s="83"/>
      <c r="I75" s="278"/>
      <c r="J75" s="411"/>
      <c r="K75" s="278"/>
      <c r="L75" s="412"/>
      <c r="M75" s="413"/>
      <c r="N75" s="278"/>
      <c r="O75" s="278"/>
      <c r="P75" s="414"/>
      <c r="Q75" s="414"/>
      <c r="R75" s="414"/>
      <c r="S75" s="278"/>
      <c r="T75" s="415"/>
      <c r="U75" s="397"/>
      <c r="V75" s="276"/>
    </row>
    <row r="76" spans="1:26" x14ac:dyDescent="0.6">
      <c r="E76" s="398"/>
      <c r="F76" s="1183"/>
      <c r="G76" s="410"/>
      <c r="H76" s="83"/>
      <c r="I76" s="278"/>
      <c r="J76" s="411"/>
      <c r="K76" s="278"/>
      <c r="L76" s="412"/>
      <c r="M76" s="413"/>
      <c r="N76" s="278"/>
      <c r="O76" s="278"/>
      <c r="P76" s="414"/>
      <c r="Q76" s="414"/>
      <c r="R76" s="414"/>
      <c r="S76" s="278"/>
      <c r="T76" s="415"/>
      <c r="U76" s="397"/>
      <c r="V76" s="276"/>
    </row>
    <row r="77" spans="1:26" x14ac:dyDescent="0.6">
      <c r="E77" s="398"/>
      <c r="F77" s="1183"/>
      <c r="G77" s="410"/>
      <c r="H77" s="83"/>
      <c r="I77" s="278"/>
      <c r="J77" s="411"/>
      <c r="K77" s="278"/>
      <c r="L77" s="412"/>
      <c r="M77" s="413"/>
      <c r="N77" s="278"/>
      <c r="O77" s="278"/>
      <c r="P77" s="414"/>
      <c r="Q77" s="414"/>
      <c r="R77" s="414"/>
      <c r="S77" s="278"/>
      <c r="T77" s="415"/>
      <c r="U77" s="397"/>
      <c r="V77" s="276"/>
    </row>
    <row r="78" spans="1:26" x14ac:dyDescent="0.6">
      <c r="E78" s="398"/>
      <c r="F78" s="1183"/>
      <c r="G78" s="410"/>
      <c r="H78" s="83"/>
      <c r="I78" s="278"/>
      <c r="J78" s="411"/>
      <c r="K78" s="278"/>
      <c r="L78" s="412"/>
      <c r="M78" s="413"/>
      <c r="N78" s="278"/>
      <c r="O78" s="278"/>
      <c r="P78" s="414"/>
      <c r="Q78" s="414"/>
      <c r="R78" s="414"/>
      <c r="S78" s="278"/>
      <c r="T78" s="415"/>
      <c r="U78" s="397"/>
      <c r="V78" s="276"/>
    </row>
    <row r="79" spans="1:26" x14ac:dyDescent="0.6">
      <c r="E79" s="398"/>
      <c r="F79" s="1183"/>
      <c r="G79" s="410"/>
      <c r="H79" s="83"/>
      <c r="I79" s="278"/>
      <c r="J79" s="411"/>
      <c r="K79" s="278"/>
      <c r="L79" s="412"/>
      <c r="M79" s="413"/>
      <c r="N79" s="278"/>
      <c r="O79" s="278"/>
      <c r="P79" s="414"/>
      <c r="Q79" s="414"/>
      <c r="R79" s="414"/>
      <c r="S79" s="278"/>
      <c r="T79" s="415"/>
      <c r="U79" s="397"/>
      <c r="V79" s="276"/>
    </row>
  </sheetData>
  <phoneticPr fontId="7" type="noConversion"/>
  <pageMargins left="0.75" right="0.75" top="1" bottom="1" header="0.5" footer="0.5"/>
  <pageSetup scale="125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125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3" width="10.09765625" style="55" customWidth="1"/>
    <col min="4" max="4" width="10.09765625" style="89" customWidth="1"/>
    <col min="5" max="5" width="10.09765625" style="55" customWidth="1"/>
    <col min="6" max="6" width="9.5" style="55" customWidth="1"/>
    <col min="7" max="7" width="8.84765625" style="96" bestFit="1" customWidth="1"/>
    <col min="8" max="8" width="14.09765625" style="1170" bestFit="1" customWidth="1"/>
    <col min="9" max="9" width="16.09765625" style="1" bestFit="1" customWidth="1"/>
    <col min="10" max="10" width="6.84765625" style="54" bestFit="1" customWidth="1"/>
    <col min="11" max="11" width="7.84765625" style="54" customWidth="1"/>
    <col min="12" max="12" width="8.34765625" style="54" customWidth="1"/>
    <col min="13" max="13" width="8.59765625" style="54" customWidth="1"/>
    <col min="14" max="14" width="11.09765625" style="54" bestFit="1" customWidth="1"/>
    <col min="15" max="15" width="9.09765625" style="54" customWidth="1"/>
    <col min="16" max="16" width="16" style="17" bestFit="1" customWidth="1"/>
    <col min="17" max="17" width="17.5" style="70" bestFit="1" customWidth="1"/>
    <col min="18" max="18" width="17.5" style="17" bestFit="1" customWidth="1"/>
    <col min="19" max="19" width="17.5" style="1" bestFit="1" customWidth="1"/>
    <col min="20" max="20" width="5.09765625" style="1" bestFit="1" customWidth="1"/>
    <col min="21" max="16384" width="10.84765625" style="1"/>
  </cols>
  <sheetData>
    <row r="1" spans="1:19" x14ac:dyDescent="0.6">
      <c r="A1" s="78" t="s">
        <v>1100</v>
      </c>
      <c r="E1" s="89"/>
      <c r="F1" s="879"/>
      <c r="I1" s="13"/>
      <c r="J1" s="95" t="s">
        <v>1089</v>
      </c>
      <c r="K1" s="95"/>
      <c r="L1" s="95" t="s">
        <v>1091</v>
      </c>
      <c r="N1" s="17"/>
      <c r="O1" s="17"/>
      <c r="P1" s="98"/>
      <c r="R1" s="98"/>
      <c r="S1" s="880"/>
    </row>
    <row r="2" spans="1:19" s="2" customFormat="1" x14ac:dyDescent="0.6">
      <c r="A2" s="24" t="s">
        <v>879</v>
      </c>
      <c r="B2" s="60"/>
      <c r="C2" s="56"/>
      <c r="D2" s="958"/>
      <c r="E2" s="56" t="s">
        <v>100</v>
      </c>
      <c r="F2" s="56"/>
      <c r="G2" s="97" t="s">
        <v>189</v>
      </c>
      <c r="H2" s="887" t="s">
        <v>24</v>
      </c>
      <c r="I2" s="60" t="s">
        <v>24</v>
      </c>
      <c r="J2" s="95" t="s">
        <v>190</v>
      </c>
      <c r="K2" s="95"/>
      <c r="L2" s="95" t="s">
        <v>190</v>
      </c>
      <c r="M2" s="95" t="s">
        <v>396</v>
      </c>
      <c r="N2" s="95" t="s">
        <v>397</v>
      </c>
      <c r="O2" s="95" t="s">
        <v>42</v>
      </c>
      <c r="P2" s="18" t="s">
        <v>193</v>
      </c>
      <c r="Q2" s="114" t="s">
        <v>396</v>
      </c>
      <c r="R2" s="18" t="s">
        <v>397</v>
      </c>
      <c r="S2" s="2" t="s">
        <v>398</v>
      </c>
    </row>
    <row r="3" spans="1:19" s="2" customFormat="1" x14ac:dyDescent="0.6">
      <c r="A3" s="24" t="s">
        <v>359</v>
      </c>
      <c r="B3" s="60"/>
      <c r="C3" s="56" t="s">
        <v>136</v>
      </c>
      <c r="D3" s="958" t="s">
        <v>137</v>
      </c>
      <c r="E3" s="56" t="s">
        <v>604</v>
      </c>
      <c r="F3" s="56" t="s">
        <v>42</v>
      </c>
      <c r="G3" s="97" t="s">
        <v>79</v>
      </c>
      <c r="H3" s="64" t="s">
        <v>1101</v>
      </c>
      <c r="I3" s="2" t="s">
        <v>400</v>
      </c>
      <c r="J3" s="95" t="s">
        <v>191</v>
      </c>
      <c r="K3" s="95" t="s">
        <v>1090</v>
      </c>
      <c r="L3" s="95" t="s">
        <v>191</v>
      </c>
      <c r="M3" s="95" t="s">
        <v>190</v>
      </c>
      <c r="N3" s="95" t="s">
        <v>190</v>
      </c>
      <c r="O3" s="95" t="s">
        <v>79</v>
      </c>
      <c r="P3" s="18" t="s">
        <v>192</v>
      </c>
      <c r="Q3" s="114" t="s">
        <v>192</v>
      </c>
      <c r="R3" s="18" t="s">
        <v>192</v>
      </c>
      <c r="S3" s="2" t="s">
        <v>198</v>
      </c>
    </row>
    <row r="4" spans="1:19" s="85" customFormat="1" x14ac:dyDescent="0.6">
      <c r="A4" s="60">
        <v>1</v>
      </c>
      <c r="B4" s="85" t="s">
        <v>178</v>
      </c>
      <c r="C4" s="89">
        <v>0.183</v>
      </c>
      <c r="D4" s="89">
        <v>0.19</v>
      </c>
      <c r="E4" s="89"/>
      <c r="F4" s="89">
        <f t="shared" ref="F4:F54" si="0">D4+C4</f>
        <v>0.373</v>
      </c>
      <c r="G4" s="174">
        <v>8.9099999999999999E-2</v>
      </c>
      <c r="H4" s="956">
        <v>119</v>
      </c>
      <c r="I4" s="897">
        <f>H4*42*1000</f>
        <v>4998000</v>
      </c>
      <c r="J4" s="156">
        <v>0.55500000000000005</v>
      </c>
      <c r="K4" s="156">
        <f>Assumptions!C34</f>
        <v>0.25</v>
      </c>
      <c r="L4" s="156">
        <f>K4+J4</f>
        <v>0.80500000000000005</v>
      </c>
      <c r="M4" s="156">
        <f>(L4-F4)/(1+G4)</f>
        <v>0.39665779083647057</v>
      </c>
      <c r="N4" s="156">
        <f t="shared" ref="N4:N35" si="1">M4*(1+G4)</f>
        <v>0.43200000000000011</v>
      </c>
      <c r="O4" s="952">
        <f>L4-M4</f>
        <v>0.40834220916352948</v>
      </c>
      <c r="P4" s="70">
        <f>L4*I4</f>
        <v>4023390.0000000005</v>
      </c>
      <c r="Q4" s="70">
        <f t="shared" ref="Q4:Q54" si="2">M4*I4</f>
        <v>1982495.6386006798</v>
      </c>
      <c r="R4" s="70">
        <f t="shared" ref="R4:R54" si="3">N4*I4</f>
        <v>2159136.0000000005</v>
      </c>
      <c r="S4" s="70">
        <f t="shared" ref="S4:S54" si="4">P4-R4</f>
        <v>1864254</v>
      </c>
    </row>
    <row r="5" spans="1:19" s="85" customFormat="1" x14ac:dyDescent="0.6">
      <c r="A5" s="60">
        <f t="shared" ref="A5:A54" si="5">A4+1</f>
        <v>2</v>
      </c>
      <c r="B5" s="85" t="s">
        <v>188</v>
      </c>
      <c r="C5" s="89">
        <f t="shared" ref="C5:C54" si="6">C4</f>
        <v>0.183</v>
      </c>
      <c r="D5" s="89"/>
      <c r="E5" s="89"/>
      <c r="F5" s="89">
        <f t="shared" si="0"/>
        <v>0.183</v>
      </c>
      <c r="G5" s="174">
        <v>1.7600000000000001E-2</v>
      </c>
      <c r="H5" s="956">
        <v>14</v>
      </c>
      <c r="I5" s="897">
        <f t="shared" ref="I5:I54" si="7">H5*42*1000</f>
        <v>588000</v>
      </c>
      <c r="J5" s="156">
        <f>J4</f>
        <v>0.55500000000000005</v>
      </c>
      <c r="K5" s="156">
        <f>K4</f>
        <v>0.25</v>
      </c>
      <c r="L5" s="156">
        <f t="shared" ref="L5:L54" si="8">K5+J5</f>
        <v>0.80500000000000005</v>
      </c>
      <c r="M5" s="156">
        <f t="shared" ref="M5:M54" si="9">(L5-F5)/(1+G5)</f>
        <v>0.61124213836477992</v>
      </c>
      <c r="N5" s="156">
        <f t="shared" si="1"/>
        <v>0.62200000000000011</v>
      </c>
      <c r="O5" s="952">
        <f t="shared" ref="O5:O54" si="10">L5-M5</f>
        <v>0.19375786163522013</v>
      </c>
      <c r="P5" s="70">
        <f t="shared" ref="P5:P54" si="11">L5*I5</f>
        <v>473340</v>
      </c>
      <c r="Q5" s="70">
        <f t="shared" si="2"/>
        <v>359410.3773584906</v>
      </c>
      <c r="R5" s="70">
        <f t="shared" si="3"/>
        <v>365736.00000000006</v>
      </c>
      <c r="S5" s="70">
        <f t="shared" si="4"/>
        <v>107603.99999999994</v>
      </c>
    </row>
    <row r="6" spans="1:19" s="85" customFormat="1" x14ac:dyDescent="0.6">
      <c r="A6" s="60">
        <f t="shared" si="5"/>
        <v>3</v>
      </c>
      <c r="B6" s="85" t="s">
        <v>181</v>
      </c>
      <c r="C6" s="89">
        <f t="shared" si="6"/>
        <v>0.183</v>
      </c>
      <c r="D6" s="89"/>
      <c r="E6" s="89"/>
      <c r="F6" s="89">
        <f t="shared" si="0"/>
        <v>0.183</v>
      </c>
      <c r="G6" s="174">
        <v>8.1699999999999995E-2</v>
      </c>
      <c r="H6" s="956">
        <v>256</v>
      </c>
      <c r="I6" s="897">
        <f t="shared" si="7"/>
        <v>10752000</v>
      </c>
      <c r="J6" s="156">
        <f t="shared" ref="J6:J54" si="12">J5</f>
        <v>0.55500000000000005</v>
      </c>
      <c r="K6" s="156">
        <f t="shared" ref="K6:K54" si="13">K5</f>
        <v>0.25</v>
      </c>
      <c r="L6" s="156">
        <f t="shared" si="8"/>
        <v>0.80500000000000005</v>
      </c>
      <c r="M6" s="156">
        <f t="shared" si="9"/>
        <v>0.57502080059166127</v>
      </c>
      <c r="N6" s="156">
        <f t="shared" si="1"/>
        <v>0.62200000000000011</v>
      </c>
      <c r="O6" s="952">
        <f t="shared" si="10"/>
        <v>0.22997919940833877</v>
      </c>
      <c r="P6" s="70">
        <f t="shared" si="11"/>
        <v>8655360</v>
      </c>
      <c r="Q6" s="70">
        <f t="shared" si="2"/>
        <v>6182623.647961542</v>
      </c>
      <c r="R6" s="70">
        <f t="shared" si="3"/>
        <v>6687744.0000000009</v>
      </c>
      <c r="S6" s="70">
        <f t="shared" si="4"/>
        <v>1967615.9999999991</v>
      </c>
    </row>
    <row r="7" spans="1:19" s="85" customFormat="1" x14ac:dyDescent="0.6">
      <c r="A7" s="60">
        <f t="shared" si="5"/>
        <v>4</v>
      </c>
      <c r="B7" s="85" t="s">
        <v>176</v>
      </c>
      <c r="C7" s="89">
        <f t="shared" si="6"/>
        <v>0.183</v>
      </c>
      <c r="D7" s="89">
        <v>0.16500000000000001</v>
      </c>
      <c r="E7" s="89"/>
      <c r="F7" s="89">
        <f t="shared" si="0"/>
        <v>0.34799999999999998</v>
      </c>
      <c r="G7" s="174">
        <v>9.2600000000000002E-2</v>
      </c>
      <c r="H7" s="956">
        <v>94</v>
      </c>
      <c r="I7" s="897">
        <f t="shared" si="7"/>
        <v>3948000</v>
      </c>
      <c r="J7" s="156">
        <f t="shared" si="12"/>
        <v>0.55500000000000005</v>
      </c>
      <c r="K7" s="156">
        <f t="shared" si="13"/>
        <v>0.25</v>
      </c>
      <c r="L7" s="156">
        <f t="shared" si="8"/>
        <v>0.80500000000000005</v>
      </c>
      <c r="M7" s="156">
        <f t="shared" si="9"/>
        <v>0.41826835072304602</v>
      </c>
      <c r="N7" s="156">
        <f t="shared" si="1"/>
        <v>0.45700000000000007</v>
      </c>
      <c r="O7" s="952">
        <f t="shared" si="10"/>
        <v>0.38673164927695403</v>
      </c>
      <c r="P7" s="70">
        <f t="shared" si="11"/>
        <v>3178140</v>
      </c>
      <c r="Q7" s="70">
        <f t="shared" ref="Q7" si="14">M7*I7</f>
        <v>1651323.4486545858</v>
      </c>
      <c r="R7" s="70">
        <f t="shared" ref="R7" si="15">N7*I7</f>
        <v>1804236.0000000002</v>
      </c>
      <c r="S7" s="70">
        <f t="shared" ref="S7" si="16">P7-R7</f>
        <v>1373903.9999999998</v>
      </c>
    </row>
    <row r="8" spans="1:19" s="85" customFormat="1" x14ac:dyDescent="0.6">
      <c r="A8" s="60">
        <f t="shared" si="5"/>
        <v>5</v>
      </c>
      <c r="B8" s="85" t="s">
        <v>142</v>
      </c>
      <c r="C8" s="89">
        <f t="shared" si="6"/>
        <v>0.183</v>
      </c>
      <c r="D8" s="89">
        <v>0.06</v>
      </c>
      <c r="E8" s="89"/>
      <c r="F8" s="89">
        <f t="shared" si="0"/>
        <v>0.24299999999999999</v>
      </c>
      <c r="G8" s="174">
        <v>8.4400000000000003E-2</v>
      </c>
      <c r="H8" s="956">
        <v>1012</v>
      </c>
      <c r="I8" s="897">
        <f t="shared" si="7"/>
        <v>42504000</v>
      </c>
      <c r="J8" s="156">
        <f t="shared" si="12"/>
        <v>0.55500000000000005</v>
      </c>
      <c r="K8" s="156">
        <f t="shared" si="13"/>
        <v>0.25</v>
      </c>
      <c r="L8" s="156">
        <f t="shared" si="8"/>
        <v>0.80500000000000005</v>
      </c>
      <c r="M8" s="156">
        <f t="shared" si="9"/>
        <v>0.51825894503873116</v>
      </c>
      <c r="N8" s="156">
        <f t="shared" si="1"/>
        <v>0.56200000000000006</v>
      </c>
      <c r="O8" s="952">
        <f t="shared" si="10"/>
        <v>0.28674105496126889</v>
      </c>
      <c r="P8" s="70">
        <f t="shared" si="11"/>
        <v>34215720</v>
      </c>
      <c r="Q8" s="70">
        <f t="shared" si="2"/>
        <v>22028078.199926227</v>
      </c>
      <c r="R8" s="70">
        <f t="shared" si="3"/>
        <v>23887248.000000004</v>
      </c>
      <c r="S8" s="70">
        <f t="shared" si="4"/>
        <v>10328471.999999996</v>
      </c>
    </row>
    <row r="9" spans="1:19" s="85" customFormat="1" x14ac:dyDescent="0.6">
      <c r="A9" s="60">
        <f t="shared" si="5"/>
        <v>6</v>
      </c>
      <c r="B9" s="85" t="s">
        <v>175</v>
      </c>
      <c r="C9" s="89">
        <f t="shared" si="6"/>
        <v>0.183</v>
      </c>
      <c r="D9" s="89">
        <v>0.05</v>
      </c>
      <c r="E9" s="89"/>
      <c r="F9" s="89">
        <f t="shared" si="0"/>
        <v>0.23299999999999998</v>
      </c>
      <c r="G9" s="174">
        <v>7.4399999999999994E-2</v>
      </c>
      <c r="H9" s="956">
        <v>243</v>
      </c>
      <c r="I9" s="897">
        <f t="shared" si="7"/>
        <v>10206000</v>
      </c>
      <c r="J9" s="156">
        <f t="shared" si="12"/>
        <v>0.55500000000000005</v>
      </c>
      <c r="K9" s="156">
        <f t="shared" si="13"/>
        <v>0.25</v>
      </c>
      <c r="L9" s="156">
        <f t="shared" si="8"/>
        <v>0.80500000000000005</v>
      </c>
      <c r="M9" s="156">
        <f t="shared" si="9"/>
        <v>0.53239017125837684</v>
      </c>
      <c r="N9" s="156">
        <f t="shared" si="1"/>
        <v>0.57200000000000006</v>
      </c>
      <c r="O9" s="952">
        <f t="shared" si="10"/>
        <v>0.27260982874162321</v>
      </c>
      <c r="P9" s="70">
        <f t="shared" si="11"/>
        <v>8215830.0000000009</v>
      </c>
      <c r="Q9" s="70">
        <f t="shared" si="2"/>
        <v>5433574.0878629945</v>
      </c>
      <c r="R9" s="70">
        <f t="shared" si="3"/>
        <v>5837832.0000000009</v>
      </c>
      <c r="S9" s="70">
        <f t="shared" si="4"/>
        <v>2377998</v>
      </c>
    </row>
    <row r="10" spans="1:19" s="85" customFormat="1" x14ac:dyDescent="0.6">
      <c r="A10" s="60">
        <f t="shared" si="5"/>
        <v>7</v>
      </c>
      <c r="B10" s="85" t="s">
        <v>143</v>
      </c>
      <c r="C10" s="89">
        <f t="shared" si="6"/>
        <v>0.183</v>
      </c>
      <c r="D10" s="89">
        <v>0.26</v>
      </c>
      <c r="E10" s="89"/>
      <c r="F10" s="89">
        <f t="shared" si="0"/>
        <v>0.443</v>
      </c>
      <c r="G10" s="174">
        <v>6.3500000000000001E-2</v>
      </c>
      <c r="H10" s="956">
        <v>92</v>
      </c>
      <c r="I10" s="897">
        <f t="shared" si="7"/>
        <v>3864000</v>
      </c>
      <c r="J10" s="156">
        <f t="shared" si="12"/>
        <v>0.55500000000000005</v>
      </c>
      <c r="K10" s="156">
        <f t="shared" si="13"/>
        <v>0.25</v>
      </c>
      <c r="L10" s="156">
        <f t="shared" si="8"/>
        <v>0.80500000000000005</v>
      </c>
      <c r="M10" s="156">
        <f t="shared" si="9"/>
        <v>0.34038551951104851</v>
      </c>
      <c r="N10" s="156">
        <f t="shared" si="1"/>
        <v>0.36200000000000004</v>
      </c>
      <c r="O10" s="952">
        <f t="shared" si="10"/>
        <v>0.46461448048895154</v>
      </c>
      <c r="P10" s="70">
        <f t="shared" si="11"/>
        <v>3110520</v>
      </c>
      <c r="Q10" s="70">
        <f t="shared" si="2"/>
        <v>1315249.6473906913</v>
      </c>
      <c r="R10" s="70">
        <f t="shared" si="3"/>
        <v>1398768.0000000002</v>
      </c>
      <c r="S10" s="70">
        <f t="shared" si="4"/>
        <v>1711751.9999999998</v>
      </c>
    </row>
    <row r="11" spans="1:19" s="85" customFormat="1" x14ac:dyDescent="0.6">
      <c r="A11" s="60">
        <f t="shared" si="5"/>
        <v>8</v>
      </c>
      <c r="B11" s="85" t="s">
        <v>172</v>
      </c>
      <c r="C11" s="89">
        <f t="shared" si="6"/>
        <v>0.183</v>
      </c>
      <c r="D11" s="89">
        <v>0.22</v>
      </c>
      <c r="E11" s="89"/>
      <c r="F11" s="89">
        <f t="shared" si="0"/>
        <v>0.40300000000000002</v>
      </c>
      <c r="G11" s="174">
        <v>0</v>
      </c>
      <c r="H11" s="956">
        <v>15</v>
      </c>
      <c r="I11" s="897">
        <f t="shared" si="7"/>
        <v>630000</v>
      </c>
      <c r="J11" s="156">
        <f t="shared" si="12"/>
        <v>0.55500000000000005</v>
      </c>
      <c r="K11" s="156">
        <f t="shared" si="13"/>
        <v>0.25</v>
      </c>
      <c r="L11" s="156">
        <f t="shared" si="8"/>
        <v>0.80500000000000005</v>
      </c>
      <c r="M11" s="156">
        <f t="shared" si="9"/>
        <v>0.40200000000000002</v>
      </c>
      <c r="N11" s="156">
        <f t="shared" si="1"/>
        <v>0.40200000000000002</v>
      </c>
      <c r="O11" s="952">
        <f t="shared" si="10"/>
        <v>0.40300000000000002</v>
      </c>
      <c r="P11" s="70">
        <f t="shared" si="11"/>
        <v>507150.00000000006</v>
      </c>
      <c r="Q11" s="70">
        <f t="shared" si="2"/>
        <v>253260.00000000003</v>
      </c>
      <c r="R11" s="70">
        <f t="shared" si="3"/>
        <v>253260.00000000003</v>
      </c>
      <c r="S11" s="70">
        <f t="shared" si="4"/>
        <v>253890.00000000003</v>
      </c>
    </row>
    <row r="12" spans="1:19" s="85" customFormat="1" x14ac:dyDescent="0.6">
      <c r="A12" s="60">
        <f t="shared" si="5"/>
        <v>9</v>
      </c>
      <c r="B12" s="85" t="s">
        <v>171</v>
      </c>
      <c r="C12" s="89">
        <f t="shared" si="6"/>
        <v>0.183</v>
      </c>
      <c r="D12" s="89"/>
      <c r="E12" s="89"/>
      <c r="F12" s="89">
        <f t="shared" si="0"/>
        <v>0.183</v>
      </c>
      <c r="G12" s="174">
        <v>5.7500000000000002E-2</v>
      </c>
      <c r="H12" s="956">
        <v>1</v>
      </c>
      <c r="I12" s="897">
        <f t="shared" si="7"/>
        <v>42000</v>
      </c>
      <c r="J12" s="156">
        <f t="shared" si="12"/>
        <v>0.55500000000000005</v>
      </c>
      <c r="K12" s="156">
        <f t="shared" si="13"/>
        <v>0.25</v>
      </c>
      <c r="L12" s="156">
        <f t="shared" si="8"/>
        <v>0.80500000000000005</v>
      </c>
      <c r="M12" s="156">
        <f t="shared" si="9"/>
        <v>0.58817966903073293</v>
      </c>
      <c r="N12" s="156">
        <f t="shared" si="1"/>
        <v>0.62200000000000011</v>
      </c>
      <c r="O12" s="952">
        <f t="shared" si="10"/>
        <v>0.21682033096926712</v>
      </c>
      <c r="P12" s="70">
        <f t="shared" si="11"/>
        <v>33810</v>
      </c>
      <c r="Q12" s="70">
        <f t="shared" si="2"/>
        <v>24703.546099290783</v>
      </c>
      <c r="R12" s="70">
        <f t="shared" si="3"/>
        <v>26124.000000000004</v>
      </c>
      <c r="S12" s="70">
        <f t="shared" si="4"/>
        <v>7685.9999999999964</v>
      </c>
    </row>
    <row r="13" spans="1:19" s="85" customFormat="1" x14ac:dyDescent="0.6">
      <c r="A13" s="60">
        <f t="shared" si="5"/>
        <v>10</v>
      </c>
      <c r="B13" s="85" t="s">
        <v>144</v>
      </c>
      <c r="C13" s="89">
        <f t="shared" si="6"/>
        <v>0.183</v>
      </c>
      <c r="D13" s="89">
        <v>0</v>
      </c>
      <c r="E13" s="89"/>
      <c r="F13" s="89">
        <f t="shared" si="0"/>
        <v>0.183</v>
      </c>
      <c r="G13" s="174">
        <v>6.6500000000000004E-2</v>
      </c>
      <c r="H13" s="956">
        <v>446</v>
      </c>
      <c r="I13" s="897">
        <f t="shared" si="7"/>
        <v>18732000</v>
      </c>
      <c r="J13" s="156">
        <f t="shared" si="12"/>
        <v>0.55500000000000005</v>
      </c>
      <c r="K13" s="156">
        <f t="shared" si="13"/>
        <v>0.25</v>
      </c>
      <c r="L13" s="156">
        <f t="shared" si="8"/>
        <v>0.80500000000000005</v>
      </c>
      <c r="M13" s="156">
        <f t="shared" si="9"/>
        <v>0.58321612751992513</v>
      </c>
      <c r="N13" s="156">
        <f t="shared" si="1"/>
        <v>0.62200000000000011</v>
      </c>
      <c r="O13" s="952">
        <f t="shared" si="10"/>
        <v>0.22178387248007492</v>
      </c>
      <c r="P13" s="70">
        <f t="shared" si="11"/>
        <v>15079260</v>
      </c>
      <c r="Q13" s="70">
        <f t="shared" si="2"/>
        <v>10924804.500703238</v>
      </c>
      <c r="R13" s="70">
        <f t="shared" si="3"/>
        <v>11651304.000000002</v>
      </c>
      <c r="S13" s="70">
        <f t="shared" si="4"/>
        <v>3427955.9999999981</v>
      </c>
    </row>
    <row r="14" spans="1:19" s="85" customFormat="1" x14ac:dyDescent="0.6">
      <c r="A14" s="60">
        <f t="shared" si="5"/>
        <v>11</v>
      </c>
      <c r="B14" s="85" t="s">
        <v>154</v>
      </c>
      <c r="C14" s="89">
        <f t="shared" si="6"/>
        <v>0.183</v>
      </c>
      <c r="D14" s="89">
        <v>0.26</v>
      </c>
      <c r="E14" s="89"/>
      <c r="F14" s="89">
        <f t="shared" si="0"/>
        <v>0.443</v>
      </c>
      <c r="G14" s="174">
        <v>6.9599999999999995E-2</v>
      </c>
      <c r="H14" s="956">
        <v>478</v>
      </c>
      <c r="I14" s="897">
        <f t="shared" si="7"/>
        <v>20076000</v>
      </c>
      <c r="J14" s="156">
        <f t="shared" si="12"/>
        <v>0.55500000000000005</v>
      </c>
      <c r="K14" s="156">
        <f t="shared" si="13"/>
        <v>0.25</v>
      </c>
      <c r="L14" s="156">
        <f t="shared" si="8"/>
        <v>0.80500000000000005</v>
      </c>
      <c r="M14" s="156">
        <f t="shared" si="9"/>
        <v>0.33844427823485423</v>
      </c>
      <c r="N14" s="156">
        <f t="shared" si="1"/>
        <v>0.36200000000000004</v>
      </c>
      <c r="O14" s="952">
        <f t="shared" si="10"/>
        <v>0.46655572176514581</v>
      </c>
      <c r="P14" s="70">
        <f t="shared" si="11"/>
        <v>16161180.000000002</v>
      </c>
      <c r="Q14" s="70">
        <f t="shared" si="2"/>
        <v>6794607.3298429335</v>
      </c>
      <c r="R14" s="70">
        <f t="shared" si="3"/>
        <v>7267512.0000000009</v>
      </c>
      <c r="S14" s="70">
        <f t="shared" si="4"/>
        <v>8893668</v>
      </c>
    </row>
    <row r="15" spans="1:19" s="85" customFormat="1" x14ac:dyDescent="0.6">
      <c r="A15" s="60">
        <f t="shared" si="5"/>
        <v>12</v>
      </c>
      <c r="B15" s="85" t="s">
        <v>141</v>
      </c>
      <c r="C15" s="89">
        <f t="shared" si="6"/>
        <v>0.183</v>
      </c>
      <c r="D15" s="89"/>
      <c r="E15" s="89"/>
      <c r="F15" s="89">
        <f t="shared" si="0"/>
        <v>0.183</v>
      </c>
      <c r="G15" s="174">
        <v>4.3499999999999997E-2</v>
      </c>
      <c r="H15" s="956">
        <v>8</v>
      </c>
      <c r="I15" s="897">
        <f t="shared" si="7"/>
        <v>336000</v>
      </c>
      <c r="J15" s="156">
        <f t="shared" si="12"/>
        <v>0.55500000000000005</v>
      </c>
      <c r="K15" s="156">
        <f t="shared" si="13"/>
        <v>0.25</v>
      </c>
      <c r="L15" s="156">
        <f t="shared" si="8"/>
        <v>0.80500000000000005</v>
      </c>
      <c r="M15" s="156">
        <f t="shared" si="9"/>
        <v>0.59607091518926691</v>
      </c>
      <c r="N15" s="156">
        <f t="shared" si="1"/>
        <v>0.62200000000000011</v>
      </c>
      <c r="O15" s="952">
        <f t="shared" si="10"/>
        <v>0.20892908481073313</v>
      </c>
      <c r="P15" s="70">
        <f t="shared" si="11"/>
        <v>270480</v>
      </c>
      <c r="Q15" s="70">
        <f t="shared" si="2"/>
        <v>200279.8275035937</v>
      </c>
      <c r="R15" s="70">
        <f t="shared" si="3"/>
        <v>208992.00000000003</v>
      </c>
      <c r="S15" s="70">
        <f t="shared" si="4"/>
        <v>61487.999999999971</v>
      </c>
    </row>
    <row r="16" spans="1:19" s="85" customFormat="1" x14ac:dyDescent="0.6">
      <c r="A16" s="60">
        <f t="shared" si="5"/>
        <v>13</v>
      </c>
      <c r="B16" s="85" t="s">
        <v>152</v>
      </c>
      <c r="C16" s="89">
        <f t="shared" si="6"/>
        <v>0.183</v>
      </c>
      <c r="D16" s="89">
        <v>0.23200000000000001</v>
      </c>
      <c r="E16" s="89"/>
      <c r="F16" s="89">
        <f t="shared" si="0"/>
        <v>0.41500000000000004</v>
      </c>
      <c r="G16" s="174">
        <v>6.0100000000000001E-2</v>
      </c>
      <c r="H16" s="956">
        <v>34</v>
      </c>
      <c r="I16" s="897">
        <f t="shared" si="7"/>
        <v>1428000</v>
      </c>
      <c r="J16" s="156">
        <f t="shared" si="12"/>
        <v>0.55500000000000005</v>
      </c>
      <c r="K16" s="156">
        <f t="shared" si="13"/>
        <v>0.25</v>
      </c>
      <c r="L16" s="156">
        <f t="shared" si="8"/>
        <v>0.80500000000000005</v>
      </c>
      <c r="M16" s="156">
        <f t="shared" si="9"/>
        <v>0.36788982171493256</v>
      </c>
      <c r="N16" s="156">
        <f t="shared" si="1"/>
        <v>0.39</v>
      </c>
      <c r="O16" s="952">
        <f t="shared" si="10"/>
        <v>0.43711017828506749</v>
      </c>
      <c r="P16" s="70">
        <f t="shared" si="11"/>
        <v>1149540</v>
      </c>
      <c r="Q16" s="70">
        <f t="shared" si="2"/>
        <v>525346.66540892376</v>
      </c>
      <c r="R16" s="70">
        <f t="shared" si="3"/>
        <v>556920</v>
      </c>
      <c r="S16" s="70">
        <f t="shared" si="4"/>
        <v>592620</v>
      </c>
    </row>
    <row r="17" spans="1:19" s="85" customFormat="1" x14ac:dyDescent="0.6">
      <c r="A17" s="60">
        <f t="shared" si="5"/>
        <v>14</v>
      </c>
      <c r="B17" s="85" t="s">
        <v>157</v>
      </c>
      <c r="C17" s="89">
        <f t="shared" si="6"/>
        <v>0.183</v>
      </c>
      <c r="D17" s="89">
        <v>0.28399999999999997</v>
      </c>
      <c r="E17" s="89"/>
      <c r="F17" s="89">
        <f t="shared" si="0"/>
        <v>0.46699999999999997</v>
      </c>
      <c r="G17" s="174">
        <v>8.1900000000000001E-2</v>
      </c>
      <c r="H17" s="956">
        <v>513</v>
      </c>
      <c r="I17" s="897">
        <f t="shared" si="7"/>
        <v>21546000</v>
      </c>
      <c r="J17" s="156">
        <f t="shared" si="12"/>
        <v>0.55500000000000005</v>
      </c>
      <c r="K17" s="156">
        <f t="shared" si="13"/>
        <v>0.25</v>
      </c>
      <c r="L17" s="156">
        <f t="shared" si="8"/>
        <v>0.80500000000000005</v>
      </c>
      <c r="M17" s="156">
        <f t="shared" si="9"/>
        <v>0.3124133468897311</v>
      </c>
      <c r="N17" s="156">
        <f t="shared" si="1"/>
        <v>0.33800000000000013</v>
      </c>
      <c r="O17" s="952">
        <f t="shared" si="10"/>
        <v>0.49258665311026895</v>
      </c>
      <c r="P17" s="70">
        <f t="shared" si="11"/>
        <v>17344530</v>
      </c>
      <c r="Q17" s="70">
        <f t="shared" si="2"/>
        <v>6731257.9720861465</v>
      </c>
      <c r="R17" s="70">
        <f t="shared" si="3"/>
        <v>7282548.0000000028</v>
      </c>
      <c r="S17" s="70">
        <f t="shared" si="4"/>
        <v>10061981.999999996</v>
      </c>
    </row>
    <row r="18" spans="1:19" s="85" customFormat="1" x14ac:dyDescent="0.6">
      <c r="A18" s="60">
        <f t="shared" si="5"/>
        <v>15</v>
      </c>
      <c r="B18" s="85" t="s">
        <v>160</v>
      </c>
      <c r="C18" s="89">
        <f t="shared" si="6"/>
        <v>0.183</v>
      </c>
      <c r="D18" s="89">
        <v>0.16</v>
      </c>
      <c r="E18" s="89"/>
      <c r="F18" s="89">
        <f t="shared" si="0"/>
        <v>0.34299999999999997</v>
      </c>
      <c r="G18" s="174">
        <v>7.0000000000000007E-2</v>
      </c>
      <c r="H18" s="956">
        <v>262</v>
      </c>
      <c r="I18" s="897">
        <f t="shared" si="7"/>
        <v>11004000</v>
      </c>
      <c r="J18" s="156">
        <f t="shared" si="12"/>
        <v>0.55500000000000005</v>
      </c>
      <c r="K18" s="156">
        <f t="shared" si="13"/>
        <v>0.25</v>
      </c>
      <c r="L18" s="156">
        <f t="shared" si="8"/>
        <v>0.80500000000000005</v>
      </c>
      <c r="M18" s="156">
        <f t="shared" si="9"/>
        <v>0.43177570093457951</v>
      </c>
      <c r="N18" s="156">
        <f t="shared" si="1"/>
        <v>0.46200000000000008</v>
      </c>
      <c r="O18" s="952">
        <f t="shared" si="10"/>
        <v>0.37322429906542054</v>
      </c>
      <c r="P18" s="70">
        <f t="shared" si="11"/>
        <v>8858220</v>
      </c>
      <c r="Q18" s="70">
        <f t="shared" si="2"/>
        <v>4751259.8130841125</v>
      </c>
      <c r="R18" s="70">
        <f t="shared" si="3"/>
        <v>5083848.0000000009</v>
      </c>
      <c r="S18" s="70">
        <f t="shared" si="4"/>
        <v>3774371.9999999991</v>
      </c>
    </row>
    <row r="19" spans="1:19" s="85" customFormat="1" x14ac:dyDescent="0.6">
      <c r="A19" s="60">
        <f t="shared" si="5"/>
        <v>16</v>
      </c>
      <c r="B19" s="85" t="s">
        <v>151</v>
      </c>
      <c r="C19" s="89">
        <f t="shared" si="6"/>
        <v>0.183</v>
      </c>
      <c r="D19" s="89">
        <v>0.3</v>
      </c>
      <c r="E19" s="89"/>
      <c r="F19" s="89">
        <f t="shared" si="0"/>
        <v>0.48299999999999998</v>
      </c>
      <c r="G19" s="174">
        <v>6.7799999999999999E-2</v>
      </c>
      <c r="H19" s="956">
        <v>170</v>
      </c>
      <c r="I19" s="897">
        <f t="shared" si="7"/>
        <v>7140000</v>
      </c>
      <c r="J19" s="156">
        <f t="shared" si="12"/>
        <v>0.55500000000000005</v>
      </c>
      <c r="K19" s="156">
        <f t="shared" si="13"/>
        <v>0.25</v>
      </c>
      <c r="L19" s="156">
        <f t="shared" si="8"/>
        <v>0.80500000000000005</v>
      </c>
      <c r="M19" s="156">
        <f t="shared" si="9"/>
        <v>0.3015545982393707</v>
      </c>
      <c r="N19" s="156">
        <f t="shared" si="1"/>
        <v>0.32200000000000006</v>
      </c>
      <c r="O19" s="952">
        <f t="shared" si="10"/>
        <v>0.50344540176062935</v>
      </c>
      <c r="P19" s="70">
        <f t="shared" si="11"/>
        <v>5747700</v>
      </c>
      <c r="Q19" s="70">
        <f t="shared" si="2"/>
        <v>2153099.8314291066</v>
      </c>
      <c r="R19" s="70">
        <f t="shared" si="3"/>
        <v>2299080.0000000005</v>
      </c>
      <c r="S19" s="70">
        <f t="shared" si="4"/>
        <v>3448619.9999999995</v>
      </c>
    </row>
    <row r="20" spans="1:19" s="85" customFormat="1" x14ac:dyDescent="0.6">
      <c r="A20" s="60">
        <f t="shared" si="5"/>
        <v>17</v>
      </c>
      <c r="B20" s="85" t="s">
        <v>168</v>
      </c>
      <c r="C20" s="89">
        <f t="shared" si="6"/>
        <v>0.183</v>
      </c>
      <c r="D20" s="89">
        <v>0.23</v>
      </c>
      <c r="E20" s="89"/>
      <c r="F20" s="89">
        <f t="shared" si="0"/>
        <v>0.41300000000000003</v>
      </c>
      <c r="G20" s="174">
        <v>8.2000000000000003E-2</v>
      </c>
      <c r="H20" s="956">
        <v>107</v>
      </c>
      <c r="I20" s="897">
        <f t="shared" si="7"/>
        <v>4494000</v>
      </c>
      <c r="J20" s="156">
        <f t="shared" si="12"/>
        <v>0.55500000000000005</v>
      </c>
      <c r="K20" s="156">
        <f t="shared" si="13"/>
        <v>0.25</v>
      </c>
      <c r="L20" s="156">
        <f t="shared" si="8"/>
        <v>0.80500000000000005</v>
      </c>
      <c r="M20" s="156">
        <f t="shared" si="9"/>
        <v>0.36229205175600737</v>
      </c>
      <c r="N20" s="156">
        <f t="shared" si="1"/>
        <v>0.39200000000000002</v>
      </c>
      <c r="O20" s="952">
        <f t="shared" si="10"/>
        <v>0.44270794824399268</v>
      </c>
      <c r="P20" s="70">
        <f t="shared" si="11"/>
        <v>3617670</v>
      </c>
      <c r="Q20" s="70">
        <f t="shared" si="2"/>
        <v>1628140.4805914972</v>
      </c>
      <c r="R20" s="70">
        <f t="shared" si="3"/>
        <v>1761648</v>
      </c>
      <c r="S20" s="70">
        <f t="shared" si="4"/>
        <v>1856022</v>
      </c>
    </row>
    <row r="21" spans="1:19" s="85" customFormat="1" x14ac:dyDescent="0.6">
      <c r="A21" s="60">
        <f t="shared" si="5"/>
        <v>18</v>
      </c>
      <c r="B21" s="85" t="s">
        <v>167</v>
      </c>
      <c r="C21" s="89">
        <f t="shared" si="6"/>
        <v>0.183</v>
      </c>
      <c r="D21" s="89">
        <f>0.246+0.044</f>
        <v>0.28999999999999998</v>
      </c>
      <c r="E21" s="89"/>
      <c r="F21" s="89">
        <f t="shared" si="0"/>
        <v>0.47299999999999998</v>
      </c>
      <c r="G21" s="174">
        <v>0.06</v>
      </c>
      <c r="H21" s="956">
        <v>176</v>
      </c>
      <c r="I21" s="897">
        <f t="shared" si="7"/>
        <v>7392000</v>
      </c>
      <c r="J21" s="156">
        <f t="shared" si="12"/>
        <v>0.55500000000000005</v>
      </c>
      <c r="K21" s="156">
        <f t="shared" si="13"/>
        <v>0.25</v>
      </c>
      <c r="L21" s="156">
        <f t="shared" si="8"/>
        <v>0.80500000000000005</v>
      </c>
      <c r="M21" s="156">
        <f t="shared" si="9"/>
        <v>0.31320754716981136</v>
      </c>
      <c r="N21" s="156">
        <f t="shared" si="1"/>
        <v>0.33200000000000007</v>
      </c>
      <c r="O21" s="952">
        <f t="shared" si="10"/>
        <v>0.49179245283018869</v>
      </c>
      <c r="P21" s="70">
        <f t="shared" si="11"/>
        <v>5950560</v>
      </c>
      <c r="Q21" s="70">
        <f t="shared" si="2"/>
        <v>2315230.1886792458</v>
      </c>
      <c r="R21" s="70">
        <f t="shared" si="3"/>
        <v>2454144.0000000005</v>
      </c>
      <c r="S21" s="70">
        <f t="shared" si="4"/>
        <v>3496415.9999999995</v>
      </c>
    </row>
    <row r="22" spans="1:19" s="85" customFormat="1" x14ac:dyDescent="0.6">
      <c r="A22" s="60">
        <f t="shared" si="5"/>
        <v>19</v>
      </c>
      <c r="B22" s="85" t="s">
        <v>179</v>
      </c>
      <c r="C22" s="89">
        <f t="shared" si="6"/>
        <v>0.183</v>
      </c>
      <c r="D22" s="89">
        <v>0.16</v>
      </c>
      <c r="E22" s="89"/>
      <c r="F22" s="89">
        <f t="shared" si="0"/>
        <v>0.34299999999999997</v>
      </c>
      <c r="G22" s="174">
        <v>8.9099999999999999E-2</v>
      </c>
      <c r="H22" s="956">
        <v>101</v>
      </c>
      <c r="I22" s="897">
        <f t="shared" si="7"/>
        <v>4242000</v>
      </c>
      <c r="J22" s="156">
        <f t="shared" si="12"/>
        <v>0.55500000000000005</v>
      </c>
      <c r="K22" s="156">
        <f t="shared" si="13"/>
        <v>0.25</v>
      </c>
      <c r="L22" s="156">
        <f t="shared" si="8"/>
        <v>0.80500000000000005</v>
      </c>
      <c r="M22" s="156">
        <f t="shared" si="9"/>
        <v>0.42420347075566989</v>
      </c>
      <c r="N22" s="156">
        <f t="shared" si="1"/>
        <v>0.46200000000000008</v>
      </c>
      <c r="O22" s="952">
        <f t="shared" si="10"/>
        <v>0.38079652924433016</v>
      </c>
      <c r="P22" s="70">
        <f t="shared" si="11"/>
        <v>3414810</v>
      </c>
      <c r="Q22" s="70">
        <f t="shared" si="2"/>
        <v>1799471.1229455518</v>
      </c>
      <c r="R22" s="70">
        <f t="shared" si="3"/>
        <v>1959804.0000000002</v>
      </c>
      <c r="S22" s="70">
        <f t="shared" si="4"/>
        <v>1455005.9999999998</v>
      </c>
    </row>
    <row r="23" spans="1:19" s="85" customFormat="1" x14ac:dyDescent="0.6">
      <c r="A23" s="60">
        <f t="shared" si="5"/>
        <v>20</v>
      </c>
      <c r="B23" s="85" t="s">
        <v>158</v>
      </c>
      <c r="C23" s="89">
        <f t="shared" si="6"/>
        <v>0.183</v>
      </c>
      <c r="D23" s="89">
        <v>0.219</v>
      </c>
      <c r="E23" s="89"/>
      <c r="F23" s="89">
        <f t="shared" si="0"/>
        <v>0.40200000000000002</v>
      </c>
      <c r="G23" s="174">
        <v>5.5E-2</v>
      </c>
      <c r="H23" s="956">
        <v>23</v>
      </c>
      <c r="I23" s="897">
        <f t="shared" si="7"/>
        <v>966000</v>
      </c>
      <c r="J23" s="156">
        <f t="shared" si="12"/>
        <v>0.55500000000000005</v>
      </c>
      <c r="K23" s="156">
        <f t="shared" si="13"/>
        <v>0.25</v>
      </c>
      <c r="L23" s="156">
        <f t="shared" si="8"/>
        <v>0.80500000000000005</v>
      </c>
      <c r="M23" s="156">
        <f t="shared" si="9"/>
        <v>0.38199052132701428</v>
      </c>
      <c r="N23" s="156">
        <f t="shared" si="1"/>
        <v>0.40300000000000002</v>
      </c>
      <c r="O23" s="952">
        <f t="shared" si="10"/>
        <v>0.42300947867298577</v>
      </c>
      <c r="P23" s="70">
        <f t="shared" si="11"/>
        <v>777630</v>
      </c>
      <c r="Q23" s="70">
        <f t="shared" si="2"/>
        <v>369002.84360189579</v>
      </c>
      <c r="R23" s="70">
        <f t="shared" si="3"/>
        <v>389298</v>
      </c>
      <c r="S23" s="70">
        <f t="shared" si="4"/>
        <v>388332</v>
      </c>
    </row>
    <row r="24" spans="1:19" s="85" customFormat="1" x14ac:dyDescent="0.6">
      <c r="A24" s="60">
        <f t="shared" si="5"/>
        <v>21</v>
      </c>
      <c r="B24" s="85" t="s">
        <v>150</v>
      </c>
      <c r="C24" s="89">
        <f t="shared" si="6"/>
        <v>0.183</v>
      </c>
      <c r="D24" s="89">
        <v>0.32100000000000001</v>
      </c>
      <c r="E24" s="89"/>
      <c r="F24" s="89">
        <f t="shared" si="0"/>
        <v>0.504</v>
      </c>
      <c r="G24" s="174">
        <v>0.06</v>
      </c>
      <c r="H24" s="956">
        <v>100</v>
      </c>
      <c r="I24" s="897">
        <f t="shared" si="7"/>
        <v>4200000</v>
      </c>
      <c r="J24" s="156">
        <f t="shared" si="12"/>
        <v>0.55500000000000005</v>
      </c>
      <c r="K24" s="156">
        <f t="shared" si="13"/>
        <v>0.25</v>
      </c>
      <c r="L24" s="156">
        <f t="shared" si="8"/>
        <v>0.80500000000000005</v>
      </c>
      <c r="M24" s="156">
        <f t="shared" si="9"/>
        <v>0.28396226415094344</v>
      </c>
      <c r="N24" s="156">
        <f t="shared" si="1"/>
        <v>0.30100000000000005</v>
      </c>
      <c r="O24" s="952">
        <f t="shared" si="10"/>
        <v>0.52103773584905655</v>
      </c>
      <c r="P24" s="70">
        <f t="shared" si="11"/>
        <v>3381000</v>
      </c>
      <c r="Q24" s="70">
        <f t="shared" si="2"/>
        <v>1192641.5094339624</v>
      </c>
      <c r="R24" s="70">
        <f t="shared" si="3"/>
        <v>1264200.0000000002</v>
      </c>
      <c r="S24" s="70">
        <f t="shared" si="4"/>
        <v>2116800</v>
      </c>
    </row>
    <row r="25" spans="1:19" s="85" customFormat="1" x14ac:dyDescent="0.6">
      <c r="A25" s="60">
        <f t="shared" si="5"/>
        <v>22</v>
      </c>
      <c r="B25" s="85" t="s">
        <v>166</v>
      </c>
      <c r="C25" s="89">
        <f t="shared" si="6"/>
        <v>0.183</v>
      </c>
      <c r="D25" s="89">
        <v>0.24</v>
      </c>
      <c r="E25" s="89"/>
      <c r="F25" s="89">
        <f t="shared" si="0"/>
        <v>0.42299999999999999</v>
      </c>
      <c r="G25" s="174">
        <v>6.25E-2</v>
      </c>
      <c r="H25" s="956">
        <v>113</v>
      </c>
      <c r="I25" s="897">
        <f t="shared" si="7"/>
        <v>4746000</v>
      </c>
      <c r="J25" s="156">
        <f t="shared" si="12"/>
        <v>0.55500000000000005</v>
      </c>
      <c r="K25" s="156">
        <f t="shared" si="13"/>
        <v>0.25</v>
      </c>
      <c r="L25" s="156">
        <f t="shared" si="8"/>
        <v>0.80500000000000005</v>
      </c>
      <c r="M25" s="156">
        <f t="shared" si="9"/>
        <v>0.35952941176470593</v>
      </c>
      <c r="N25" s="156">
        <f t="shared" si="1"/>
        <v>0.38200000000000006</v>
      </c>
      <c r="O25" s="952">
        <f t="shared" si="10"/>
        <v>0.44547058823529412</v>
      </c>
      <c r="P25" s="70">
        <f t="shared" si="11"/>
        <v>3820530</v>
      </c>
      <c r="Q25" s="70">
        <f t="shared" si="2"/>
        <v>1706326.5882352944</v>
      </c>
      <c r="R25" s="70">
        <f t="shared" si="3"/>
        <v>1812972.0000000002</v>
      </c>
      <c r="S25" s="70">
        <f t="shared" si="4"/>
        <v>2007557.9999999998</v>
      </c>
    </row>
    <row r="26" spans="1:19" s="85" customFormat="1" x14ac:dyDescent="0.6">
      <c r="A26" s="60">
        <f t="shared" si="5"/>
        <v>23</v>
      </c>
      <c r="B26" s="85" t="s">
        <v>155</v>
      </c>
      <c r="C26" s="89">
        <f t="shared" si="6"/>
        <v>0.183</v>
      </c>
      <c r="D26" s="89">
        <v>0</v>
      </c>
      <c r="E26" s="89"/>
      <c r="F26" s="89">
        <f t="shared" si="0"/>
        <v>0.183</v>
      </c>
      <c r="G26" s="174">
        <v>0.06</v>
      </c>
      <c r="H26" s="956">
        <v>413</v>
      </c>
      <c r="I26" s="897">
        <f t="shared" si="7"/>
        <v>17346000</v>
      </c>
      <c r="J26" s="156">
        <f t="shared" si="12"/>
        <v>0.55500000000000005</v>
      </c>
      <c r="K26" s="156">
        <f t="shared" si="13"/>
        <v>0.25</v>
      </c>
      <c r="L26" s="156">
        <f t="shared" si="8"/>
        <v>0.80500000000000005</v>
      </c>
      <c r="M26" s="156">
        <f t="shared" si="9"/>
        <v>0.58679245283018877</v>
      </c>
      <c r="N26" s="156">
        <f t="shared" si="1"/>
        <v>0.62200000000000011</v>
      </c>
      <c r="O26" s="952">
        <f t="shared" si="10"/>
        <v>0.21820754716981128</v>
      </c>
      <c r="P26" s="70">
        <f t="shared" si="11"/>
        <v>13963530</v>
      </c>
      <c r="Q26" s="70">
        <f t="shared" si="2"/>
        <v>10178501.886792455</v>
      </c>
      <c r="R26" s="70">
        <f t="shared" si="3"/>
        <v>10789212.000000002</v>
      </c>
      <c r="S26" s="70">
        <f t="shared" si="4"/>
        <v>3174317.9999999981</v>
      </c>
    </row>
    <row r="27" spans="1:19" s="85" customFormat="1" x14ac:dyDescent="0.6">
      <c r="A27" s="60">
        <f t="shared" si="5"/>
        <v>24</v>
      </c>
      <c r="B27" s="85" t="s">
        <v>162</v>
      </c>
      <c r="C27" s="89">
        <f t="shared" si="6"/>
        <v>0.183</v>
      </c>
      <c r="D27" s="89">
        <v>0.2135</v>
      </c>
      <c r="E27" s="89"/>
      <c r="F27" s="89">
        <f t="shared" si="0"/>
        <v>0.39649999999999996</v>
      </c>
      <c r="G27" s="174">
        <v>7.1999999999999995E-2</v>
      </c>
      <c r="H27" s="956">
        <v>232</v>
      </c>
      <c r="I27" s="897">
        <f t="shared" si="7"/>
        <v>9744000</v>
      </c>
      <c r="J27" s="156">
        <f t="shared" si="12"/>
        <v>0.55500000000000005</v>
      </c>
      <c r="K27" s="156">
        <f t="shared" si="13"/>
        <v>0.25</v>
      </c>
      <c r="L27" s="156">
        <f t="shared" si="8"/>
        <v>0.80500000000000005</v>
      </c>
      <c r="M27" s="156">
        <f t="shared" si="9"/>
        <v>0.38106343283582095</v>
      </c>
      <c r="N27" s="156">
        <f t="shared" si="1"/>
        <v>0.40850000000000009</v>
      </c>
      <c r="O27" s="952">
        <f t="shared" si="10"/>
        <v>0.4239365671641791</v>
      </c>
      <c r="P27" s="70">
        <f t="shared" si="11"/>
        <v>7843920.0000000009</v>
      </c>
      <c r="Q27" s="70">
        <f t="shared" si="2"/>
        <v>3713082.0895522395</v>
      </c>
      <c r="R27" s="70">
        <f t="shared" si="3"/>
        <v>3980424.0000000009</v>
      </c>
      <c r="S27" s="70">
        <f t="shared" si="4"/>
        <v>3863496</v>
      </c>
    </row>
    <row r="28" spans="1:19" s="85" customFormat="1" x14ac:dyDescent="0.6">
      <c r="A28" s="60">
        <f t="shared" si="5"/>
        <v>25</v>
      </c>
      <c r="B28" s="85" t="s">
        <v>183</v>
      </c>
      <c r="C28" s="89">
        <f t="shared" si="6"/>
        <v>0.183</v>
      </c>
      <c r="D28" s="89">
        <v>0.17</v>
      </c>
      <c r="E28" s="89"/>
      <c r="F28" s="89">
        <f t="shared" si="0"/>
        <v>0.35299999999999998</v>
      </c>
      <c r="G28" s="174">
        <v>7.0699999999999999E-2</v>
      </c>
      <c r="H28" s="956">
        <v>67</v>
      </c>
      <c r="I28" s="897">
        <f t="shared" si="7"/>
        <v>2814000</v>
      </c>
      <c r="J28" s="156">
        <f t="shared" si="12"/>
        <v>0.55500000000000005</v>
      </c>
      <c r="K28" s="156">
        <f t="shared" si="13"/>
        <v>0.25</v>
      </c>
      <c r="L28" s="156">
        <f t="shared" si="8"/>
        <v>0.80500000000000005</v>
      </c>
      <c r="M28" s="156">
        <f t="shared" si="9"/>
        <v>0.42215373120388539</v>
      </c>
      <c r="N28" s="156">
        <f t="shared" si="1"/>
        <v>0.45200000000000007</v>
      </c>
      <c r="O28" s="952">
        <f t="shared" si="10"/>
        <v>0.38284626879611466</v>
      </c>
      <c r="P28" s="70">
        <f t="shared" si="11"/>
        <v>2265270</v>
      </c>
      <c r="Q28" s="70">
        <f t="shared" si="2"/>
        <v>1187940.5996077335</v>
      </c>
      <c r="R28" s="70">
        <f t="shared" si="3"/>
        <v>1271928.0000000002</v>
      </c>
      <c r="S28" s="70">
        <f t="shared" si="4"/>
        <v>993341.99999999977</v>
      </c>
    </row>
    <row r="29" spans="1:19" s="85" customFormat="1" x14ac:dyDescent="0.6">
      <c r="A29" s="60">
        <f t="shared" si="5"/>
        <v>26</v>
      </c>
      <c r="B29" s="85" t="s">
        <v>184</v>
      </c>
      <c r="C29" s="89">
        <f t="shared" si="6"/>
        <v>0.183</v>
      </c>
      <c r="D29" s="89">
        <v>0.17</v>
      </c>
      <c r="E29" s="89"/>
      <c r="F29" s="89">
        <f t="shared" si="0"/>
        <v>0.35299999999999998</v>
      </c>
      <c r="G29" s="174">
        <v>7.8100000000000003E-2</v>
      </c>
      <c r="H29" s="956">
        <v>354</v>
      </c>
      <c r="I29" s="897">
        <f t="shared" si="7"/>
        <v>14868000</v>
      </c>
      <c r="J29" s="156">
        <f t="shared" si="12"/>
        <v>0.55500000000000005</v>
      </c>
      <c r="K29" s="156">
        <f t="shared" si="13"/>
        <v>0.25</v>
      </c>
      <c r="L29" s="156">
        <f t="shared" si="8"/>
        <v>0.80500000000000005</v>
      </c>
      <c r="M29" s="156">
        <f t="shared" si="9"/>
        <v>0.41925609869214364</v>
      </c>
      <c r="N29" s="156">
        <f t="shared" si="1"/>
        <v>0.45200000000000007</v>
      </c>
      <c r="O29" s="952">
        <f t="shared" si="10"/>
        <v>0.38574390130785641</v>
      </c>
      <c r="P29" s="70">
        <f t="shared" si="11"/>
        <v>11968740</v>
      </c>
      <c r="Q29" s="70">
        <f t="shared" si="2"/>
        <v>6233499.6753547918</v>
      </c>
      <c r="R29" s="70">
        <f t="shared" si="3"/>
        <v>6720336.0000000009</v>
      </c>
      <c r="S29" s="70">
        <f t="shared" si="4"/>
        <v>5248403.9999999991</v>
      </c>
    </row>
    <row r="30" spans="1:19" s="85" customFormat="1" x14ac:dyDescent="0.6">
      <c r="A30" s="60">
        <f t="shared" si="5"/>
        <v>27</v>
      </c>
      <c r="B30" s="85" t="s">
        <v>164</v>
      </c>
      <c r="C30" s="89">
        <f t="shared" si="6"/>
        <v>0.183</v>
      </c>
      <c r="D30" s="89">
        <v>5.1799999999999999E-2</v>
      </c>
      <c r="E30" s="89"/>
      <c r="F30" s="89">
        <f t="shared" si="0"/>
        <v>0.23480000000000001</v>
      </c>
      <c r="G30" s="174">
        <v>0</v>
      </c>
      <c r="H30" s="956">
        <v>38</v>
      </c>
      <c r="I30" s="897">
        <f t="shared" si="7"/>
        <v>1596000</v>
      </c>
      <c r="J30" s="156">
        <f t="shared" si="12"/>
        <v>0.55500000000000005</v>
      </c>
      <c r="K30" s="156">
        <f t="shared" si="13"/>
        <v>0.25</v>
      </c>
      <c r="L30" s="156">
        <f t="shared" si="8"/>
        <v>0.80500000000000005</v>
      </c>
      <c r="M30" s="156">
        <f t="shared" si="9"/>
        <v>0.57020000000000004</v>
      </c>
      <c r="N30" s="156">
        <f t="shared" si="1"/>
        <v>0.57020000000000004</v>
      </c>
      <c r="O30" s="952">
        <f t="shared" si="10"/>
        <v>0.23480000000000001</v>
      </c>
      <c r="P30" s="70">
        <f t="shared" si="11"/>
        <v>1284780</v>
      </c>
      <c r="Q30" s="70">
        <f t="shared" si="2"/>
        <v>910039.20000000007</v>
      </c>
      <c r="R30" s="70">
        <f t="shared" si="3"/>
        <v>910039.20000000007</v>
      </c>
      <c r="S30" s="70">
        <f t="shared" si="4"/>
        <v>374740.79999999993</v>
      </c>
    </row>
    <row r="31" spans="1:19" s="85" customFormat="1" x14ac:dyDescent="0.6">
      <c r="A31" s="60">
        <f t="shared" si="5"/>
        <v>28</v>
      </c>
      <c r="B31" s="85" t="s">
        <v>165</v>
      </c>
      <c r="C31" s="89">
        <f t="shared" si="6"/>
        <v>0.183</v>
      </c>
      <c r="D31" s="89">
        <v>0.26100000000000001</v>
      </c>
      <c r="E31" s="89"/>
      <c r="F31" s="89">
        <f t="shared" si="0"/>
        <v>0.44400000000000001</v>
      </c>
      <c r="G31" s="174">
        <v>6.8000000000000005E-2</v>
      </c>
      <c r="H31" s="956">
        <v>67</v>
      </c>
      <c r="I31" s="897">
        <f t="shared" si="7"/>
        <v>2814000</v>
      </c>
      <c r="J31" s="156">
        <f t="shared" si="12"/>
        <v>0.55500000000000005</v>
      </c>
      <c r="K31" s="156">
        <f t="shared" si="13"/>
        <v>0.25</v>
      </c>
      <c r="L31" s="156">
        <f t="shared" si="8"/>
        <v>0.80500000000000005</v>
      </c>
      <c r="M31" s="156">
        <f t="shared" si="9"/>
        <v>0.33801498127340829</v>
      </c>
      <c r="N31" s="156">
        <f t="shared" si="1"/>
        <v>0.3610000000000001</v>
      </c>
      <c r="O31" s="952">
        <f t="shared" si="10"/>
        <v>0.46698501872659176</v>
      </c>
      <c r="P31" s="70">
        <f t="shared" si="11"/>
        <v>2265270</v>
      </c>
      <c r="Q31" s="70">
        <f t="shared" si="2"/>
        <v>951174.15730337088</v>
      </c>
      <c r="R31" s="70">
        <f t="shared" si="3"/>
        <v>1015854.0000000002</v>
      </c>
      <c r="S31" s="70">
        <f t="shared" si="4"/>
        <v>1249415.9999999998</v>
      </c>
    </row>
    <row r="32" spans="1:19" s="85" customFormat="1" x14ac:dyDescent="0.6">
      <c r="A32" s="60">
        <f t="shared" si="5"/>
        <v>29</v>
      </c>
      <c r="B32" s="85" t="s">
        <v>147</v>
      </c>
      <c r="C32" s="89">
        <f t="shared" si="6"/>
        <v>0.183</v>
      </c>
      <c r="D32" s="89">
        <v>0.22</v>
      </c>
      <c r="E32" s="89"/>
      <c r="F32" s="89">
        <f t="shared" si="0"/>
        <v>0.40300000000000002</v>
      </c>
      <c r="G32" s="174">
        <v>7.9399999999999998E-2</v>
      </c>
      <c r="H32" s="956">
        <v>64</v>
      </c>
      <c r="I32" s="897">
        <f t="shared" si="7"/>
        <v>2688000</v>
      </c>
      <c r="J32" s="156">
        <f t="shared" si="12"/>
        <v>0.55500000000000005</v>
      </c>
      <c r="K32" s="156">
        <f t="shared" si="13"/>
        <v>0.25</v>
      </c>
      <c r="L32" s="156">
        <f t="shared" si="8"/>
        <v>0.80500000000000005</v>
      </c>
      <c r="M32" s="156">
        <f t="shared" si="9"/>
        <v>0.37242912729294059</v>
      </c>
      <c r="N32" s="156">
        <f t="shared" si="1"/>
        <v>0.40200000000000002</v>
      </c>
      <c r="O32" s="952">
        <f t="shared" si="10"/>
        <v>0.43257087270705946</v>
      </c>
      <c r="P32" s="70">
        <f t="shared" si="11"/>
        <v>2163840</v>
      </c>
      <c r="Q32" s="70">
        <f t="shared" si="2"/>
        <v>1001089.4941634242</v>
      </c>
      <c r="R32" s="70">
        <f t="shared" si="3"/>
        <v>1080576</v>
      </c>
      <c r="S32" s="70">
        <f t="shared" si="4"/>
        <v>1083264</v>
      </c>
    </row>
    <row r="33" spans="1:19" s="85" customFormat="1" x14ac:dyDescent="0.6">
      <c r="A33" s="60">
        <f t="shared" si="5"/>
        <v>30</v>
      </c>
      <c r="B33" s="85" t="s">
        <v>170</v>
      </c>
      <c r="C33" s="89">
        <f t="shared" si="6"/>
        <v>0.183</v>
      </c>
      <c r="D33" s="89">
        <v>0.222</v>
      </c>
      <c r="E33" s="89"/>
      <c r="F33" s="89">
        <f t="shared" si="0"/>
        <v>0.40500000000000003</v>
      </c>
      <c r="G33" s="174">
        <v>0</v>
      </c>
      <c r="H33" s="956">
        <v>52</v>
      </c>
      <c r="I33" s="897">
        <f t="shared" si="7"/>
        <v>2184000</v>
      </c>
      <c r="J33" s="156">
        <f t="shared" si="12"/>
        <v>0.55500000000000005</v>
      </c>
      <c r="K33" s="156">
        <f t="shared" si="13"/>
        <v>0.25</v>
      </c>
      <c r="L33" s="156">
        <f t="shared" si="8"/>
        <v>0.80500000000000005</v>
      </c>
      <c r="M33" s="156">
        <f t="shared" si="9"/>
        <v>0.4</v>
      </c>
      <c r="N33" s="156">
        <f t="shared" si="1"/>
        <v>0.4</v>
      </c>
      <c r="O33" s="952">
        <f t="shared" si="10"/>
        <v>0.40500000000000003</v>
      </c>
      <c r="P33" s="70">
        <f t="shared" si="11"/>
        <v>1758120</v>
      </c>
      <c r="Q33" s="70">
        <f t="shared" si="2"/>
        <v>873600</v>
      </c>
      <c r="R33" s="70">
        <f t="shared" si="3"/>
        <v>873600</v>
      </c>
      <c r="S33" s="70">
        <f t="shared" si="4"/>
        <v>884520</v>
      </c>
    </row>
    <row r="34" spans="1:19" s="85" customFormat="1" x14ac:dyDescent="0.6">
      <c r="A34" s="60">
        <f t="shared" si="5"/>
        <v>31</v>
      </c>
      <c r="B34" s="85" t="s">
        <v>187</v>
      </c>
      <c r="C34" s="89">
        <f t="shared" si="6"/>
        <v>0.183</v>
      </c>
      <c r="D34" s="89">
        <v>9.2499999999999999E-2</v>
      </c>
      <c r="E34" s="89"/>
      <c r="F34" s="89">
        <f t="shared" si="0"/>
        <v>0.27549999999999997</v>
      </c>
      <c r="G34" s="174">
        <v>6.9699999999999998E-2</v>
      </c>
      <c r="H34" s="956">
        <v>224</v>
      </c>
      <c r="I34" s="897">
        <f t="shared" si="7"/>
        <v>9408000</v>
      </c>
      <c r="J34" s="156">
        <f t="shared" si="12"/>
        <v>0.55500000000000005</v>
      </c>
      <c r="K34" s="156">
        <f t="shared" si="13"/>
        <v>0.25</v>
      </c>
      <c r="L34" s="156">
        <f t="shared" si="8"/>
        <v>0.80500000000000005</v>
      </c>
      <c r="M34" s="156">
        <f t="shared" si="9"/>
        <v>0.49499859773768351</v>
      </c>
      <c r="N34" s="156">
        <f t="shared" si="1"/>
        <v>0.52950000000000008</v>
      </c>
      <c r="O34" s="952">
        <f t="shared" si="10"/>
        <v>0.31000140226231654</v>
      </c>
      <c r="P34" s="70">
        <f t="shared" si="11"/>
        <v>7573440</v>
      </c>
      <c r="Q34" s="70">
        <f t="shared" si="2"/>
        <v>4656946.8075161269</v>
      </c>
      <c r="R34" s="70">
        <f t="shared" si="3"/>
        <v>4981536.0000000009</v>
      </c>
      <c r="S34" s="70">
        <f t="shared" si="4"/>
        <v>2591903.9999999991</v>
      </c>
    </row>
    <row r="35" spans="1:19" s="85" customFormat="1" x14ac:dyDescent="0.6">
      <c r="A35" s="60">
        <f t="shared" si="5"/>
        <v>32</v>
      </c>
      <c r="B35" s="85" t="s">
        <v>182</v>
      </c>
      <c r="C35" s="89">
        <f t="shared" si="6"/>
        <v>0.183</v>
      </c>
      <c r="D35" s="89"/>
      <c r="E35" s="89"/>
      <c r="F35" s="89">
        <f t="shared" si="0"/>
        <v>0.183</v>
      </c>
      <c r="G35" s="174">
        <v>7.3499999999999996E-2</v>
      </c>
      <c r="H35" s="956">
        <v>205</v>
      </c>
      <c r="I35" s="897">
        <f t="shared" si="7"/>
        <v>8610000</v>
      </c>
      <c r="J35" s="156">
        <f t="shared" si="12"/>
        <v>0.55500000000000005</v>
      </c>
      <c r="K35" s="156">
        <f t="shared" si="13"/>
        <v>0.25</v>
      </c>
      <c r="L35" s="156">
        <f t="shared" si="8"/>
        <v>0.80500000000000005</v>
      </c>
      <c r="M35" s="156">
        <f t="shared" si="9"/>
        <v>0.57941313460642774</v>
      </c>
      <c r="N35" s="156">
        <f t="shared" si="1"/>
        <v>0.62200000000000011</v>
      </c>
      <c r="O35" s="952">
        <f t="shared" si="10"/>
        <v>0.22558686539357231</v>
      </c>
      <c r="P35" s="70">
        <f t="shared" si="11"/>
        <v>6931050</v>
      </c>
      <c r="Q35" s="70">
        <f t="shared" si="2"/>
        <v>4988747.0889613433</v>
      </c>
      <c r="R35" s="70">
        <f t="shared" si="3"/>
        <v>5355420.0000000009</v>
      </c>
      <c r="S35" s="70">
        <f t="shared" si="4"/>
        <v>1575629.9999999991</v>
      </c>
    </row>
    <row r="36" spans="1:19" s="85" customFormat="1" x14ac:dyDescent="0.6">
      <c r="A36" s="60">
        <f t="shared" si="5"/>
        <v>33</v>
      </c>
      <c r="B36" s="85" t="s">
        <v>140</v>
      </c>
      <c r="C36" s="89">
        <f t="shared" si="6"/>
        <v>0.183</v>
      </c>
      <c r="D36" s="89">
        <v>0.23699999999999999</v>
      </c>
      <c r="E36" s="89"/>
      <c r="F36" s="89">
        <f t="shared" si="0"/>
        <v>0.42</v>
      </c>
      <c r="G36" s="174">
        <v>8.48E-2</v>
      </c>
      <c r="H36" s="956">
        <v>265</v>
      </c>
      <c r="I36" s="897">
        <f t="shared" si="7"/>
        <v>11130000</v>
      </c>
      <c r="J36" s="156">
        <f t="shared" si="12"/>
        <v>0.55500000000000005</v>
      </c>
      <c r="K36" s="156">
        <f t="shared" si="13"/>
        <v>0.25</v>
      </c>
      <c r="L36" s="156">
        <f t="shared" si="8"/>
        <v>0.80500000000000005</v>
      </c>
      <c r="M36" s="156">
        <f t="shared" si="9"/>
        <v>0.35490412979351038</v>
      </c>
      <c r="N36" s="156">
        <f t="shared" ref="N36:N54" si="17">M36*(1+G36)</f>
        <v>0.38500000000000006</v>
      </c>
      <c r="O36" s="952">
        <f t="shared" si="10"/>
        <v>0.45009587020648967</v>
      </c>
      <c r="P36" s="70">
        <f t="shared" si="11"/>
        <v>8959650</v>
      </c>
      <c r="Q36" s="70">
        <f t="shared" si="2"/>
        <v>3950082.9646017705</v>
      </c>
      <c r="R36" s="70">
        <f t="shared" si="3"/>
        <v>4285050.0000000009</v>
      </c>
      <c r="S36" s="70">
        <f t="shared" si="4"/>
        <v>4674599.9999999991</v>
      </c>
    </row>
    <row r="37" spans="1:19" s="85" customFormat="1" x14ac:dyDescent="0.6">
      <c r="A37" s="60">
        <f t="shared" si="5"/>
        <v>34</v>
      </c>
      <c r="B37" s="85" t="s">
        <v>145</v>
      </c>
      <c r="C37" s="89">
        <f t="shared" si="6"/>
        <v>0.183</v>
      </c>
      <c r="D37" s="89">
        <v>0.36</v>
      </c>
      <c r="E37" s="89"/>
      <c r="F37" s="89">
        <f t="shared" si="0"/>
        <v>0.54299999999999993</v>
      </c>
      <c r="G37" s="174">
        <v>6.9000000000000006E-2</v>
      </c>
      <c r="H37" s="956">
        <v>353</v>
      </c>
      <c r="I37" s="897">
        <f t="shared" si="7"/>
        <v>14826000</v>
      </c>
      <c r="J37" s="156">
        <f t="shared" si="12"/>
        <v>0.55500000000000005</v>
      </c>
      <c r="K37" s="156">
        <f t="shared" si="13"/>
        <v>0.25</v>
      </c>
      <c r="L37" s="156">
        <f t="shared" si="8"/>
        <v>0.80500000000000005</v>
      </c>
      <c r="M37" s="156">
        <f t="shared" si="9"/>
        <v>0.24508886810102912</v>
      </c>
      <c r="N37" s="156">
        <f t="shared" si="17"/>
        <v>0.26200000000000012</v>
      </c>
      <c r="O37" s="952">
        <f t="shared" si="10"/>
        <v>0.5599111318989709</v>
      </c>
      <c r="P37" s="70">
        <f t="shared" si="11"/>
        <v>11934930</v>
      </c>
      <c r="Q37" s="70">
        <f t="shared" si="2"/>
        <v>3633687.5584658575</v>
      </c>
      <c r="R37" s="70">
        <f t="shared" si="3"/>
        <v>3884412.0000000019</v>
      </c>
      <c r="S37" s="70">
        <f t="shared" si="4"/>
        <v>8050517.9999999981</v>
      </c>
    </row>
    <row r="38" spans="1:19" s="85" customFormat="1" x14ac:dyDescent="0.6">
      <c r="A38" s="60">
        <f t="shared" si="5"/>
        <v>35</v>
      </c>
      <c r="B38" s="85" t="s">
        <v>173</v>
      </c>
      <c r="C38" s="89">
        <f t="shared" si="6"/>
        <v>0.183</v>
      </c>
      <c r="D38" s="89">
        <v>0.23</v>
      </c>
      <c r="E38" s="89"/>
      <c r="F38" s="89">
        <f t="shared" si="0"/>
        <v>0.41300000000000003</v>
      </c>
      <c r="G38" s="174">
        <v>6.5600000000000006E-2</v>
      </c>
      <c r="H38" s="956">
        <v>96</v>
      </c>
      <c r="I38" s="897">
        <f t="shared" si="7"/>
        <v>4032000</v>
      </c>
      <c r="J38" s="156">
        <f t="shared" si="12"/>
        <v>0.55500000000000005</v>
      </c>
      <c r="K38" s="156">
        <f t="shared" si="13"/>
        <v>0.25</v>
      </c>
      <c r="L38" s="156">
        <f t="shared" si="8"/>
        <v>0.80500000000000005</v>
      </c>
      <c r="M38" s="156">
        <f t="shared" si="9"/>
        <v>0.36786786786786785</v>
      </c>
      <c r="N38" s="156">
        <f t="shared" si="17"/>
        <v>0.39200000000000002</v>
      </c>
      <c r="O38" s="952">
        <f t="shared" si="10"/>
        <v>0.4371321321321322</v>
      </c>
      <c r="P38" s="70">
        <f t="shared" si="11"/>
        <v>3245760</v>
      </c>
      <c r="Q38" s="70">
        <f t="shared" si="2"/>
        <v>1483243.2432432431</v>
      </c>
      <c r="R38" s="70">
        <f t="shared" si="3"/>
        <v>1580544</v>
      </c>
      <c r="S38" s="70">
        <f t="shared" si="4"/>
        <v>1665216</v>
      </c>
    </row>
    <row r="39" spans="1:19" s="85" customFormat="1" x14ac:dyDescent="0.6">
      <c r="A39" s="60">
        <f t="shared" si="5"/>
        <v>36</v>
      </c>
      <c r="B39" s="85" t="s">
        <v>163</v>
      </c>
      <c r="C39" s="89">
        <f t="shared" si="6"/>
        <v>0.183</v>
      </c>
      <c r="D39" s="89">
        <v>0.28000000000000003</v>
      </c>
      <c r="E39" s="89"/>
      <c r="F39" s="89">
        <f t="shared" si="0"/>
        <v>0.46300000000000002</v>
      </c>
      <c r="G39" s="174">
        <v>7.0999999999999994E-2</v>
      </c>
      <c r="H39" s="956">
        <v>485</v>
      </c>
      <c r="I39" s="897">
        <f t="shared" si="7"/>
        <v>20370000</v>
      </c>
      <c r="J39" s="156">
        <f t="shared" si="12"/>
        <v>0.55500000000000005</v>
      </c>
      <c r="K39" s="156">
        <f t="shared" si="13"/>
        <v>0.25</v>
      </c>
      <c r="L39" s="156">
        <f t="shared" si="8"/>
        <v>0.80500000000000005</v>
      </c>
      <c r="M39" s="156">
        <f t="shared" si="9"/>
        <v>0.31932773109243701</v>
      </c>
      <c r="N39" s="156">
        <f t="shared" si="17"/>
        <v>0.34200000000000003</v>
      </c>
      <c r="O39" s="952">
        <f t="shared" si="10"/>
        <v>0.48567226890756304</v>
      </c>
      <c r="P39" s="70">
        <f t="shared" si="11"/>
        <v>16397850.000000002</v>
      </c>
      <c r="Q39" s="70">
        <f t="shared" si="2"/>
        <v>6504705.8823529417</v>
      </c>
      <c r="R39" s="70">
        <f t="shared" si="3"/>
        <v>6966540.0000000009</v>
      </c>
      <c r="S39" s="70">
        <f t="shared" si="4"/>
        <v>9431310</v>
      </c>
    </row>
    <row r="40" spans="1:19" s="85" customFormat="1" x14ac:dyDescent="0.6">
      <c r="A40" s="60">
        <f t="shared" si="5"/>
        <v>37</v>
      </c>
      <c r="B40" s="85" t="s">
        <v>185</v>
      </c>
      <c r="C40" s="89">
        <f t="shared" si="6"/>
        <v>0.183</v>
      </c>
      <c r="D40" s="89">
        <v>0.16</v>
      </c>
      <c r="E40" s="89"/>
      <c r="F40" s="89">
        <f t="shared" si="0"/>
        <v>0.34299999999999997</v>
      </c>
      <c r="G40" s="174">
        <v>8.77E-2</v>
      </c>
      <c r="H40" s="956">
        <v>164</v>
      </c>
      <c r="I40" s="897">
        <f t="shared" si="7"/>
        <v>6888000</v>
      </c>
      <c r="J40" s="156">
        <f t="shared" si="12"/>
        <v>0.55500000000000005</v>
      </c>
      <c r="K40" s="156">
        <f t="shared" si="13"/>
        <v>0.25</v>
      </c>
      <c r="L40" s="156">
        <f t="shared" si="8"/>
        <v>0.80500000000000005</v>
      </c>
      <c r="M40" s="156">
        <f t="shared" si="9"/>
        <v>0.4247494713615888</v>
      </c>
      <c r="N40" s="156">
        <f t="shared" si="17"/>
        <v>0.46200000000000008</v>
      </c>
      <c r="O40" s="952">
        <f t="shared" si="10"/>
        <v>0.38025052863841124</v>
      </c>
      <c r="P40" s="70">
        <f t="shared" si="11"/>
        <v>5544840</v>
      </c>
      <c r="Q40" s="70">
        <f t="shared" si="2"/>
        <v>2925674.3587386236</v>
      </c>
      <c r="R40" s="70">
        <f t="shared" si="3"/>
        <v>3182256.0000000005</v>
      </c>
      <c r="S40" s="70">
        <f t="shared" si="4"/>
        <v>2362583.9999999995</v>
      </c>
    </row>
    <row r="41" spans="1:19" s="85" customFormat="1" x14ac:dyDescent="0.6">
      <c r="A41" s="60">
        <f t="shared" si="5"/>
        <v>38</v>
      </c>
      <c r="B41" s="85" t="s">
        <v>153</v>
      </c>
      <c r="C41" s="89">
        <f t="shared" si="6"/>
        <v>0.183</v>
      </c>
      <c r="D41" s="89"/>
      <c r="E41" s="89"/>
      <c r="F41" s="89">
        <f t="shared" si="0"/>
        <v>0.183</v>
      </c>
      <c r="G41" s="174">
        <v>0</v>
      </c>
      <c r="H41" s="956">
        <v>219</v>
      </c>
      <c r="I41" s="897">
        <f t="shared" si="7"/>
        <v>9198000</v>
      </c>
      <c r="J41" s="156">
        <f t="shared" si="12"/>
        <v>0.55500000000000005</v>
      </c>
      <c r="K41" s="156">
        <f t="shared" si="13"/>
        <v>0.25</v>
      </c>
      <c r="L41" s="156">
        <f t="shared" si="8"/>
        <v>0.80500000000000005</v>
      </c>
      <c r="M41" s="156">
        <f t="shared" si="9"/>
        <v>0.62200000000000011</v>
      </c>
      <c r="N41" s="156">
        <f t="shared" si="17"/>
        <v>0.62200000000000011</v>
      </c>
      <c r="O41" s="952">
        <f t="shared" si="10"/>
        <v>0.18299999999999994</v>
      </c>
      <c r="P41" s="70">
        <f t="shared" si="11"/>
        <v>7404390</v>
      </c>
      <c r="Q41" s="70">
        <f t="shared" si="2"/>
        <v>5721156.0000000009</v>
      </c>
      <c r="R41" s="70">
        <f t="shared" si="3"/>
        <v>5721156.0000000009</v>
      </c>
      <c r="S41" s="70">
        <f t="shared" si="4"/>
        <v>1683233.9999999991</v>
      </c>
    </row>
    <row r="42" spans="1:19" s="85" customFormat="1" x14ac:dyDescent="0.6">
      <c r="A42" s="60">
        <f t="shared" si="5"/>
        <v>39</v>
      </c>
      <c r="B42" s="85" t="s">
        <v>138</v>
      </c>
      <c r="C42" s="89">
        <f t="shared" si="6"/>
        <v>0.183</v>
      </c>
      <c r="D42" s="89">
        <v>0.372</v>
      </c>
      <c r="E42" s="89"/>
      <c r="F42" s="89">
        <f t="shared" si="0"/>
        <v>0.55499999999999994</v>
      </c>
      <c r="G42" s="174">
        <v>6.3399999999999998E-2</v>
      </c>
      <c r="H42" s="956">
        <v>312</v>
      </c>
      <c r="I42" s="897">
        <f t="shared" si="7"/>
        <v>13104000</v>
      </c>
      <c r="J42" s="156">
        <f t="shared" si="12"/>
        <v>0.55500000000000005</v>
      </c>
      <c r="K42" s="156">
        <f t="shared" si="13"/>
        <v>0.25</v>
      </c>
      <c r="L42" s="156">
        <f t="shared" si="8"/>
        <v>0.80500000000000005</v>
      </c>
      <c r="M42" s="156">
        <f t="shared" si="9"/>
        <v>0.23509497837126211</v>
      </c>
      <c r="N42" s="156">
        <f t="shared" si="17"/>
        <v>0.25000000000000011</v>
      </c>
      <c r="O42" s="952">
        <f t="shared" si="10"/>
        <v>0.56990502162873791</v>
      </c>
      <c r="P42" s="70">
        <f t="shared" si="11"/>
        <v>10548720</v>
      </c>
      <c r="Q42" s="70">
        <f t="shared" si="2"/>
        <v>3080684.596577019</v>
      </c>
      <c r="R42" s="70">
        <f t="shared" si="3"/>
        <v>3276000.0000000014</v>
      </c>
      <c r="S42" s="70">
        <f t="shared" si="4"/>
        <v>7272719.9999999981</v>
      </c>
    </row>
    <row r="43" spans="1:19" s="85" customFormat="1" x14ac:dyDescent="0.6">
      <c r="A43" s="60">
        <f t="shared" si="5"/>
        <v>40</v>
      </c>
      <c r="B43" s="85" t="s">
        <v>146</v>
      </c>
      <c r="C43" s="89">
        <f t="shared" si="6"/>
        <v>0.183</v>
      </c>
      <c r="D43" s="89">
        <v>0.33</v>
      </c>
      <c r="E43" s="89"/>
      <c r="F43" s="89">
        <f t="shared" si="0"/>
        <v>0.51300000000000001</v>
      </c>
      <c r="G43" s="174">
        <v>7.0000000000000007E-2</v>
      </c>
      <c r="H43" s="956">
        <v>36</v>
      </c>
      <c r="I43" s="897">
        <f t="shared" si="7"/>
        <v>1512000</v>
      </c>
      <c r="J43" s="156">
        <f t="shared" si="12"/>
        <v>0.55500000000000005</v>
      </c>
      <c r="K43" s="156">
        <f t="shared" si="13"/>
        <v>0.25</v>
      </c>
      <c r="L43" s="156">
        <f t="shared" si="8"/>
        <v>0.80500000000000005</v>
      </c>
      <c r="M43" s="156">
        <f t="shared" si="9"/>
        <v>0.27289719626168224</v>
      </c>
      <c r="N43" s="156">
        <f t="shared" si="17"/>
        <v>0.29200000000000004</v>
      </c>
      <c r="O43" s="952">
        <f t="shared" si="10"/>
        <v>0.53210280373831775</v>
      </c>
      <c r="P43" s="70">
        <f t="shared" si="11"/>
        <v>1217160</v>
      </c>
      <c r="Q43" s="70">
        <f t="shared" si="2"/>
        <v>412620.56074766355</v>
      </c>
      <c r="R43" s="70">
        <f t="shared" si="3"/>
        <v>441504.00000000006</v>
      </c>
      <c r="S43" s="70">
        <f t="shared" si="4"/>
        <v>775656</v>
      </c>
    </row>
    <row r="44" spans="1:19" s="85" customFormat="1" x14ac:dyDescent="0.6">
      <c r="A44" s="60">
        <f t="shared" si="5"/>
        <v>41</v>
      </c>
      <c r="B44" s="85" t="s">
        <v>186</v>
      </c>
      <c r="C44" s="89">
        <f t="shared" si="6"/>
        <v>0.183</v>
      </c>
      <c r="D44" s="89">
        <v>0.16</v>
      </c>
      <c r="E44" s="89"/>
      <c r="F44" s="89">
        <f t="shared" si="0"/>
        <v>0.34299999999999997</v>
      </c>
      <c r="G44" s="174">
        <v>7.1300000000000002E-2</v>
      </c>
      <c r="H44" s="956">
        <v>162</v>
      </c>
      <c r="I44" s="897">
        <f t="shared" si="7"/>
        <v>6804000</v>
      </c>
      <c r="J44" s="156">
        <f t="shared" si="12"/>
        <v>0.55500000000000005</v>
      </c>
      <c r="K44" s="156">
        <f t="shared" si="13"/>
        <v>0.25</v>
      </c>
      <c r="L44" s="156">
        <f t="shared" si="8"/>
        <v>0.80500000000000005</v>
      </c>
      <c r="M44" s="156">
        <f t="shared" si="9"/>
        <v>0.43125175021002532</v>
      </c>
      <c r="N44" s="156">
        <f t="shared" si="17"/>
        <v>0.46200000000000008</v>
      </c>
      <c r="O44" s="952">
        <f t="shared" si="10"/>
        <v>0.37374824978997473</v>
      </c>
      <c r="P44" s="70">
        <f t="shared" si="11"/>
        <v>5477220</v>
      </c>
      <c r="Q44" s="70">
        <f t="shared" si="2"/>
        <v>2934236.9084290122</v>
      </c>
      <c r="R44" s="70">
        <f t="shared" si="3"/>
        <v>3143448.0000000005</v>
      </c>
      <c r="S44" s="70">
        <f t="shared" si="4"/>
        <v>2333771.9999999995</v>
      </c>
    </row>
    <row r="45" spans="1:19" s="85" customFormat="1" x14ac:dyDescent="0.6">
      <c r="A45" s="60">
        <f t="shared" si="5"/>
        <v>42</v>
      </c>
      <c r="B45" s="85" t="s">
        <v>159</v>
      </c>
      <c r="C45" s="89">
        <f t="shared" si="6"/>
        <v>0.183</v>
      </c>
      <c r="D45" s="89"/>
      <c r="E45" s="89"/>
      <c r="F45" s="89">
        <f t="shared" si="0"/>
        <v>0.183</v>
      </c>
      <c r="G45" s="174">
        <v>5.8299999999999998E-2</v>
      </c>
      <c r="H45" s="956">
        <v>48</v>
      </c>
      <c r="I45" s="897">
        <f t="shared" si="7"/>
        <v>2016000</v>
      </c>
      <c r="J45" s="156">
        <f t="shared" si="12"/>
        <v>0.55500000000000005</v>
      </c>
      <c r="K45" s="156">
        <f t="shared" si="13"/>
        <v>0.25</v>
      </c>
      <c r="L45" s="156">
        <f t="shared" si="8"/>
        <v>0.80500000000000005</v>
      </c>
      <c r="M45" s="156">
        <f t="shared" si="9"/>
        <v>0.58773504677312682</v>
      </c>
      <c r="N45" s="156">
        <f t="shared" si="17"/>
        <v>0.62200000000000011</v>
      </c>
      <c r="O45" s="952">
        <f t="shared" si="10"/>
        <v>0.21726495322687323</v>
      </c>
      <c r="P45" s="70">
        <f t="shared" si="11"/>
        <v>1622880</v>
      </c>
      <c r="Q45" s="70">
        <f t="shared" si="2"/>
        <v>1184873.8542946237</v>
      </c>
      <c r="R45" s="70">
        <f t="shared" si="3"/>
        <v>1253952.0000000002</v>
      </c>
      <c r="S45" s="70">
        <f t="shared" si="4"/>
        <v>368927.99999999977</v>
      </c>
    </row>
    <row r="46" spans="1:19" s="85" customFormat="1" x14ac:dyDescent="0.6">
      <c r="A46" s="60">
        <f t="shared" si="5"/>
        <v>43</v>
      </c>
      <c r="B46" s="85" t="s">
        <v>177</v>
      </c>
      <c r="C46" s="89">
        <f t="shared" si="6"/>
        <v>0.183</v>
      </c>
      <c r="D46" s="89">
        <v>0.14000000000000001</v>
      </c>
      <c r="E46" s="89"/>
      <c r="F46" s="89">
        <f t="shared" si="0"/>
        <v>0.32300000000000001</v>
      </c>
      <c r="G46" s="174">
        <v>9.4500000000000001E-2</v>
      </c>
      <c r="H46" s="956">
        <v>216</v>
      </c>
      <c r="I46" s="897">
        <f t="shared" si="7"/>
        <v>9072000</v>
      </c>
      <c r="J46" s="156">
        <f t="shared" si="12"/>
        <v>0.55500000000000005</v>
      </c>
      <c r="K46" s="156">
        <f t="shared" si="13"/>
        <v>0.25</v>
      </c>
      <c r="L46" s="156">
        <f t="shared" si="8"/>
        <v>0.80500000000000005</v>
      </c>
      <c r="M46" s="156">
        <f t="shared" si="9"/>
        <v>0.44038373686614896</v>
      </c>
      <c r="N46" s="156">
        <f t="shared" si="17"/>
        <v>0.48200000000000004</v>
      </c>
      <c r="O46" s="952">
        <f t="shared" si="10"/>
        <v>0.36461626313385109</v>
      </c>
      <c r="P46" s="70">
        <f t="shared" si="11"/>
        <v>7302960</v>
      </c>
      <c r="Q46" s="70">
        <f t="shared" si="2"/>
        <v>3995161.2608497031</v>
      </c>
      <c r="R46" s="70">
        <f t="shared" si="3"/>
        <v>4372704</v>
      </c>
      <c r="S46" s="70">
        <f t="shared" si="4"/>
        <v>2930256</v>
      </c>
    </row>
    <row r="47" spans="1:19" s="85" customFormat="1" x14ac:dyDescent="0.6">
      <c r="A47" s="60">
        <f t="shared" si="5"/>
        <v>44</v>
      </c>
      <c r="B47" s="85" t="s">
        <v>180</v>
      </c>
      <c r="C47" s="89">
        <f t="shared" si="6"/>
        <v>0.183</v>
      </c>
      <c r="D47" s="89">
        <v>0.15</v>
      </c>
      <c r="E47" s="89"/>
      <c r="F47" s="89">
        <f t="shared" si="0"/>
        <v>0.33299999999999996</v>
      </c>
      <c r="G47" s="174">
        <v>8.0500000000000002E-2</v>
      </c>
      <c r="H47" s="956">
        <v>808</v>
      </c>
      <c r="I47" s="897">
        <f t="shared" si="7"/>
        <v>33936000</v>
      </c>
      <c r="J47" s="156">
        <f t="shared" si="12"/>
        <v>0.55500000000000005</v>
      </c>
      <c r="K47" s="156">
        <f t="shared" si="13"/>
        <v>0.25</v>
      </c>
      <c r="L47" s="156">
        <f t="shared" si="8"/>
        <v>0.80500000000000005</v>
      </c>
      <c r="M47" s="156">
        <f t="shared" si="9"/>
        <v>0.43683479870430364</v>
      </c>
      <c r="N47" s="156">
        <f t="shared" si="17"/>
        <v>0.47200000000000009</v>
      </c>
      <c r="O47" s="952">
        <f t="shared" si="10"/>
        <v>0.36816520129569641</v>
      </c>
      <c r="P47" s="70">
        <f t="shared" si="11"/>
        <v>27318480</v>
      </c>
      <c r="Q47" s="70">
        <f t="shared" si="2"/>
        <v>14824425.728829248</v>
      </c>
      <c r="R47" s="70">
        <f t="shared" si="3"/>
        <v>16017792.000000004</v>
      </c>
      <c r="S47" s="70">
        <f t="shared" si="4"/>
        <v>11300687.999999996</v>
      </c>
    </row>
    <row r="48" spans="1:19" s="85" customFormat="1" x14ac:dyDescent="0.6">
      <c r="A48" s="60">
        <f t="shared" si="5"/>
        <v>45</v>
      </c>
      <c r="B48" s="85" t="s">
        <v>161</v>
      </c>
      <c r="C48" s="89">
        <f t="shared" si="6"/>
        <v>0.183</v>
      </c>
      <c r="D48" s="89"/>
      <c r="E48" s="89"/>
      <c r="F48" s="89">
        <f t="shared" si="0"/>
        <v>0.183</v>
      </c>
      <c r="G48" s="174">
        <v>6.6799999999999998E-2</v>
      </c>
      <c r="H48" s="956">
        <v>64</v>
      </c>
      <c r="I48" s="897">
        <f t="shared" si="7"/>
        <v>2688000</v>
      </c>
      <c r="J48" s="156">
        <f t="shared" si="12"/>
        <v>0.55500000000000005</v>
      </c>
      <c r="K48" s="156">
        <f t="shared" si="13"/>
        <v>0.25</v>
      </c>
      <c r="L48" s="156">
        <f t="shared" si="8"/>
        <v>0.80500000000000005</v>
      </c>
      <c r="M48" s="156">
        <f t="shared" si="9"/>
        <v>0.58305211848518945</v>
      </c>
      <c r="N48" s="156">
        <f t="shared" si="17"/>
        <v>0.62200000000000011</v>
      </c>
      <c r="O48" s="952">
        <f t="shared" si="10"/>
        <v>0.2219478815148106</v>
      </c>
      <c r="P48" s="70">
        <f t="shared" si="11"/>
        <v>2163840</v>
      </c>
      <c r="Q48" s="70">
        <f t="shared" si="2"/>
        <v>1567244.0944881893</v>
      </c>
      <c r="R48" s="70">
        <f t="shared" si="3"/>
        <v>1671936.0000000002</v>
      </c>
      <c r="S48" s="70">
        <f t="shared" si="4"/>
        <v>491903.99999999977</v>
      </c>
    </row>
    <row r="49" spans="1:20" s="85" customFormat="1" x14ac:dyDescent="0.6">
      <c r="A49" s="60">
        <f t="shared" si="5"/>
        <v>46</v>
      </c>
      <c r="B49" s="85" t="s">
        <v>156</v>
      </c>
      <c r="C49" s="89">
        <f t="shared" si="6"/>
        <v>0.183</v>
      </c>
      <c r="D49" s="89"/>
      <c r="E49" s="89"/>
      <c r="F49" s="89">
        <f t="shared" si="0"/>
        <v>0.183</v>
      </c>
      <c r="G49" s="174">
        <v>6.1400000000000003E-2</v>
      </c>
      <c r="H49" s="956">
        <v>11</v>
      </c>
      <c r="I49" s="897">
        <f t="shared" si="7"/>
        <v>462000</v>
      </c>
      <c r="J49" s="156">
        <f t="shared" si="12"/>
        <v>0.55500000000000005</v>
      </c>
      <c r="K49" s="156">
        <f t="shared" si="13"/>
        <v>0.25</v>
      </c>
      <c r="L49" s="156">
        <f t="shared" si="8"/>
        <v>0.80500000000000005</v>
      </c>
      <c r="M49" s="156">
        <f t="shared" si="9"/>
        <v>0.5860184661767478</v>
      </c>
      <c r="N49" s="156">
        <f t="shared" si="17"/>
        <v>0.62200000000000011</v>
      </c>
      <c r="O49" s="952">
        <f t="shared" si="10"/>
        <v>0.21898153382325225</v>
      </c>
      <c r="P49" s="70">
        <f t="shared" si="11"/>
        <v>371910</v>
      </c>
      <c r="Q49" s="70">
        <f t="shared" si="2"/>
        <v>270740.53137365746</v>
      </c>
      <c r="R49" s="70">
        <f t="shared" si="3"/>
        <v>287364.00000000006</v>
      </c>
      <c r="S49" s="70">
        <f t="shared" si="4"/>
        <v>84545.999999999942</v>
      </c>
    </row>
    <row r="50" spans="1:20" s="85" customFormat="1" x14ac:dyDescent="0.6">
      <c r="A50" s="60">
        <f t="shared" si="5"/>
        <v>47</v>
      </c>
      <c r="B50" s="85" t="s">
        <v>174</v>
      </c>
      <c r="C50" s="89">
        <f t="shared" si="6"/>
        <v>0.183</v>
      </c>
      <c r="D50" s="89">
        <f>0.162+0.075</f>
        <v>0.23699999999999999</v>
      </c>
      <c r="E50" s="89"/>
      <c r="F50" s="89">
        <f t="shared" si="0"/>
        <v>0.42</v>
      </c>
      <c r="G50" s="174">
        <v>5.6300000000000003E-2</v>
      </c>
      <c r="H50" s="956">
        <v>184</v>
      </c>
      <c r="I50" s="897">
        <f t="shared" si="7"/>
        <v>7728000</v>
      </c>
      <c r="J50" s="156">
        <f t="shared" si="12"/>
        <v>0.55500000000000005</v>
      </c>
      <c r="K50" s="156">
        <f t="shared" si="13"/>
        <v>0.25</v>
      </c>
      <c r="L50" s="156">
        <f t="shared" si="8"/>
        <v>0.80500000000000005</v>
      </c>
      <c r="M50" s="156">
        <f t="shared" si="9"/>
        <v>0.36447978793903252</v>
      </c>
      <c r="N50" s="156">
        <f t="shared" si="17"/>
        <v>0.38500000000000006</v>
      </c>
      <c r="O50" s="952">
        <f t="shared" si="10"/>
        <v>0.44052021206096753</v>
      </c>
      <c r="P50" s="70">
        <f t="shared" si="11"/>
        <v>6221040</v>
      </c>
      <c r="Q50" s="70">
        <f t="shared" si="2"/>
        <v>2816699.8011928434</v>
      </c>
      <c r="R50" s="70">
        <f t="shared" si="3"/>
        <v>2975280.0000000005</v>
      </c>
      <c r="S50" s="70">
        <f t="shared" si="4"/>
        <v>3245759.9999999995</v>
      </c>
    </row>
    <row r="51" spans="1:20" s="85" customFormat="1" x14ac:dyDescent="0.6">
      <c r="A51" s="60">
        <f t="shared" si="5"/>
        <v>48</v>
      </c>
      <c r="B51" s="85" t="s">
        <v>139</v>
      </c>
      <c r="C51" s="89">
        <f t="shared" si="6"/>
        <v>0.183</v>
      </c>
      <c r="D51" s="89"/>
      <c r="E51" s="89"/>
      <c r="F51" s="89">
        <f t="shared" si="0"/>
        <v>0.183</v>
      </c>
      <c r="G51" s="174">
        <v>8.8900000000000007E-2</v>
      </c>
      <c r="H51" s="956">
        <v>325</v>
      </c>
      <c r="I51" s="897">
        <f t="shared" si="7"/>
        <v>13650000</v>
      </c>
      <c r="J51" s="156">
        <f t="shared" si="12"/>
        <v>0.55500000000000005</v>
      </c>
      <c r="K51" s="156">
        <f t="shared" si="13"/>
        <v>0.25</v>
      </c>
      <c r="L51" s="156">
        <f t="shared" si="8"/>
        <v>0.80500000000000005</v>
      </c>
      <c r="M51" s="156">
        <f t="shared" si="9"/>
        <v>0.57121866103407115</v>
      </c>
      <c r="N51" s="156">
        <f t="shared" si="17"/>
        <v>0.62200000000000011</v>
      </c>
      <c r="O51" s="952">
        <f t="shared" si="10"/>
        <v>0.2337813389659289</v>
      </c>
      <c r="P51" s="70">
        <f t="shared" si="11"/>
        <v>10988250</v>
      </c>
      <c r="Q51" s="70">
        <f t="shared" si="2"/>
        <v>7797134.7231150717</v>
      </c>
      <c r="R51" s="70">
        <f t="shared" si="3"/>
        <v>8490300.0000000019</v>
      </c>
      <c r="S51" s="70">
        <f t="shared" si="4"/>
        <v>2497949.9999999981</v>
      </c>
    </row>
    <row r="52" spans="1:20" s="85" customFormat="1" x14ac:dyDescent="0.6">
      <c r="A52" s="60">
        <f t="shared" si="5"/>
        <v>49</v>
      </c>
      <c r="B52" s="85" t="s">
        <v>148</v>
      </c>
      <c r="C52" s="89">
        <f t="shared" si="6"/>
        <v>0.183</v>
      </c>
      <c r="D52" s="89">
        <v>0.21099999999999999</v>
      </c>
      <c r="E52" s="89"/>
      <c r="F52" s="89">
        <f t="shared" si="0"/>
        <v>0.39400000000000002</v>
      </c>
      <c r="G52" s="174">
        <v>6.0699999999999997E-2</v>
      </c>
      <c r="H52" s="956">
        <v>37</v>
      </c>
      <c r="I52" s="897">
        <f t="shared" si="7"/>
        <v>1554000</v>
      </c>
      <c r="J52" s="156">
        <f t="shared" si="12"/>
        <v>0.55500000000000005</v>
      </c>
      <c r="K52" s="156">
        <f t="shared" si="13"/>
        <v>0.25</v>
      </c>
      <c r="L52" s="156">
        <f t="shared" si="8"/>
        <v>0.80500000000000005</v>
      </c>
      <c r="M52" s="156">
        <f t="shared" si="9"/>
        <v>0.38747996606014901</v>
      </c>
      <c r="N52" s="156">
        <f t="shared" si="17"/>
        <v>0.41100000000000003</v>
      </c>
      <c r="O52" s="952">
        <f t="shared" si="10"/>
        <v>0.41752003393985104</v>
      </c>
      <c r="P52" s="70">
        <f t="shared" si="11"/>
        <v>1250970</v>
      </c>
      <c r="Q52" s="70">
        <f t="shared" si="2"/>
        <v>602143.86725747155</v>
      </c>
      <c r="R52" s="70">
        <f t="shared" si="3"/>
        <v>638694</v>
      </c>
      <c r="S52" s="70">
        <f t="shared" si="4"/>
        <v>612276</v>
      </c>
    </row>
    <row r="53" spans="1:20" s="85" customFormat="1" x14ac:dyDescent="0.6">
      <c r="A53" s="60">
        <f t="shared" si="5"/>
        <v>50</v>
      </c>
      <c r="B53" s="85" t="s">
        <v>149</v>
      </c>
      <c r="C53" s="89">
        <f t="shared" si="6"/>
        <v>0.183</v>
      </c>
      <c r="D53" s="89">
        <v>0.22600000000000001</v>
      </c>
      <c r="E53" s="89"/>
      <c r="F53" s="89">
        <f t="shared" si="0"/>
        <v>0.40900000000000003</v>
      </c>
      <c r="G53" s="174">
        <v>5.4300000000000001E-2</v>
      </c>
      <c r="H53" s="956">
        <v>481</v>
      </c>
      <c r="I53" s="897">
        <f t="shared" si="7"/>
        <v>20202000</v>
      </c>
      <c r="J53" s="156">
        <f t="shared" si="12"/>
        <v>0.55500000000000005</v>
      </c>
      <c r="K53" s="156">
        <f t="shared" si="13"/>
        <v>0.25</v>
      </c>
      <c r="L53" s="156">
        <f t="shared" si="8"/>
        <v>0.80500000000000005</v>
      </c>
      <c r="M53" s="156">
        <f t="shared" si="9"/>
        <v>0.37560466660343356</v>
      </c>
      <c r="N53" s="156">
        <f t="shared" si="17"/>
        <v>0.39600000000000002</v>
      </c>
      <c r="O53" s="952">
        <f t="shared" si="10"/>
        <v>0.42939533339656649</v>
      </c>
      <c r="P53" s="70">
        <f t="shared" si="11"/>
        <v>16262610.000000002</v>
      </c>
      <c r="Q53" s="70">
        <f t="shared" si="2"/>
        <v>7587965.4747225652</v>
      </c>
      <c r="R53" s="70">
        <f t="shared" si="3"/>
        <v>7999992</v>
      </c>
      <c r="S53" s="70">
        <f t="shared" si="4"/>
        <v>8262618.0000000019</v>
      </c>
    </row>
    <row r="54" spans="1:20" s="85" customFormat="1" x14ac:dyDescent="0.6">
      <c r="A54" s="60">
        <f t="shared" si="5"/>
        <v>51</v>
      </c>
      <c r="B54" s="85" t="s">
        <v>169</v>
      </c>
      <c r="C54" s="89">
        <f t="shared" si="6"/>
        <v>0.183</v>
      </c>
      <c r="D54" s="89">
        <v>0.24</v>
      </c>
      <c r="E54" s="89"/>
      <c r="F54" s="89">
        <f t="shared" si="0"/>
        <v>0.42299999999999999</v>
      </c>
      <c r="G54" s="174">
        <v>5.4699999999999999E-2</v>
      </c>
      <c r="H54" s="956">
        <v>16</v>
      </c>
      <c r="I54" s="897">
        <f t="shared" si="7"/>
        <v>672000</v>
      </c>
      <c r="J54" s="156">
        <f t="shared" si="12"/>
        <v>0.55500000000000005</v>
      </c>
      <c r="K54" s="156">
        <f t="shared" si="13"/>
        <v>0.25</v>
      </c>
      <c r="L54" s="156">
        <f t="shared" si="8"/>
        <v>0.80500000000000005</v>
      </c>
      <c r="M54" s="156">
        <f t="shared" si="9"/>
        <v>0.36218829999051871</v>
      </c>
      <c r="N54" s="156">
        <f t="shared" si="17"/>
        <v>0.38200000000000006</v>
      </c>
      <c r="O54" s="952">
        <f t="shared" si="10"/>
        <v>0.44281170000948133</v>
      </c>
      <c r="P54" s="70">
        <f t="shared" si="11"/>
        <v>540960</v>
      </c>
      <c r="Q54" s="70">
        <f t="shared" si="2"/>
        <v>243390.53759362857</v>
      </c>
      <c r="R54" s="70">
        <f t="shared" si="3"/>
        <v>256704.00000000003</v>
      </c>
      <c r="S54" s="70">
        <f t="shared" si="4"/>
        <v>284256</v>
      </c>
    </row>
    <row r="55" spans="1:20" s="85" customFormat="1" x14ac:dyDescent="0.6">
      <c r="C55" s="89"/>
      <c r="D55" s="89"/>
      <c r="E55" s="89"/>
      <c r="F55" s="89"/>
      <c r="G55" s="174"/>
      <c r="H55" s="956"/>
      <c r="I55" s="913"/>
      <c r="J55" s="156"/>
      <c r="K55" s="156"/>
      <c r="L55" s="156"/>
      <c r="M55" s="156"/>
      <c r="N55" s="156"/>
      <c r="O55" s="952"/>
      <c r="P55" s="70"/>
      <c r="Q55" s="70"/>
      <c r="R55" s="70"/>
    </row>
    <row r="56" spans="1:20" s="104" customFormat="1" x14ac:dyDescent="0.6">
      <c r="B56" s="104" t="s">
        <v>42</v>
      </c>
      <c r="C56" s="942"/>
      <c r="D56" s="942">
        <f>SUMPRODUCT(D4:D54,I4:I54)/I56</f>
        <v>0.16339550843373493</v>
      </c>
      <c r="E56" s="942"/>
      <c r="F56" s="942"/>
      <c r="G56" s="943"/>
      <c r="H56" s="950">
        <f>SUM(H4:H55)</f>
        <v>10375</v>
      </c>
      <c r="I56" s="951">
        <f>SUM(I4:I55)</f>
        <v>435750000</v>
      </c>
      <c r="J56" s="881"/>
      <c r="K56" s="881"/>
      <c r="L56" s="881"/>
      <c r="M56" s="156"/>
      <c r="N56" s="881"/>
      <c r="O56" s="952"/>
      <c r="P56" s="593">
        <f>SUM(P4:P55)</f>
        <v>350778750</v>
      </c>
      <c r="Q56" s="593">
        <f>SUM(Q4:Q55)</f>
        <v>186552680.21352467</v>
      </c>
      <c r="R56" s="593">
        <f>SUM(R4:R55)</f>
        <v>199836907.20000002</v>
      </c>
      <c r="S56" s="593">
        <f>SUM(S4:S55)</f>
        <v>150941842.79999998</v>
      </c>
    </row>
    <row r="57" spans="1:20" s="104" customFormat="1" ht="15.9" thickBot="1" x14ac:dyDescent="0.65">
      <c r="A57" s="99"/>
      <c r="B57" s="99"/>
      <c r="C57" s="944"/>
      <c r="D57" s="944"/>
      <c r="E57" s="944"/>
      <c r="F57" s="944"/>
      <c r="G57" s="945"/>
      <c r="H57" s="1171"/>
      <c r="I57" s="954"/>
      <c r="J57" s="237"/>
      <c r="K57" s="237"/>
      <c r="L57" s="237"/>
      <c r="M57" s="237"/>
      <c r="N57" s="237"/>
      <c r="O57" s="955"/>
      <c r="P57" s="944"/>
      <c r="Q57" s="108"/>
      <c r="R57" s="944"/>
      <c r="S57" s="944"/>
      <c r="T57" s="942"/>
    </row>
    <row r="58" spans="1:20" s="85" customFormat="1" ht="15.9" thickTop="1" x14ac:dyDescent="0.6">
      <c r="C58" s="89"/>
      <c r="D58" s="89"/>
      <c r="E58" s="89"/>
      <c r="F58" s="89"/>
      <c r="G58" s="174"/>
      <c r="H58" s="21"/>
      <c r="J58" s="156"/>
      <c r="K58" s="156"/>
      <c r="L58" s="156"/>
      <c r="M58" s="156"/>
      <c r="N58" s="156"/>
      <c r="O58" s="156"/>
      <c r="P58" s="181"/>
      <c r="Q58" s="70"/>
      <c r="R58" s="70"/>
    </row>
    <row r="59" spans="1:20" s="85" customFormat="1" x14ac:dyDescent="0.6">
      <c r="C59" s="89"/>
      <c r="D59" s="89"/>
      <c r="E59" s="89"/>
      <c r="F59" s="89"/>
      <c r="G59" s="178"/>
      <c r="H59" s="1657" t="s">
        <v>1746</v>
      </c>
      <c r="I59" s="828">
        <f>LARGE($I$4:$I$54,1)</f>
        <v>42504000</v>
      </c>
      <c r="J59" s="156"/>
      <c r="K59" s="156"/>
      <c r="L59" s="156"/>
      <c r="M59" s="156"/>
      <c r="N59" s="156"/>
      <c r="O59" s="156"/>
      <c r="P59" s="70"/>
      <c r="S59" s="240" t="s">
        <v>504</v>
      </c>
    </row>
    <row r="60" spans="1:20" s="85" customFormat="1" x14ac:dyDescent="0.6">
      <c r="C60" s="89" t="s">
        <v>401</v>
      </c>
      <c r="D60" s="812">
        <f>Assumptions!C31/Assumptions!C8</f>
        <v>0.72799999999999998</v>
      </c>
      <c r="E60" s="89" t="s">
        <v>128</v>
      </c>
      <c r="F60" s="89"/>
      <c r="G60" s="178"/>
      <c r="H60" s="1267" t="s">
        <v>1744</v>
      </c>
      <c r="I60" s="828">
        <f>LARGE($I$4:$I$54,2)</f>
        <v>33936000</v>
      </c>
      <c r="J60" s="156"/>
      <c r="K60" s="156"/>
      <c r="L60" s="156"/>
      <c r="M60" s="156"/>
      <c r="N60" s="156"/>
      <c r="O60" s="156"/>
      <c r="P60" s="70"/>
      <c r="Q60" s="70" t="s">
        <v>26</v>
      </c>
      <c r="R60" s="70">
        <f>P56-Q56</f>
        <v>164226069.78647533</v>
      </c>
      <c r="S60" s="881">
        <f>R60/$I$56</f>
        <v>0.37688139939523885</v>
      </c>
    </row>
    <row r="61" spans="1:20" s="85" customFormat="1" x14ac:dyDescent="0.6">
      <c r="C61" s="89"/>
      <c r="D61" s="89"/>
      <c r="E61" s="89"/>
      <c r="F61" s="89"/>
      <c r="G61" s="174"/>
      <c r="H61" s="1657" t="s">
        <v>1745</v>
      </c>
      <c r="I61" s="828">
        <f>LARGE($I$4:$I$54,3)</f>
        <v>21546000</v>
      </c>
      <c r="J61" s="156"/>
      <c r="K61" s="156"/>
      <c r="L61" s="156"/>
      <c r="M61" s="156"/>
      <c r="N61" s="156"/>
      <c r="O61" s="156"/>
      <c r="P61" s="70"/>
      <c r="Q61" s="70" t="s">
        <v>654</v>
      </c>
      <c r="R61" s="70">
        <f>R56-Q56</f>
        <v>13284226.986475348</v>
      </c>
      <c r="S61" s="881">
        <f>R61/$I$56</f>
        <v>3.0485890961503954E-2</v>
      </c>
    </row>
    <row r="62" spans="1:20" s="85" customFormat="1" x14ac:dyDescent="0.6">
      <c r="C62" s="89" t="s">
        <v>1746</v>
      </c>
      <c r="D62" s="89">
        <f>LARGE($D$4:$D$54,1)</f>
        <v>0.372</v>
      </c>
      <c r="E62" s="89"/>
      <c r="F62" s="89"/>
      <c r="G62" s="174"/>
      <c r="H62" s="21"/>
      <c r="J62" s="156"/>
      <c r="K62" s="156"/>
      <c r="L62" s="156"/>
      <c r="M62" s="156"/>
      <c r="N62" s="156"/>
      <c r="O62" s="156"/>
      <c r="P62" s="70"/>
      <c r="Q62" s="70" t="s">
        <v>602</v>
      </c>
      <c r="R62" s="70">
        <f>R60-R61</f>
        <v>150941842.79999998</v>
      </c>
      <c r="S62" s="881">
        <f>R62/$I$56</f>
        <v>0.3463955084337349</v>
      </c>
    </row>
    <row r="63" spans="1:20" s="85" customFormat="1" x14ac:dyDescent="0.6">
      <c r="C63" s="89" t="s">
        <v>1744</v>
      </c>
      <c r="D63" s="89">
        <f>LARGE($D$4:$D$54,2)</f>
        <v>0.36</v>
      </c>
      <c r="E63" s="89"/>
      <c r="F63" s="89"/>
      <c r="G63" s="174"/>
      <c r="H63" s="21"/>
      <c r="J63" s="156"/>
      <c r="K63" s="156"/>
      <c r="L63" s="156"/>
      <c r="M63" s="156"/>
      <c r="N63" s="156"/>
      <c r="O63" s="156"/>
      <c r="P63" s="70"/>
      <c r="Q63" s="70"/>
      <c r="S63" s="70"/>
    </row>
    <row r="64" spans="1:20" s="85" customFormat="1" x14ac:dyDescent="0.6">
      <c r="C64" s="89" t="s">
        <v>1745</v>
      </c>
      <c r="D64" s="89">
        <f>LARGE($D$4:$D$54,3)</f>
        <v>0.33</v>
      </c>
      <c r="E64" s="89"/>
      <c r="F64" s="89"/>
      <c r="G64" s="174"/>
      <c r="H64" s="21"/>
      <c r="J64" s="156"/>
      <c r="K64" s="156"/>
      <c r="L64" s="156"/>
      <c r="M64" s="156"/>
      <c r="N64" s="156"/>
      <c r="O64" s="156"/>
      <c r="P64" s="70"/>
      <c r="Q64" s="70" t="s">
        <v>686</v>
      </c>
      <c r="S64" s="506">
        <f>Q56/I56</f>
        <v>0.42811860060476115</v>
      </c>
    </row>
    <row r="65" spans="3:20" s="85" customFormat="1" x14ac:dyDescent="0.6">
      <c r="C65" s="89"/>
      <c r="D65" s="89"/>
      <c r="E65" s="89"/>
      <c r="F65" s="89"/>
      <c r="G65" s="174"/>
      <c r="H65" s="21"/>
      <c r="J65" s="156"/>
      <c r="K65" s="156"/>
      <c r="L65" s="156"/>
      <c r="M65" s="156"/>
      <c r="N65" s="156"/>
      <c r="O65" s="156"/>
      <c r="P65" s="70"/>
      <c r="Q65" s="70" t="s">
        <v>645</v>
      </c>
      <c r="S65" s="506">
        <f>P56/I56</f>
        <v>0.80500000000000005</v>
      </c>
    </row>
    <row r="66" spans="3:20" s="85" customFormat="1" x14ac:dyDescent="0.6">
      <c r="C66" s="89"/>
      <c r="D66" s="89"/>
      <c r="E66" s="89"/>
      <c r="F66" s="89"/>
      <c r="G66" s="174"/>
      <c r="H66" s="21"/>
      <c r="J66" s="156"/>
      <c r="K66" s="156"/>
      <c r="L66" s="156"/>
      <c r="M66" s="156"/>
      <c r="N66" s="156"/>
      <c r="O66" s="156"/>
      <c r="P66" s="70"/>
      <c r="Q66" s="70"/>
      <c r="R66" s="70"/>
    </row>
    <row r="67" spans="3:20" s="85" customFormat="1" x14ac:dyDescent="0.6">
      <c r="C67" s="89"/>
      <c r="D67" s="89"/>
      <c r="E67" s="89"/>
      <c r="F67" s="89"/>
      <c r="G67" s="174"/>
      <c r="H67" s="21"/>
      <c r="J67" s="156"/>
      <c r="K67" s="156"/>
      <c r="L67" s="156"/>
      <c r="M67" s="156"/>
      <c r="N67" s="156"/>
      <c r="O67" s="156"/>
      <c r="P67" s="70"/>
      <c r="Q67" s="17"/>
      <c r="R67" s="1" t="s">
        <v>180</v>
      </c>
      <c r="S67" s="17">
        <f>LARGE(S4:S54,1)</f>
        <v>11300687.999999996</v>
      </c>
      <c r="T67" s="826"/>
    </row>
    <row r="68" spans="3:20" s="85" customFormat="1" x14ac:dyDescent="0.6">
      <c r="C68" s="89"/>
      <c r="D68" s="89"/>
      <c r="E68" s="89"/>
      <c r="F68" s="89"/>
      <c r="G68" s="174"/>
      <c r="H68" s="21"/>
      <c r="J68" s="156"/>
      <c r="K68" s="156"/>
      <c r="L68" s="156"/>
      <c r="M68" s="156"/>
      <c r="N68" s="156"/>
      <c r="O68" s="156"/>
      <c r="P68" s="70"/>
      <c r="Q68" s="1"/>
      <c r="R68" s="1" t="s">
        <v>142</v>
      </c>
      <c r="S68" s="70">
        <f>LARGE(S4:S54,2)</f>
        <v>10328471.999999996</v>
      </c>
      <c r="T68" s="17"/>
    </row>
    <row r="69" spans="3:20" s="85" customFormat="1" x14ac:dyDescent="0.6">
      <c r="C69" s="89"/>
      <c r="D69" s="89"/>
      <c r="E69" s="89"/>
      <c r="F69" s="89"/>
      <c r="G69" s="174"/>
      <c r="H69" s="21"/>
      <c r="J69" s="156"/>
      <c r="K69" s="156"/>
      <c r="L69" s="156"/>
      <c r="M69" s="156"/>
      <c r="N69" s="156"/>
      <c r="O69" s="156"/>
      <c r="P69" s="70"/>
      <c r="Q69" s="1"/>
      <c r="R69" s="1" t="s">
        <v>157</v>
      </c>
      <c r="S69" s="70">
        <f>LARGE(S4:S54,3)</f>
        <v>10061981.999999996</v>
      </c>
      <c r="T69" s="17"/>
    </row>
    <row r="70" spans="3:20" s="85" customFormat="1" x14ac:dyDescent="0.6">
      <c r="C70" s="89"/>
      <c r="D70" s="89"/>
      <c r="E70" s="89"/>
      <c r="F70" s="89"/>
      <c r="G70" s="174"/>
      <c r="H70" s="21"/>
      <c r="J70" s="156"/>
      <c r="K70" s="156"/>
      <c r="L70" s="156"/>
      <c r="M70" s="156"/>
      <c r="N70" s="156"/>
      <c r="O70" s="156"/>
      <c r="P70" s="70"/>
      <c r="Q70" s="1"/>
      <c r="R70" s="1"/>
      <c r="S70" s="70"/>
      <c r="T70" s="17"/>
    </row>
    <row r="71" spans="3:20" s="85" customFormat="1" x14ac:dyDescent="0.6">
      <c r="C71" s="89"/>
      <c r="D71" s="89"/>
      <c r="E71" s="89"/>
      <c r="F71" s="89"/>
      <c r="G71" s="174"/>
      <c r="H71" s="21"/>
      <c r="J71" s="156"/>
      <c r="K71" s="156"/>
      <c r="L71" s="156"/>
      <c r="M71" s="156"/>
      <c r="N71" s="156"/>
      <c r="O71" s="156"/>
      <c r="P71" s="70"/>
      <c r="Q71" s="1"/>
      <c r="R71" s="1" t="s">
        <v>852</v>
      </c>
      <c r="S71" s="891">
        <f>SUM(S4:S54)</f>
        <v>150941842.79999998</v>
      </c>
      <c r="T71" s="929">
        <v>51</v>
      </c>
    </row>
    <row r="72" spans="3:20" s="85" customFormat="1" x14ac:dyDescent="0.6">
      <c r="C72" s="89"/>
      <c r="D72" s="89"/>
      <c r="E72" s="89"/>
      <c r="F72" s="89"/>
      <c r="G72" s="174"/>
      <c r="H72" s="21"/>
      <c r="J72" s="156"/>
      <c r="K72" s="156"/>
      <c r="L72" s="156"/>
      <c r="M72" s="156"/>
      <c r="N72" s="156"/>
      <c r="O72" s="156"/>
      <c r="P72" s="70"/>
      <c r="Q72" s="1"/>
      <c r="R72" s="1" t="s">
        <v>853</v>
      </c>
      <c r="S72" s="891">
        <v>0</v>
      </c>
      <c r="T72" s="929">
        <v>0</v>
      </c>
    </row>
    <row r="73" spans="3:20" s="85" customFormat="1" x14ac:dyDescent="0.6">
      <c r="C73" s="89"/>
      <c r="D73" s="89"/>
      <c r="E73" s="89"/>
      <c r="F73" s="89"/>
      <c r="G73" s="174"/>
      <c r="H73" s="21"/>
      <c r="J73" s="156"/>
      <c r="K73" s="156"/>
      <c r="L73" s="156"/>
      <c r="M73" s="156"/>
      <c r="N73" s="156"/>
      <c r="O73" s="156"/>
      <c r="P73" s="70"/>
      <c r="Q73" s="1"/>
      <c r="R73" s="1"/>
      <c r="S73" s="70"/>
      <c r="T73" s="17"/>
    </row>
    <row r="74" spans="3:20" s="85" customFormat="1" x14ac:dyDescent="0.6">
      <c r="C74" s="89"/>
      <c r="D74" s="89"/>
      <c r="E74" s="89"/>
      <c r="F74" s="89"/>
      <c r="G74" s="174"/>
      <c r="H74" s="21"/>
      <c r="J74" s="156"/>
      <c r="K74" s="156"/>
      <c r="L74" s="156"/>
      <c r="M74" s="156"/>
      <c r="N74" s="156"/>
      <c r="O74" s="156"/>
      <c r="P74" s="70"/>
      <c r="Q74" s="1"/>
      <c r="R74" s="1"/>
      <c r="S74" s="891"/>
      <c r="T74" s="17"/>
    </row>
    <row r="75" spans="3:20" s="85" customFormat="1" x14ac:dyDescent="0.6">
      <c r="C75" s="89"/>
      <c r="D75" s="89"/>
      <c r="E75" s="89"/>
      <c r="F75" s="89"/>
      <c r="G75" s="174"/>
      <c r="H75" s="21"/>
      <c r="J75" s="156"/>
      <c r="K75" s="156"/>
      <c r="L75" s="156"/>
      <c r="M75" s="156"/>
      <c r="N75" s="156"/>
      <c r="O75" s="156"/>
      <c r="P75" s="70"/>
      <c r="Q75" s="1"/>
    </row>
    <row r="76" spans="3:20" s="85" customFormat="1" x14ac:dyDescent="0.6">
      <c r="C76" s="89"/>
      <c r="D76" s="89"/>
      <c r="E76" s="89"/>
      <c r="F76" s="89"/>
      <c r="G76" s="174"/>
      <c r="H76" s="21"/>
      <c r="J76" s="156"/>
      <c r="K76" s="156"/>
      <c r="L76" s="156"/>
      <c r="M76" s="156"/>
      <c r="N76" s="156"/>
      <c r="O76" s="156"/>
      <c r="P76" s="70"/>
      <c r="Q76" s="1"/>
    </row>
    <row r="77" spans="3:20" s="85" customFormat="1" x14ac:dyDescent="0.6">
      <c r="C77" s="89"/>
      <c r="D77" s="89"/>
      <c r="E77" s="89"/>
      <c r="F77" s="89"/>
      <c r="G77" s="174"/>
      <c r="H77" s="21"/>
      <c r="J77" s="156"/>
      <c r="K77" s="156"/>
      <c r="L77" s="156"/>
      <c r="M77" s="156"/>
      <c r="N77" s="156"/>
      <c r="O77" s="156"/>
      <c r="P77" s="70"/>
      <c r="Q77" s="17"/>
      <c r="R77" s="17"/>
      <c r="S77" s="891"/>
      <c r="T77" s="1"/>
    </row>
    <row r="78" spans="3:20" s="85" customFormat="1" x14ac:dyDescent="0.6">
      <c r="C78" s="89"/>
      <c r="D78" s="89"/>
      <c r="E78" s="89"/>
      <c r="F78" s="89"/>
      <c r="G78" s="174"/>
      <c r="H78" s="21"/>
      <c r="J78" s="156"/>
      <c r="K78" s="156"/>
      <c r="L78" s="156"/>
      <c r="M78" s="156"/>
      <c r="N78" s="156"/>
      <c r="O78" s="156"/>
      <c r="P78" s="70"/>
      <c r="Q78" s="17"/>
      <c r="R78" s="17"/>
      <c r="S78" s="891"/>
      <c r="T78" s="1"/>
    </row>
    <row r="79" spans="3:20" s="85" customFormat="1" x14ac:dyDescent="0.6">
      <c r="C79" s="89"/>
      <c r="D79" s="89"/>
      <c r="E79" s="89"/>
      <c r="F79" s="89"/>
      <c r="G79" s="174"/>
      <c r="H79" s="21"/>
      <c r="J79" s="156"/>
      <c r="K79" s="156"/>
      <c r="L79" s="156"/>
      <c r="M79" s="156"/>
      <c r="N79" s="156"/>
      <c r="O79" s="156"/>
      <c r="P79" s="70"/>
      <c r="Q79" s="17"/>
      <c r="R79" s="17"/>
      <c r="S79" s="891"/>
      <c r="T79" s="1"/>
    </row>
    <row r="80" spans="3:20" s="85" customFormat="1" x14ac:dyDescent="0.6">
      <c r="C80" s="89"/>
      <c r="D80" s="89"/>
      <c r="E80" s="89"/>
      <c r="F80" s="89"/>
      <c r="G80" s="174"/>
      <c r="H80" s="21"/>
      <c r="J80" s="156"/>
      <c r="K80" s="156"/>
      <c r="L80" s="156"/>
      <c r="M80" s="156"/>
      <c r="N80" s="156"/>
      <c r="O80" s="156"/>
      <c r="P80" s="70"/>
      <c r="Q80" s="17"/>
      <c r="R80" s="17"/>
      <c r="S80" s="70"/>
      <c r="T80" s="1"/>
    </row>
    <row r="81" spans="3:18" s="85" customFormat="1" x14ac:dyDescent="0.6">
      <c r="C81" s="89"/>
      <c r="D81" s="89"/>
      <c r="E81" s="89"/>
      <c r="F81" s="89"/>
      <c r="G81" s="174"/>
      <c r="H81" s="21"/>
      <c r="J81" s="156"/>
      <c r="K81" s="156"/>
      <c r="L81" s="156"/>
      <c r="M81" s="156"/>
      <c r="N81" s="156"/>
      <c r="O81" s="156"/>
      <c r="P81" s="70"/>
      <c r="Q81" s="70"/>
      <c r="R81" s="70"/>
    </row>
    <row r="82" spans="3:18" s="85" customFormat="1" x14ac:dyDescent="0.6">
      <c r="C82" s="89"/>
      <c r="D82" s="89"/>
      <c r="E82" s="89"/>
      <c r="F82" s="89"/>
      <c r="G82" s="174"/>
      <c r="H82" s="21"/>
      <c r="J82" s="156"/>
      <c r="K82" s="156"/>
      <c r="L82" s="156"/>
      <c r="M82" s="156"/>
      <c r="N82" s="156"/>
      <c r="O82" s="156"/>
      <c r="P82" s="70"/>
      <c r="Q82" s="70"/>
      <c r="R82" s="70"/>
    </row>
    <row r="83" spans="3:18" s="85" customFormat="1" x14ac:dyDescent="0.6">
      <c r="C83" s="89"/>
      <c r="D83" s="89"/>
      <c r="E83" s="89"/>
      <c r="F83" s="89"/>
      <c r="G83" s="174"/>
      <c r="H83" s="21"/>
      <c r="J83" s="156"/>
      <c r="K83" s="156"/>
      <c r="L83" s="156"/>
      <c r="M83" s="156"/>
      <c r="N83" s="156"/>
      <c r="O83" s="156"/>
      <c r="P83" s="70"/>
      <c r="Q83" s="70"/>
      <c r="R83" s="70"/>
    </row>
    <row r="84" spans="3:18" s="85" customFormat="1" x14ac:dyDescent="0.6">
      <c r="C84" s="89"/>
      <c r="D84" s="89"/>
      <c r="E84" s="89"/>
      <c r="F84" s="89"/>
      <c r="G84" s="174"/>
      <c r="H84" s="21"/>
      <c r="J84" s="156"/>
      <c r="K84" s="156"/>
      <c r="L84" s="156"/>
      <c r="M84" s="156"/>
      <c r="N84" s="156"/>
      <c r="O84" s="156"/>
      <c r="P84" s="70"/>
      <c r="Q84" s="70"/>
      <c r="R84" s="70"/>
    </row>
    <row r="85" spans="3:18" s="85" customFormat="1" x14ac:dyDescent="0.6">
      <c r="C85" s="89"/>
      <c r="D85" s="89"/>
      <c r="E85" s="89"/>
      <c r="F85" s="89"/>
      <c r="G85" s="174"/>
      <c r="H85" s="21"/>
      <c r="J85" s="156"/>
      <c r="K85" s="156"/>
      <c r="L85" s="156"/>
      <c r="M85" s="156"/>
      <c r="N85" s="156"/>
      <c r="O85" s="156"/>
      <c r="P85" s="70"/>
      <c r="Q85" s="70"/>
      <c r="R85" s="70"/>
    </row>
    <row r="86" spans="3:18" s="85" customFormat="1" x14ac:dyDescent="0.6">
      <c r="C86" s="89"/>
      <c r="D86" s="89"/>
      <c r="E86" s="89"/>
      <c r="F86" s="89"/>
      <c r="G86" s="174"/>
      <c r="H86" s="21"/>
      <c r="J86" s="156"/>
      <c r="K86" s="156"/>
      <c r="L86" s="156"/>
      <c r="M86" s="156"/>
      <c r="N86" s="156"/>
      <c r="O86" s="156"/>
      <c r="P86" s="70"/>
      <c r="Q86" s="70"/>
      <c r="R86" s="70"/>
    </row>
  </sheetData>
  <sortState xmlns:xlrd2="http://schemas.microsoft.com/office/spreadsheetml/2017/richdata2" ref="B4:L54">
    <sortCondition ref="B4:B54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0.5" style="12" customWidth="1"/>
    <col min="7" max="7" width="10.84765625" style="7" bestFit="1" customWidth="1"/>
    <col min="8" max="8" width="11.09765625" style="1" bestFit="1" customWidth="1"/>
    <col min="9" max="9" width="11.09765625" style="10" bestFit="1" customWidth="1"/>
    <col min="10" max="10" width="12.5" style="5" bestFit="1" customWidth="1"/>
    <col min="11" max="11" width="13" style="10" bestFit="1" customWidth="1"/>
    <col min="12" max="12" width="9.5" style="28" customWidth="1"/>
    <col min="13" max="13" width="9.5" style="331" customWidth="1"/>
    <col min="14" max="15" width="10.34765625" style="10" customWidth="1"/>
    <col min="16" max="16" width="15" style="271" customWidth="1"/>
    <col min="17" max="17" width="9.5" style="271" customWidth="1"/>
    <col min="18" max="18" width="15.84765625" style="271" customWidth="1"/>
    <col min="19" max="19" width="9.5" style="10" customWidth="1"/>
    <col min="20" max="20" width="16" style="70" customWidth="1"/>
    <col min="21" max="21" width="19.59765625" style="57" customWidth="1"/>
    <col min="22" max="22" width="15" style="17" bestFit="1" customWidth="1"/>
    <col min="23" max="23" width="17.5" style="17" bestFit="1" customWidth="1"/>
    <col min="24" max="24" width="10.59765625" style="10" bestFit="1" customWidth="1"/>
    <col min="25" max="25" width="18.5" style="17" bestFit="1" customWidth="1"/>
    <col min="26" max="26" width="17.5" style="10" bestFit="1" customWidth="1"/>
    <col min="27" max="16384" width="10.84765625" style="1"/>
  </cols>
  <sheetData>
    <row r="1" spans="1:26" x14ac:dyDescent="0.6">
      <c r="A1" s="24" t="s">
        <v>97</v>
      </c>
      <c r="C1" s="19" t="s">
        <v>855</v>
      </c>
      <c r="E1" s="107"/>
      <c r="F1" s="1177"/>
      <c r="K1" s="54"/>
    </row>
    <row r="2" spans="1:26" s="2" customFormat="1" x14ac:dyDescent="0.6">
      <c r="A2" s="24" t="s">
        <v>131</v>
      </c>
      <c r="C2" s="14" t="s">
        <v>24</v>
      </c>
      <c r="D2" s="14"/>
      <c r="E2" s="56"/>
      <c r="F2" s="115" t="s">
        <v>25</v>
      </c>
      <c r="G2" s="8" t="s">
        <v>87</v>
      </c>
      <c r="H2" s="11" t="s">
        <v>638</v>
      </c>
      <c r="I2" s="11" t="s">
        <v>638</v>
      </c>
      <c r="J2" s="6" t="s">
        <v>627</v>
      </c>
      <c r="K2" s="11" t="s">
        <v>627</v>
      </c>
      <c r="L2" s="71" t="s">
        <v>194</v>
      </c>
      <c r="M2" s="332" t="s">
        <v>194</v>
      </c>
      <c r="N2" s="11" t="s">
        <v>194</v>
      </c>
      <c r="O2" s="11" t="s">
        <v>650</v>
      </c>
      <c r="P2" s="272" t="s">
        <v>397</v>
      </c>
      <c r="Q2" s="272" t="s">
        <v>881</v>
      </c>
      <c r="R2" s="272" t="s">
        <v>1747</v>
      </c>
      <c r="S2" s="11" t="s">
        <v>881</v>
      </c>
      <c r="T2" s="114"/>
      <c r="U2" s="58" t="s">
        <v>622</v>
      </c>
      <c r="V2" s="18" t="s">
        <v>42</v>
      </c>
      <c r="W2" s="18"/>
      <c r="X2" s="11" t="s">
        <v>645</v>
      </c>
      <c r="Y2" s="18"/>
      <c r="Z2" s="11"/>
    </row>
    <row r="3" spans="1:26" s="2" customFormat="1" x14ac:dyDescent="0.6">
      <c r="C3" s="14" t="s">
        <v>93</v>
      </c>
      <c r="D3" s="14" t="s">
        <v>25</v>
      </c>
      <c r="E3" s="56" t="s">
        <v>41</v>
      </c>
      <c r="F3" s="115" t="s">
        <v>1132</v>
      </c>
      <c r="G3" s="8" t="s">
        <v>22</v>
      </c>
      <c r="H3" s="11" t="s">
        <v>649</v>
      </c>
      <c r="I3" s="11" t="s">
        <v>639</v>
      </c>
      <c r="J3" s="6" t="s">
        <v>661</v>
      </c>
      <c r="K3" s="11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272" t="s">
        <v>79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707</v>
      </c>
      <c r="V3" s="18" t="s">
        <v>77</v>
      </c>
      <c r="W3" s="18" t="s">
        <v>34</v>
      </c>
      <c r="X3" s="11" t="s">
        <v>639</v>
      </c>
      <c r="Y3" s="18" t="s">
        <v>642</v>
      </c>
      <c r="Z3" s="11"/>
    </row>
    <row r="4" spans="1:26" x14ac:dyDescent="0.6">
      <c r="A4" s="61">
        <v>1</v>
      </c>
      <c r="B4" s="44" t="s">
        <v>37</v>
      </c>
      <c r="C4" s="290">
        <v>11936</v>
      </c>
      <c r="D4" s="345">
        <f>C4*Assumptions!$C$30</f>
        <v>5815219200</v>
      </c>
      <c r="E4" s="399">
        <v>1</v>
      </c>
      <c r="F4" s="1178"/>
      <c r="G4" s="297">
        <f>Assumptions!$C$115</f>
        <v>3.7854100000000002</v>
      </c>
      <c r="H4" s="389"/>
      <c r="I4" s="301">
        <f>'State LPG - Res'!Q64</f>
        <v>2.1531285035629453</v>
      </c>
      <c r="J4" s="87"/>
      <c r="K4" s="306">
        <f>'State LPG - Res'!Q60</f>
        <v>0</v>
      </c>
      <c r="L4" s="329"/>
      <c r="M4" s="329">
        <f>L4*I4</f>
        <v>0</v>
      </c>
      <c r="N4" s="329">
        <f>M4*J4</f>
        <v>0</v>
      </c>
      <c r="O4" s="313"/>
      <c r="P4" s="314">
        <f>'State LPG - Res'!Q61*D4</f>
        <v>831385879.21446514</v>
      </c>
      <c r="Q4" s="1053">
        <f>K4+O4</f>
        <v>0</v>
      </c>
      <c r="R4" s="1047">
        <f>Q4*D4</f>
        <v>0</v>
      </c>
      <c r="S4" s="310"/>
      <c r="T4" s="366">
        <f>'State LPG - Res'!Q62*D4</f>
        <v>-831385879.21446514</v>
      </c>
      <c r="U4" s="336">
        <f>-'OECD LPG subsidies'!D2</f>
        <v>-157362010</v>
      </c>
      <c r="V4" s="342">
        <f>U4*E4</f>
        <v>-157362010</v>
      </c>
      <c r="W4" s="111">
        <f>T4+V4</f>
        <v>-988747889.21446514</v>
      </c>
      <c r="X4" s="320">
        <f>(I4+K4)*(1+L4)</f>
        <v>2.1531285035629453</v>
      </c>
      <c r="Y4" s="342">
        <f>X4*D4+V4</f>
        <v>12363552203.986507</v>
      </c>
    </row>
    <row r="5" spans="1:26" s="2" customFormat="1" x14ac:dyDescent="0.6">
      <c r="A5" s="40" t="s">
        <v>640</v>
      </c>
      <c r="B5" s="40"/>
      <c r="C5" s="356"/>
      <c r="D5" s="346"/>
      <c r="E5" s="418"/>
      <c r="F5" s="966"/>
      <c r="G5" s="298"/>
      <c r="H5" s="385"/>
      <c r="I5" s="302"/>
      <c r="J5" s="426"/>
      <c r="K5" s="307"/>
      <c r="L5" s="358"/>
      <c r="M5" s="333"/>
      <c r="N5" s="316"/>
      <c r="O5" s="316"/>
      <c r="P5" s="317"/>
      <c r="Q5" s="1051"/>
      <c r="R5" s="1052"/>
      <c r="S5" s="311"/>
      <c r="T5" s="367"/>
      <c r="U5" s="338"/>
      <c r="V5" s="343"/>
      <c r="W5" s="165"/>
      <c r="X5" s="316"/>
      <c r="Y5" s="343"/>
      <c r="Z5" s="11"/>
    </row>
    <row r="6" spans="1:26" x14ac:dyDescent="0.6">
      <c r="A6" s="46">
        <f>A4+1</f>
        <v>2</v>
      </c>
      <c r="B6" s="44" t="s">
        <v>0</v>
      </c>
      <c r="C6" s="290">
        <v>81</v>
      </c>
      <c r="D6" s="345">
        <f>C6*Assumptions!$C$30</f>
        <v>39463200</v>
      </c>
      <c r="E6" s="391">
        <f>Assumptions!$H$3</f>
        <v>1.1863330000000001</v>
      </c>
      <c r="F6" s="1178">
        <f>Assumptions!C29</f>
        <v>487.2</v>
      </c>
      <c r="G6" s="297">
        <f>Assumptions!$C$115</f>
        <v>3.7854100000000002</v>
      </c>
      <c r="H6" s="422"/>
      <c r="I6" s="301">
        <f>'LPG transport'!I6-Assumptions!$C$34+Assumptions!$C$35</f>
        <v>1.8397279077416202</v>
      </c>
      <c r="J6" s="427">
        <v>18.523</v>
      </c>
      <c r="K6" s="286">
        <f>J6/F6*E6</f>
        <v>4.510354301929393E-2</v>
      </c>
      <c r="L6" s="322">
        <v>0.21</v>
      </c>
      <c r="M6" s="329">
        <f t="shared" ref="M6:M26" si="0">L6*I6</f>
        <v>0.38634286062574025</v>
      </c>
      <c r="N6" s="281">
        <f t="shared" ref="N6:N26" si="1">L6*K6</f>
        <v>9.4717440340517257E-3</v>
      </c>
      <c r="O6" s="281">
        <f t="shared" ref="O6:O26" si="2">N6+M6</f>
        <v>0.39581460465979196</v>
      </c>
      <c r="P6" s="314">
        <f t="shared" ref="P6:P26" si="3">M6*D6</f>
        <v>15246325.577445712</v>
      </c>
      <c r="Q6" s="1053">
        <f t="shared" ref="Q6:Q39" si="4">K6+O6</f>
        <v>0.44091814767908588</v>
      </c>
      <c r="R6" s="1047">
        <f t="shared" ref="R6:R39" si="5">Q6*D6</f>
        <v>17400041.045489304</v>
      </c>
      <c r="S6" s="268">
        <f t="shared" ref="S6:S26" si="6">N6+K6</f>
        <v>5.4575287053345654E-2</v>
      </c>
      <c r="T6" s="366">
        <f t="shared" ref="T6:T26" si="7">D6*S6</f>
        <v>2153715.4680435904</v>
      </c>
      <c r="U6" s="336">
        <f>-'OECD LPG subsidies'!D11</f>
        <v>-1412000</v>
      </c>
      <c r="V6" s="342">
        <f t="shared" ref="V6:V26" si="8">U6*E6</f>
        <v>-1675102.1960000002</v>
      </c>
      <c r="W6" s="111">
        <f t="shared" ref="W6:W26" si="9">T6+V6</f>
        <v>478613.2720435902</v>
      </c>
      <c r="X6" s="281">
        <f t="shared" ref="X6:X26" si="10">(I6+K6)*(1+L6)</f>
        <v>2.2806460554207058</v>
      </c>
      <c r="Y6" s="342">
        <f t="shared" ref="Y6:Y26" si="11">X6*D6+V6</f>
        <v>88326489.218278393</v>
      </c>
    </row>
    <row r="7" spans="1:26" x14ac:dyDescent="0.6">
      <c r="A7" s="46">
        <f t="shared" ref="A7:A26" si="12">A6+1</f>
        <v>3</v>
      </c>
      <c r="B7" s="44" t="s">
        <v>1</v>
      </c>
      <c r="C7" s="290">
        <v>43</v>
      </c>
      <c r="D7" s="345">
        <f>C7*Assumptions!$C$30</f>
        <v>20949600</v>
      </c>
      <c r="E7" s="391">
        <f>Assumptions!$H$15</f>
        <v>4.5997000000000003E-2</v>
      </c>
      <c r="F7" s="1178">
        <f>F6</f>
        <v>487.2</v>
      </c>
      <c r="G7" s="297">
        <f>Assumptions!$C$115</f>
        <v>3.7854100000000002</v>
      </c>
      <c r="H7" s="386"/>
      <c r="I7" s="301">
        <f>'LPG transport'!I7-Assumptions!$C$34+Assumptions!$C$35</f>
        <v>1.9180456861166002</v>
      </c>
      <c r="J7" s="428">
        <v>0</v>
      </c>
      <c r="K7" s="286">
        <f>J7/F7*E7</f>
        <v>0</v>
      </c>
      <c r="L7" s="322">
        <v>0.21</v>
      </c>
      <c r="M7" s="329">
        <f t="shared" si="0"/>
        <v>0.402789594084486</v>
      </c>
      <c r="N7" s="281">
        <f t="shared" si="1"/>
        <v>0</v>
      </c>
      <c r="O7" s="281">
        <f t="shared" si="2"/>
        <v>0.402789594084486</v>
      </c>
      <c r="P7" s="314">
        <f t="shared" si="3"/>
        <v>8438280.8802323472</v>
      </c>
      <c r="Q7" s="1053">
        <f t="shared" si="4"/>
        <v>0.402789594084486</v>
      </c>
      <c r="R7" s="1047">
        <f t="shared" si="5"/>
        <v>8438280.8802323472</v>
      </c>
      <c r="S7" s="268">
        <f t="shared" si="6"/>
        <v>0</v>
      </c>
      <c r="T7" s="366">
        <f t="shared" si="7"/>
        <v>0</v>
      </c>
      <c r="U7" s="336">
        <f>-'OECD LPG subsidies'!D16</f>
        <v>0</v>
      </c>
      <c r="V7" s="342">
        <f t="shared" si="8"/>
        <v>0</v>
      </c>
      <c r="W7" s="111">
        <f t="shared" si="9"/>
        <v>0</v>
      </c>
      <c r="X7" s="281">
        <f t="shared" si="10"/>
        <v>2.3208352802010861</v>
      </c>
      <c r="Y7" s="342">
        <f t="shared" si="11"/>
        <v>48620570.786100671</v>
      </c>
    </row>
    <row r="8" spans="1:26" x14ac:dyDescent="0.6">
      <c r="A8" s="46">
        <f t="shared" si="12"/>
        <v>4</v>
      </c>
      <c r="B8" s="44" t="s">
        <v>2</v>
      </c>
      <c r="C8" s="290">
        <v>16</v>
      </c>
      <c r="D8" s="345">
        <f>C8*Assumptions!$C$30</f>
        <v>7795200</v>
      </c>
      <c r="E8" s="391">
        <f>Assumptions!$H$16</f>
        <v>0.15934999999999999</v>
      </c>
      <c r="F8" s="1178">
        <f t="shared" ref="F8:F26" si="13">F7</f>
        <v>487.2</v>
      </c>
      <c r="G8" s="297">
        <f>Assumptions!$C$115</f>
        <v>3.7854100000000002</v>
      </c>
      <c r="H8" s="423"/>
      <c r="I8" s="1077">
        <f>IF(D8=0,0,Assumptions!$C$94+Assumptions!$C$35)</f>
        <v>2.25</v>
      </c>
      <c r="J8" s="437">
        <v>3843</v>
      </c>
      <c r="K8" s="286">
        <f t="shared" ref="K8:K26" si="14">J8/F8*E8</f>
        <v>1.2569418103448275</v>
      </c>
      <c r="L8" s="322">
        <v>0.25</v>
      </c>
      <c r="M8" s="329">
        <f t="shared" si="0"/>
        <v>0.5625</v>
      </c>
      <c r="N8" s="281">
        <f t="shared" si="1"/>
        <v>0.31423545258620689</v>
      </c>
      <c r="O8" s="281">
        <f t="shared" si="2"/>
        <v>0.87673545258620689</v>
      </c>
      <c r="P8" s="314">
        <f t="shared" si="3"/>
        <v>4384800</v>
      </c>
      <c r="Q8" s="1053">
        <f t="shared" si="4"/>
        <v>2.1336772629310343</v>
      </c>
      <c r="R8" s="1047">
        <f t="shared" si="5"/>
        <v>16632440.999999998</v>
      </c>
      <c r="S8" s="268">
        <f t="shared" si="6"/>
        <v>1.5711772629310343</v>
      </c>
      <c r="T8" s="366">
        <f t="shared" si="7"/>
        <v>12247640.999999998</v>
      </c>
      <c r="U8" s="336">
        <f>-'OECD LPG subsidies'!D18</f>
        <v>0</v>
      </c>
      <c r="V8" s="342">
        <f t="shared" si="8"/>
        <v>0</v>
      </c>
      <c r="W8" s="111">
        <f t="shared" si="9"/>
        <v>12247640.999999998</v>
      </c>
      <c r="X8" s="281">
        <f t="shared" si="10"/>
        <v>4.3836772629310348</v>
      </c>
      <c r="Y8" s="342">
        <f t="shared" si="11"/>
        <v>34171641</v>
      </c>
    </row>
    <row r="9" spans="1:26" x14ac:dyDescent="0.6">
      <c r="A9" s="46">
        <f t="shared" si="12"/>
        <v>5</v>
      </c>
      <c r="B9" s="44" t="s">
        <v>3</v>
      </c>
      <c r="C9" s="290">
        <v>542</v>
      </c>
      <c r="D9" s="345">
        <f>C9*Assumptions!$C$30</f>
        <v>264062400</v>
      </c>
      <c r="E9" s="391">
        <f>Assumptions!$H$3</f>
        <v>1.1863330000000001</v>
      </c>
      <c r="F9" s="1178">
        <f t="shared" si="13"/>
        <v>487.2</v>
      </c>
      <c r="G9" s="297">
        <f>Assumptions!$C$115</f>
        <v>3.7854100000000002</v>
      </c>
      <c r="H9" s="422"/>
      <c r="I9" s="301">
        <f>'LPG transport'!I9-Assumptions!$C$34+Assumptions!$C$35</f>
        <v>1.9250522869706903</v>
      </c>
      <c r="J9" s="434">
        <v>60.6</v>
      </c>
      <c r="K9" s="286">
        <f t="shared" si="14"/>
        <v>0.14756112438423646</v>
      </c>
      <c r="L9" s="322">
        <v>0.19</v>
      </c>
      <c r="M9" s="329">
        <f t="shared" si="0"/>
        <v>0.36575993452443117</v>
      </c>
      <c r="N9" s="281">
        <f t="shared" si="1"/>
        <v>2.8036613633004928E-2</v>
      </c>
      <c r="O9" s="281">
        <f t="shared" si="2"/>
        <v>0.39379654815743609</v>
      </c>
      <c r="P9" s="314">
        <f t="shared" si="3"/>
        <v>96583446.134364158</v>
      </c>
      <c r="Q9" s="1053">
        <f t="shared" si="4"/>
        <v>0.54135767254167255</v>
      </c>
      <c r="R9" s="1047">
        <f t="shared" si="5"/>
        <v>142952206.26976815</v>
      </c>
      <c r="S9" s="268">
        <f t="shared" si="6"/>
        <v>0.17559773801724138</v>
      </c>
      <c r="T9" s="366">
        <f t="shared" si="7"/>
        <v>46368760.135403998</v>
      </c>
      <c r="U9" s="336">
        <f>-'OECD LPG subsidies'!D20</f>
        <v>0</v>
      </c>
      <c r="V9" s="342">
        <f t="shared" si="8"/>
        <v>0</v>
      </c>
      <c r="W9" s="111">
        <f t="shared" si="9"/>
        <v>46368760.135403998</v>
      </c>
      <c r="X9" s="281">
        <f t="shared" si="10"/>
        <v>2.4664099595123625</v>
      </c>
      <c r="Y9" s="342">
        <f t="shared" si="11"/>
        <v>651286133.29273725</v>
      </c>
    </row>
    <row r="10" spans="1:26" x14ac:dyDescent="0.6">
      <c r="A10" s="46">
        <f t="shared" si="12"/>
        <v>6</v>
      </c>
      <c r="B10" s="44" t="s">
        <v>4</v>
      </c>
      <c r="C10" s="290">
        <v>5</v>
      </c>
      <c r="D10" s="345">
        <f>C10*Assumptions!$C$30</f>
        <v>2436000</v>
      </c>
      <c r="E10" s="391">
        <f>Assumptions!$H$3</f>
        <v>1.1863330000000001</v>
      </c>
      <c r="F10" s="1178">
        <f t="shared" si="13"/>
        <v>487.2</v>
      </c>
      <c r="G10" s="297">
        <f>Assumptions!$C$115</f>
        <v>3.7854100000000002</v>
      </c>
      <c r="H10" s="422"/>
      <c r="I10" s="301">
        <f>'LPG transport'!I10-Assumptions!$C$34+Assumptions!$C$35</f>
        <v>1.9475060709783401</v>
      </c>
      <c r="J10" s="434">
        <v>0</v>
      </c>
      <c r="K10" s="286">
        <f t="shared" si="14"/>
        <v>0</v>
      </c>
      <c r="L10" s="322">
        <v>0.2</v>
      </c>
      <c r="M10" s="329">
        <f t="shared" si="0"/>
        <v>0.38950121419566802</v>
      </c>
      <c r="N10" s="281">
        <f t="shared" si="1"/>
        <v>0</v>
      </c>
      <c r="O10" s="281">
        <f t="shared" si="2"/>
        <v>0.38950121419566802</v>
      </c>
      <c r="P10" s="314">
        <f t="shared" si="3"/>
        <v>948824.95778064732</v>
      </c>
      <c r="Q10" s="1053">
        <f t="shared" si="4"/>
        <v>0.38950121419566802</v>
      </c>
      <c r="R10" s="1047">
        <f t="shared" si="5"/>
        <v>948824.95778064732</v>
      </c>
      <c r="S10" s="268">
        <f t="shared" si="6"/>
        <v>0</v>
      </c>
      <c r="T10" s="366">
        <f t="shared" si="7"/>
        <v>0</v>
      </c>
      <c r="U10" s="336">
        <f>-'OECD LPG subsidies'!D26</f>
        <v>0</v>
      </c>
      <c r="V10" s="342">
        <f t="shared" si="8"/>
        <v>0</v>
      </c>
      <c r="W10" s="111">
        <f t="shared" si="9"/>
        <v>0</v>
      </c>
      <c r="X10" s="281">
        <f t="shared" si="10"/>
        <v>2.3370072851740078</v>
      </c>
      <c r="Y10" s="342">
        <f t="shared" si="11"/>
        <v>5692949.7466838825</v>
      </c>
    </row>
    <row r="11" spans="1:26" x14ac:dyDescent="0.6">
      <c r="A11" s="46">
        <f t="shared" si="12"/>
        <v>7</v>
      </c>
      <c r="B11" s="44" t="s">
        <v>5</v>
      </c>
      <c r="C11" s="290">
        <v>72</v>
      </c>
      <c r="D11" s="345">
        <f>C11*Assumptions!$C$30</f>
        <v>35078400</v>
      </c>
      <c r="E11" s="391">
        <f>Assumptions!$H$3</f>
        <v>1.1863330000000001</v>
      </c>
      <c r="F11" s="1178">
        <f t="shared" si="13"/>
        <v>487.2</v>
      </c>
      <c r="G11" s="297">
        <f>Assumptions!$C$115</f>
        <v>3.7854100000000002</v>
      </c>
      <c r="H11" s="422"/>
      <c r="I11" s="1077">
        <f>IF(D11=0,0,Assumptions!$C$94+Assumptions!$C$35)</f>
        <v>2.25</v>
      </c>
      <c r="J11" s="434">
        <v>60</v>
      </c>
      <c r="K11" s="286">
        <f t="shared" si="14"/>
        <v>0.14610012315270937</v>
      </c>
      <c r="L11" s="322">
        <v>0.23</v>
      </c>
      <c r="M11" s="329">
        <f t="shared" si="0"/>
        <v>0.51750000000000007</v>
      </c>
      <c r="N11" s="281">
        <f t="shared" si="1"/>
        <v>3.3603028325123158E-2</v>
      </c>
      <c r="O11" s="281">
        <f t="shared" si="2"/>
        <v>0.55110302832512326</v>
      </c>
      <c r="P11" s="314">
        <f t="shared" si="3"/>
        <v>18153072.000000004</v>
      </c>
      <c r="Q11" s="1053">
        <f t="shared" si="4"/>
        <v>0.69720315147783263</v>
      </c>
      <c r="R11" s="1047">
        <f t="shared" si="5"/>
        <v>24456771.028800003</v>
      </c>
      <c r="S11" s="268">
        <f t="shared" si="6"/>
        <v>0.17970315147783253</v>
      </c>
      <c r="T11" s="366">
        <f t="shared" si="7"/>
        <v>6303699.0288000004</v>
      </c>
      <c r="U11" s="336">
        <f>-'OECD LPG subsidies'!D28</f>
        <v>0</v>
      </c>
      <c r="V11" s="342">
        <f t="shared" si="8"/>
        <v>0</v>
      </c>
      <c r="W11" s="111">
        <f t="shared" si="9"/>
        <v>6303699.0288000004</v>
      </c>
      <c r="X11" s="281">
        <f t="shared" si="10"/>
        <v>2.9472031514778325</v>
      </c>
      <c r="Y11" s="342">
        <f t="shared" si="11"/>
        <v>103383171.0288</v>
      </c>
    </row>
    <row r="12" spans="1:26" x14ac:dyDescent="0.6">
      <c r="A12" s="46">
        <f t="shared" si="12"/>
        <v>8</v>
      </c>
      <c r="B12" s="44" t="s">
        <v>6</v>
      </c>
      <c r="C12" s="290">
        <v>951</v>
      </c>
      <c r="D12" s="345">
        <f>C12*Assumptions!$C$30</f>
        <v>463327200</v>
      </c>
      <c r="E12" s="391">
        <f>Assumptions!$H$3</f>
        <v>1.1863330000000001</v>
      </c>
      <c r="F12" s="1178">
        <f t="shared" si="13"/>
        <v>487.2</v>
      </c>
      <c r="G12" s="297">
        <f>Assumptions!$C$115</f>
        <v>3.7854100000000002</v>
      </c>
      <c r="H12" s="422"/>
      <c r="I12" s="301">
        <f>'LPG transport'!I12-Assumptions!$C$34+Assumptions!$C$35</f>
        <v>2.3157481287038002</v>
      </c>
      <c r="J12" s="434">
        <v>15</v>
      </c>
      <c r="K12" s="286">
        <f t="shared" si="14"/>
        <v>3.6525030788177343E-2</v>
      </c>
      <c r="L12" s="322">
        <v>0.21</v>
      </c>
      <c r="M12" s="329">
        <f t="shared" si="0"/>
        <v>0.486307107027798</v>
      </c>
      <c r="N12" s="281">
        <f t="shared" si="1"/>
        <v>7.6702564655172414E-3</v>
      </c>
      <c r="O12" s="281">
        <f t="shared" si="2"/>
        <v>0.49397736349331522</v>
      </c>
      <c r="P12" s="314">
        <f t="shared" si="3"/>
        <v>225319310.23928997</v>
      </c>
      <c r="Q12" s="1053">
        <f t="shared" si="4"/>
        <v>0.5305023942814926</v>
      </c>
      <c r="R12" s="1047">
        <f t="shared" si="5"/>
        <v>245796188.93573996</v>
      </c>
      <c r="S12" s="268">
        <f t="shared" si="6"/>
        <v>4.4195287253694586E-2</v>
      </c>
      <c r="T12" s="366">
        <f t="shared" si="7"/>
        <v>20476878.696450002</v>
      </c>
      <c r="U12" s="336">
        <f>-'OECD LPG subsidies'!D30</f>
        <v>0</v>
      </c>
      <c r="V12" s="342">
        <f t="shared" si="8"/>
        <v>0</v>
      </c>
      <c r="W12" s="111">
        <f t="shared" si="9"/>
        <v>20476878.696450002</v>
      </c>
      <c r="X12" s="281">
        <f t="shared" si="10"/>
        <v>2.8462505229852928</v>
      </c>
      <c r="Y12" s="342">
        <f t="shared" si="11"/>
        <v>1318745285.3133113</v>
      </c>
    </row>
    <row r="13" spans="1:26" x14ac:dyDescent="0.6">
      <c r="A13" s="46">
        <f t="shared" si="12"/>
        <v>9</v>
      </c>
      <c r="B13" s="44" t="s">
        <v>7</v>
      </c>
      <c r="C13" s="290">
        <v>813</v>
      </c>
      <c r="D13" s="345">
        <f>C13*Assumptions!$C$30</f>
        <v>396093600</v>
      </c>
      <c r="E13" s="391">
        <f>Assumptions!$H$3</f>
        <v>1.1863330000000001</v>
      </c>
      <c r="F13" s="1178">
        <f t="shared" si="13"/>
        <v>487.2</v>
      </c>
      <c r="G13" s="297">
        <f>Assumptions!$C$115</f>
        <v>3.7854100000000002</v>
      </c>
      <c r="H13" s="422"/>
      <c r="I13" s="301">
        <f>'LPG transport'!I13-Assumptions!$C$34+Assumptions!$C$35</f>
        <v>2.7333885112460905</v>
      </c>
      <c r="J13" s="434">
        <v>0</v>
      </c>
      <c r="K13" s="286">
        <f t="shared" si="14"/>
        <v>0</v>
      </c>
      <c r="L13" s="322">
        <v>0.2</v>
      </c>
      <c r="M13" s="329">
        <f t="shared" si="0"/>
        <v>0.54667770224921808</v>
      </c>
      <c r="N13" s="281">
        <f t="shared" si="1"/>
        <v>0</v>
      </c>
      <c r="O13" s="281">
        <f t="shared" si="2"/>
        <v>0.54667770224921808</v>
      </c>
      <c r="P13" s="314">
        <f t="shared" si="3"/>
        <v>216535539.1236209</v>
      </c>
      <c r="Q13" s="1053">
        <f t="shared" si="4"/>
        <v>0.54667770224921808</v>
      </c>
      <c r="R13" s="1047">
        <f t="shared" si="5"/>
        <v>216535539.1236209</v>
      </c>
      <c r="S13" s="268">
        <f t="shared" si="6"/>
        <v>0</v>
      </c>
      <c r="T13" s="366">
        <f t="shared" si="7"/>
        <v>0</v>
      </c>
      <c r="U13" s="336">
        <f>-'OECD LPG subsidies'!D32</f>
        <v>0</v>
      </c>
      <c r="V13" s="342">
        <f t="shared" si="8"/>
        <v>0</v>
      </c>
      <c r="W13" s="111">
        <f t="shared" si="9"/>
        <v>0</v>
      </c>
      <c r="X13" s="281">
        <f t="shared" si="10"/>
        <v>3.2800662134953087</v>
      </c>
      <c r="Y13" s="342">
        <f t="shared" si="11"/>
        <v>1299213234.7417254</v>
      </c>
    </row>
    <row r="14" spans="1:26" x14ac:dyDescent="0.6">
      <c r="A14" s="46">
        <f t="shared" si="12"/>
        <v>10</v>
      </c>
      <c r="B14" s="44" t="s">
        <v>8</v>
      </c>
      <c r="C14" s="290">
        <v>55</v>
      </c>
      <c r="D14" s="345">
        <f>C14*Assumptions!$C$30</f>
        <v>26796000</v>
      </c>
      <c r="E14" s="391">
        <f>Assumptions!$H$3</f>
        <v>1.1863330000000001</v>
      </c>
      <c r="F14" s="1178">
        <f t="shared" si="13"/>
        <v>487.2</v>
      </c>
      <c r="G14" s="297">
        <f>Assumptions!$C$115</f>
        <v>3.7854100000000002</v>
      </c>
      <c r="H14" s="422"/>
      <c r="I14" s="1077">
        <f>IF(D14=0,0,Assumptions!$C$94+Assumptions!$C$35)</f>
        <v>2.25</v>
      </c>
      <c r="J14" s="434">
        <v>60.07</v>
      </c>
      <c r="K14" s="286">
        <f t="shared" si="14"/>
        <v>0.14627057329638754</v>
      </c>
      <c r="L14" s="322">
        <v>0.23</v>
      </c>
      <c r="M14" s="329">
        <f t="shared" si="0"/>
        <v>0.51750000000000007</v>
      </c>
      <c r="N14" s="281">
        <f t="shared" si="1"/>
        <v>3.3642231858169135E-2</v>
      </c>
      <c r="O14" s="281">
        <f t="shared" si="2"/>
        <v>0.55114223185816924</v>
      </c>
      <c r="P14" s="314">
        <f t="shared" si="3"/>
        <v>13866930.000000002</v>
      </c>
      <c r="Q14" s="1053">
        <f t="shared" si="4"/>
        <v>0.69741280515455673</v>
      </c>
      <c r="R14" s="1047">
        <f t="shared" si="5"/>
        <v>18687873.526921503</v>
      </c>
      <c r="S14" s="268">
        <f t="shared" si="6"/>
        <v>0.17991280515455668</v>
      </c>
      <c r="T14" s="366">
        <f t="shared" si="7"/>
        <v>4820943.5269215005</v>
      </c>
      <c r="U14" s="336">
        <f>-'OECD LPG subsidies'!D40</f>
        <v>-7539109</v>
      </c>
      <c r="V14" s="342">
        <f t="shared" si="8"/>
        <v>-8943893.7972970009</v>
      </c>
      <c r="W14" s="111">
        <f t="shared" si="9"/>
        <v>-4122950.2703755004</v>
      </c>
      <c r="X14" s="281">
        <f t="shared" si="10"/>
        <v>2.9474128051545567</v>
      </c>
      <c r="Y14" s="342">
        <f t="shared" si="11"/>
        <v>70034979.729624495</v>
      </c>
    </row>
    <row r="15" spans="1:26" x14ac:dyDescent="0.6">
      <c r="A15" s="46">
        <f t="shared" si="12"/>
        <v>11</v>
      </c>
      <c r="B15" s="44" t="s">
        <v>9</v>
      </c>
      <c r="C15" s="290">
        <v>988</v>
      </c>
      <c r="D15" s="345">
        <f>C15*Assumptions!$C$30</f>
        <v>481353600</v>
      </c>
      <c r="E15" s="391">
        <f>Assumptions!$H$3</f>
        <v>1.1863330000000001</v>
      </c>
      <c r="F15" s="1178">
        <f t="shared" si="13"/>
        <v>487.2</v>
      </c>
      <c r="G15" s="297">
        <f>Assumptions!$C$115</f>
        <v>3.7854100000000002</v>
      </c>
      <c r="H15" s="422"/>
      <c r="I15" s="301">
        <f>'LPG transport'!I15-Assumptions!$C$34+Assumptions!$C$35</f>
        <v>1.7813480693217303</v>
      </c>
      <c r="J15" s="434">
        <v>189.94</v>
      </c>
      <c r="K15" s="286">
        <f t="shared" si="14"/>
        <v>0.46250428986042696</v>
      </c>
      <c r="L15" s="322">
        <v>0.22</v>
      </c>
      <c r="M15" s="329">
        <f t="shared" si="0"/>
        <v>0.39189657525078064</v>
      </c>
      <c r="N15" s="281">
        <f t="shared" si="1"/>
        <v>0.10175094376929393</v>
      </c>
      <c r="O15" s="281">
        <f t="shared" si="2"/>
        <v>0.49364751902007459</v>
      </c>
      <c r="P15" s="314">
        <f t="shared" si="3"/>
        <v>188640827.32463416</v>
      </c>
      <c r="Q15" s="1053">
        <f t="shared" si="4"/>
        <v>0.95615180888050155</v>
      </c>
      <c r="R15" s="1047">
        <f t="shared" si="5"/>
        <v>460247115.35114139</v>
      </c>
      <c r="S15" s="268">
        <f t="shared" si="6"/>
        <v>0.56425523362972085</v>
      </c>
      <c r="T15" s="366">
        <f t="shared" si="7"/>
        <v>271606288.0265072</v>
      </c>
      <c r="U15" s="336">
        <f>-'OECD LPG subsidies'!D46</f>
        <v>-111480406</v>
      </c>
      <c r="V15" s="342">
        <f t="shared" si="8"/>
        <v>-132252884.491198</v>
      </c>
      <c r="W15" s="111">
        <f t="shared" si="9"/>
        <v>139353403.5353092</v>
      </c>
      <c r="X15" s="281">
        <f t="shared" si="10"/>
        <v>2.737499878202232</v>
      </c>
      <c r="Y15" s="342">
        <f t="shared" si="11"/>
        <v>1185452536.8810079</v>
      </c>
    </row>
    <row r="16" spans="1:26" x14ac:dyDescent="0.6">
      <c r="A16" s="46">
        <f t="shared" si="12"/>
        <v>12</v>
      </c>
      <c r="B16" s="44" t="s">
        <v>10</v>
      </c>
      <c r="C16" s="290">
        <v>0</v>
      </c>
      <c r="D16" s="345">
        <f>C16*Assumptions!$C$30</f>
        <v>0</v>
      </c>
      <c r="E16" s="391">
        <f>Assumptions!$H$3</f>
        <v>1.1863330000000001</v>
      </c>
      <c r="F16" s="1178">
        <f t="shared" si="13"/>
        <v>487.2</v>
      </c>
      <c r="G16" s="297">
        <f>Assumptions!$C$115</f>
        <v>3.7854100000000002</v>
      </c>
      <c r="H16" s="422"/>
      <c r="I16" s="301">
        <f>'LPG transport'!I16-Assumptions!$C$34+Assumptions!$C$35</f>
        <v>1.7858388261232603</v>
      </c>
      <c r="J16" s="434">
        <v>10</v>
      </c>
      <c r="K16" s="286">
        <f t="shared" si="14"/>
        <v>2.4350020525451561E-2</v>
      </c>
      <c r="L16" s="322">
        <v>0.17</v>
      </c>
      <c r="M16" s="329">
        <f t="shared" si="0"/>
        <v>0.30359260044095426</v>
      </c>
      <c r="N16" s="281">
        <f t="shared" si="1"/>
        <v>4.1395034893267658E-3</v>
      </c>
      <c r="O16" s="281">
        <f t="shared" si="2"/>
        <v>0.30773210393028105</v>
      </c>
      <c r="P16" s="314">
        <f t="shared" si="3"/>
        <v>0</v>
      </c>
      <c r="Q16" s="1053">
        <f t="shared" si="4"/>
        <v>0.3320821244557326</v>
      </c>
      <c r="R16" s="1047">
        <f t="shared" si="5"/>
        <v>0</v>
      </c>
      <c r="S16" s="268">
        <f t="shared" si="6"/>
        <v>2.8489524014778327E-2</v>
      </c>
      <c r="T16" s="366">
        <f t="shared" si="7"/>
        <v>0</v>
      </c>
      <c r="U16" s="336">
        <f>-'OECD LPG subsidies'!D57</f>
        <v>0</v>
      </c>
      <c r="V16" s="342">
        <f t="shared" si="8"/>
        <v>0</v>
      </c>
      <c r="W16" s="111">
        <f t="shared" si="9"/>
        <v>0</v>
      </c>
      <c r="X16" s="281">
        <f t="shared" si="10"/>
        <v>2.1179209505789927</v>
      </c>
      <c r="Y16" s="342">
        <f t="shared" si="11"/>
        <v>0</v>
      </c>
    </row>
    <row r="17" spans="1:26" x14ac:dyDescent="0.6">
      <c r="A17" s="46">
        <f t="shared" si="12"/>
        <v>13</v>
      </c>
      <c r="B17" s="44" t="s">
        <v>11</v>
      </c>
      <c r="C17" s="290">
        <v>53</v>
      </c>
      <c r="D17" s="345">
        <f>C17*Assumptions!$C$30</f>
        <v>25821600</v>
      </c>
      <c r="E17" s="391">
        <f>Assumptions!$H$17</f>
        <v>3.8049999999999998E-3</v>
      </c>
      <c r="F17" s="1178">
        <f t="shared" si="13"/>
        <v>487.2</v>
      </c>
      <c r="G17" s="297">
        <f>Assumptions!$C$115</f>
        <v>3.7854100000000002</v>
      </c>
      <c r="H17" s="459"/>
      <c r="I17" s="301">
        <f>'LPG transport'!I17-Assumptions!$C$34+Assumptions!$C$35</f>
        <v>2.2214049987935001</v>
      </c>
      <c r="J17" s="430">
        <v>0</v>
      </c>
      <c r="K17" s="286">
        <f t="shared" si="14"/>
        <v>0</v>
      </c>
      <c r="L17" s="322">
        <v>0.27</v>
      </c>
      <c r="M17" s="329">
        <f t="shared" si="0"/>
        <v>0.59977934967424507</v>
      </c>
      <c r="N17" s="281">
        <f t="shared" si="1"/>
        <v>0</v>
      </c>
      <c r="O17" s="281">
        <f t="shared" si="2"/>
        <v>0.59977934967424507</v>
      </c>
      <c r="P17" s="314">
        <f t="shared" si="3"/>
        <v>15487262.455548486</v>
      </c>
      <c r="Q17" s="1053">
        <f t="shared" si="4"/>
        <v>0.59977934967424507</v>
      </c>
      <c r="R17" s="1047">
        <f t="shared" si="5"/>
        <v>15487262.455548486</v>
      </c>
      <c r="S17" s="268">
        <f t="shared" si="6"/>
        <v>0</v>
      </c>
      <c r="T17" s="366">
        <f t="shared" si="7"/>
        <v>0</v>
      </c>
      <c r="U17" s="336">
        <f>-'OECD LPG subsidies'!D60</f>
        <v>0</v>
      </c>
      <c r="V17" s="342">
        <f t="shared" si="8"/>
        <v>0</v>
      </c>
      <c r="W17" s="111">
        <f t="shared" si="9"/>
        <v>0</v>
      </c>
      <c r="X17" s="281">
        <f t="shared" si="10"/>
        <v>2.821184348467745</v>
      </c>
      <c r="Y17" s="342">
        <f t="shared" si="11"/>
        <v>72847493.772394732</v>
      </c>
      <c r="Z17" s="1"/>
    </row>
    <row r="18" spans="1:26" x14ac:dyDescent="0.6">
      <c r="A18" s="46">
        <f t="shared" si="12"/>
        <v>14</v>
      </c>
      <c r="B18" s="44" t="s">
        <v>12</v>
      </c>
      <c r="C18" s="290">
        <v>22</v>
      </c>
      <c r="D18" s="345">
        <f>C18*Assumptions!$C$30</f>
        <v>10718400</v>
      </c>
      <c r="E18" s="391">
        <f>Assumptions!$H$3</f>
        <v>1.1863330000000001</v>
      </c>
      <c r="F18" s="1178">
        <f t="shared" si="13"/>
        <v>487.2</v>
      </c>
      <c r="G18" s="297">
        <f>Assumptions!$C$115</f>
        <v>3.7854100000000002</v>
      </c>
      <c r="H18" s="422"/>
      <c r="I18" s="301">
        <f>'LPG transport'!I18-Assumptions!$C$34+Assumptions!$C$35</f>
        <v>1.6196808244666501</v>
      </c>
      <c r="J18" s="434">
        <v>334.67</v>
      </c>
      <c r="K18" s="286">
        <f t="shared" si="14"/>
        <v>0.81492213692528748</v>
      </c>
      <c r="L18" s="322">
        <v>0.21</v>
      </c>
      <c r="M18" s="329">
        <f t="shared" si="0"/>
        <v>0.34013297313799651</v>
      </c>
      <c r="N18" s="281">
        <f t="shared" si="1"/>
        <v>0.17113364875431036</v>
      </c>
      <c r="O18" s="281">
        <f t="shared" si="2"/>
        <v>0.51126662189230687</v>
      </c>
      <c r="P18" s="314">
        <f t="shared" si="3"/>
        <v>3645681.2592823016</v>
      </c>
      <c r="Q18" s="1053">
        <f t="shared" si="4"/>
        <v>1.3261887588175942</v>
      </c>
      <c r="R18" s="1047">
        <f t="shared" si="5"/>
        <v>14214621.592510503</v>
      </c>
      <c r="S18" s="268">
        <f t="shared" si="6"/>
        <v>0.98605578567959784</v>
      </c>
      <c r="T18" s="366">
        <f t="shared" si="7"/>
        <v>10568940.333228201</v>
      </c>
      <c r="U18" s="336">
        <f>-'OECD LPG subsidies'!D62</f>
        <v>0</v>
      </c>
      <c r="V18" s="342">
        <f t="shared" si="8"/>
        <v>0</v>
      </c>
      <c r="W18" s="111">
        <f t="shared" si="9"/>
        <v>10568940.333228201</v>
      </c>
      <c r="X18" s="281">
        <f t="shared" si="10"/>
        <v>2.9458695832842445</v>
      </c>
      <c r="Y18" s="342">
        <f t="shared" si="11"/>
        <v>31575008.541473847</v>
      </c>
      <c r="Z18" s="1"/>
    </row>
    <row r="19" spans="1:26" x14ac:dyDescent="0.6">
      <c r="A19" s="46">
        <f t="shared" si="12"/>
        <v>15</v>
      </c>
      <c r="B19" s="44" t="s">
        <v>13</v>
      </c>
      <c r="C19" s="290">
        <v>31</v>
      </c>
      <c r="D19" s="345">
        <f>C19*Assumptions!$C$30</f>
        <v>15103200</v>
      </c>
      <c r="E19" s="391">
        <f>Assumptions!$H$3</f>
        <v>1.1863330000000001</v>
      </c>
      <c r="F19" s="1178">
        <f t="shared" si="13"/>
        <v>487.2</v>
      </c>
      <c r="G19" s="297">
        <f>Assumptions!$C$115</f>
        <v>3.7854100000000002</v>
      </c>
      <c r="H19" s="422"/>
      <c r="I19" s="301">
        <f>'LPG transport'!I19-Assumptions!$C$34+Assumptions!$C$35</f>
        <v>0.25</v>
      </c>
      <c r="J19" s="434">
        <v>43</v>
      </c>
      <c r="K19" s="286">
        <f t="shared" si="14"/>
        <v>0.10470508825944172</v>
      </c>
      <c r="L19" s="322">
        <v>0.2</v>
      </c>
      <c r="M19" s="329">
        <f t="shared" si="0"/>
        <v>0.05</v>
      </c>
      <c r="N19" s="281">
        <f t="shared" si="1"/>
        <v>2.0941017651888345E-2</v>
      </c>
      <c r="O19" s="281">
        <f t="shared" si="2"/>
        <v>7.0941017651888344E-2</v>
      </c>
      <c r="P19" s="314">
        <f t="shared" si="3"/>
        <v>755160</v>
      </c>
      <c r="Q19" s="1053">
        <f t="shared" si="4"/>
        <v>0.17564610591133006</v>
      </c>
      <c r="R19" s="1047">
        <f t="shared" si="5"/>
        <v>2652818.2668000003</v>
      </c>
      <c r="S19" s="268">
        <f t="shared" si="6"/>
        <v>0.12564610591133007</v>
      </c>
      <c r="T19" s="366">
        <f t="shared" si="7"/>
        <v>1897658.2668000003</v>
      </c>
      <c r="U19" s="336">
        <f>-'OECD LPG subsidies'!D64</f>
        <v>0</v>
      </c>
      <c r="V19" s="342">
        <f t="shared" si="8"/>
        <v>0</v>
      </c>
      <c r="W19" s="111">
        <f t="shared" si="9"/>
        <v>1897658.2668000003</v>
      </c>
      <c r="X19" s="281">
        <f t="shared" si="10"/>
        <v>0.42564610591133001</v>
      </c>
      <c r="Y19" s="342">
        <f t="shared" si="11"/>
        <v>6428618.2667999994</v>
      </c>
      <c r="Z19" s="1"/>
    </row>
    <row r="20" spans="1:26" x14ac:dyDescent="0.6">
      <c r="A20" s="46">
        <f t="shared" si="12"/>
        <v>16</v>
      </c>
      <c r="B20" s="44" t="s">
        <v>14</v>
      </c>
      <c r="C20" s="290">
        <v>465</v>
      </c>
      <c r="D20" s="345">
        <f>C20*Assumptions!$C$30</f>
        <v>226548000</v>
      </c>
      <c r="E20" s="391">
        <f>Assumptions!$H$18</f>
        <v>0.28262100000000001</v>
      </c>
      <c r="F20" s="1178">
        <f t="shared" si="13"/>
        <v>487.2</v>
      </c>
      <c r="G20" s="297">
        <f>Assumptions!$C$115</f>
        <v>3.7854100000000002</v>
      </c>
      <c r="H20" s="424"/>
      <c r="I20" s="301">
        <f>'LPG transport'!I20-Assumptions!$C$34+Assumptions!$C$35</f>
        <v>1.3861662139058202</v>
      </c>
      <c r="J20" s="431">
        <v>1.28</v>
      </c>
      <c r="K20" s="286">
        <f t="shared" si="14"/>
        <v>7.4251822660098533E-4</v>
      </c>
      <c r="L20" s="322">
        <v>0.23</v>
      </c>
      <c r="M20" s="329">
        <f t="shared" si="0"/>
        <v>0.31881822919833863</v>
      </c>
      <c r="N20" s="281">
        <f t="shared" si="1"/>
        <v>1.7077919211822663E-4</v>
      </c>
      <c r="O20" s="281">
        <f t="shared" si="2"/>
        <v>0.31898900839045685</v>
      </c>
      <c r="P20" s="314">
        <f t="shared" si="3"/>
        <v>72227632.188425213</v>
      </c>
      <c r="Q20" s="1053">
        <f t="shared" si="4"/>
        <v>0.31973152661705784</v>
      </c>
      <c r="R20" s="1047">
        <f t="shared" si="5"/>
        <v>72434537.892041221</v>
      </c>
      <c r="S20" s="268">
        <f t="shared" si="6"/>
        <v>9.1329741871921195E-4</v>
      </c>
      <c r="T20" s="366">
        <f t="shared" si="7"/>
        <v>206905.70361600004</v>
      </c>
      <c r="U20" s="336">
        <f>-'OECD LPG subsidies'!D67</f>
        <v>0</v>
      </c>
      <c r="V20" s="342">
        <f t="shared" si="8"/>
        <v>0</v>
      </c>
      <c r="W20" s="111">
        <f t="shared" si="9"/>
        <v>206905.70361600004</v>
      </c>
      <c r="X20" s="281">
        <f t="shared" si="10"/>
        <v>1.7058977405228779</v>
      </c>
      <c r="Y20" s="342">
        <f t="shared" si="11"/>
        <v>386467721.31997693</v>
      </c>
      <c r="Z20" s="1"/>
    </row>
    <row r="21" spans="1:26" x14ac:dyDescent="0.6">
      <c r="A21" s="46">
        <f t="shared" si="12"/>
        <v>17</v>
      </c>
      <c r="B21" s="44" t="s">
        <v>15</v>
      </c>
      <c r="C21" s="290">
        <v>345</v>
      </c>
      <c r="D21" s="345">
        <f>C21*Assumptions!$C$30</f>
        <v>168084000</v>
      </c>
      <c r="E21" s="391">
        <f>Assumptions!$H$3</f>
        <v>1.1863330000000001</v>
      </c>
      <c r="F21" s="1178">
        <f t="shared" si="13"/>
        <v>487.2</v>
      </c>
      <c r="G21" s="297">
        <f>Assumptions!$C$115</f>
        <v>3.7854100000000002</v>
      </c>
      <c r="H21" s="422"/>
      <c r="I21" s="301">
        <f>'LPG transport'!I21-Assumptions!$C$34+Assumptions!$C$35</f>
        <v>1.7499127717110203</v>
      </c>
      <c r="J21" s="434">
        <v>22.76</v>
      </c>
      <c r="K21" s="286">
        <f t="shared" si="14"/>
        <v>5.5420646715927765E-2</v>
      </c>
      <c r="L21" s="322">
        <v>0.23</v>
      </c>
      <c r="M21" s="329">
        <f t="shared" si="0"/>
        <v>0.40247993749353467</v>
      </c>
      <c r="N21" s="281">
        <f t="shared" si="1"/>
        <v>1.2746748744663387E-2</v>
      </c>
      <c r="O21" s="281">
        <f t="shared" si="2"/>
        <v>0.41522668623819803</v>
      </c>
      <c r="P21" s="314">
        <f t="shared" si="3"/>
        <v>67650437.813663274</v>
      </c>
      <c r="Q21" s="1053">
        <f t="shared" si="4"/>
        <v>0.47064733295412581</v>
      </c>
      <c r="R21" s="1047">
        <f t="shared" si="5"/>
        <v>79108286.312261283</v>
      </c>
      <c r="S21" s="268">
        <f t="shared" si="6"/>
        <v>6.8167395460591154E-2</v>
      </c>
      <c r="T21" s="366">
        <f t="shared" si="7"/>
        <v>11457848.498598004</v>
      </c>
      <c r="U21" s="336">
        <f>-'OECD LPG subsidies'!D69</f>
        <v>0</v>
      </c>
      <c r="V21" s="342">
        <f t="shared" si="8"/>
        <v>0</v>
      </c>
      <c r="W21" s="111">
        <f t="shared" si="9"/>
        <v>11457848.498598004</v>
      </c>
      <c r="X21" s="281">
        <f t="shared" si="10"/>
        <v>2.2205601046651462</v>
      </c>
      <c r="Y21" s="342">
        <f t="shared" si="11"/>
        <v>373240624.63253641</v>
      </c>
      <c r="Z21" s="1"/>
    </row>
    <row r="22" spans="1:26" x14ac:dyDescent="0.6">
      <c r="A22" s="46">
        <f t="shared" si="12"/>
        <v>18</v>
      </c>
      <c r="B22" s="44" t="s">
        <v>16</v>
      </c>
      <c r="C22" s="290">
        <v>30</v>
      </c>
      <c r="D22" s="345">
        <f>C22*Assumptions!$C$30</f>
        <v>14616000</v>
      </c>
      <c r="E22" s="391">
        <f>Assumptions!$H$3</f>
        <v>1.1863330000000001</v>
      </c>
      <c r="F22" s="1178">
        <f t="shared" si="13"/>
        <v>487.2</v>
      </c>
      <c r="G22" s="297">
        <f>Assumptions!$C$115</f>
        <v>3.7854100000000002</v>
      </c>
      <c r="H22" s="422"/>
      <c r="I22" s="301">
        <f>'LPG transport'!I22-Assumptions!$C$34+Assumptions!$C$35</f>
        <v>2.0687565046196505</v>
      </c>
      <c r="J22" s="434">
        <v>50.11</v>
      </c>
      <c r="K22" s="286">
        <f t="shared" si="14"/>
        <v>0.12201795285303778</v>
      </c>
      <c r="L22" s="322">
        <v>0.22</v>
      </c>
      <c r="M22" s="329">
        <f t="shared" si="0"/>
        <v>0.45512643101632311</v>
      </c>
      <c r="N22" s="281">
        <f t="shared" si="1"/>
        <v>2.6843949627668312E-2</v>
      </c>
      <c r="O22" s="281">
        <f t="shared" si="2"/>
        <v>0.48197038064399145</v>
      </c>
      <c r="P22" s="314">
        <f t="shared" si="3"/>
        <v>6652127.9157345789</v>
      </c>
      <c r="Q22" s="1053">
        <f t="shared" si="4"/>
        <v>0.60398833349702918</v>
      </c>
      <c r="R22" s="1047">
        <f t="shared" si="5"/>
        <v>8827893.4823925793</v>
      </c>
      <c r="S22" s="268">
        <f t="shared" si="6"/>
        <v>0.14886190248070608</v>
      </c>
      <c r="T22" s="366">
        <f t="shared" si="7"/>
        <v>2175765.566658</v>
      </c>
      <c r="U22" s="336">
        <f>-'OECD LPG subsidies'!D71</f>
        <v>0</v>
      </c>
      <c r="V22" s="342">
        <f t="shared" si="8"/>
        <v>0</v>
      </c>
      <c r="W22" s="111">
        <f t="shared" si="9"/>
        <v>2175765.566658</v>
      </c>
      <c r="X22" s="281">
        <f t="shared" si="10"/>
        <v>2.6727448381166798</v>
      </c>
      <c r="Y22" s="342">
        <f t="shared" si="11"/>
        <v>39064838.553913392</v>
      </c>
      <c r="Z22" s="1"/>
    </row>
    <row r="23" spans="1:26" x14ac:dyDescent="0.6">
      <c r="A23" s="46">
        <f t="shared" si="12"/>
        <v>19</v>
      </c>
      <c r="B23" s="44" t="s">
        <v>17</v>
      </c>
      <c r="C23" s="290">
        <v>4</v>
      </c>
      <c r="D23" s="345">
        <f>C23*Assumptions!$C$30</f>
        <v>1948800</v>
      </c>
      <c r="E23" s="391">
        <f>Assumptions!$H$3</f>
        <v>1.1863330000000001</v>
      </c>
      <c r="F23" s="1178">
        <f t="shared" si="13"/>
        <v>487.2</v>
      </c>
      <c r="G23" s="297">
        <f>Assumptions!$C$115</f>
        <v>3.7854100000000002</v>
      </c>
      <c r="H23" s="422"/>
      <c r="I23" s="301">
        <f>'LPG transport'!I23-Assumptions!$C$34+Assumptions!$C$35</f>
        <v>1.3188001187641401</v>
      </c>
      <c r="J23" s="434">
        <v>0</v>
      </c>
      <c r="K23" s="286">
        <f t="shared" si="14"/>
        <v>0</v>
      </c>
      <c r="L23" s="322">
        <v>0.2</v>
      </c>
      <c r="M23" s="329">
        <f t="shared" si="0"/>
        <v>0.26376002375282803</v>
      </c>
      <c r="N23" s="281">
        <f t="shared" si="1"/>
        <v>0</v>
      </c>
      <c r="O23" s="281">
        <f t="shared" si="2"/>
        <v>0.26376002375282803</v>
      </c>
      <c r="P23" s="314">
        <f t="shared" si="3"/>
        <v>514015.53428951127</v>
      </c>
      <c r="Q23" s="1053">
        <f t="shared" si="4"/>
        <v>0.26376002375282803</v>
      </c>
      <c r="R23" s="1047">
        <f t="shared" si="5"/>
        <v>514015.53428951127</v>
      </c>
      <c r="S23" s="268">
        <f t="shared" si="6"/>
        <v>0</v>
      </c>
      <c r="T23" s="366">
        <f t="shared" si="7"/>
        <v>0</v>
      </c>
      <c r="U23" s="336">
        <f>-'OECD LPG subsidies'!D73</f>
        <v>0</v>
      </c>
      <c r="V23" s="342">
        <f t="shared" si="8"/>
        <v>0</v>
      </c>
      <c r="W23" s="111">
        <f t="shared" si="9"/>
        <v>0</v>
      </c>
      <c r="X23" s="281">
        <f t="shared" si="10"/>
        <v>1.582560142516968</v>
      </c>
      <c r="Y23" s="342">
        <f t="shared" si="11"/>
        <v>3084093.2057370674</v>
      </c>
      <c r="Z23" s="1"/>
    </row>
    <row r="24" spans="1:26" x14ac:dyDescent="0.6">
      <c r="A24" s="46">
        <f t="shared" si="12"/>
        <v>20</v>
      </c>
      <c r="B24" s="44" t="s">
        <v>18</v>
      </c>
      <c r="C24" s="290">
        <v>5</v>
      </c>
      <c r="D24" s="345">
        <f>C24*Assumptions!$C$30</f>
        <v>2436000</v>
      </c>
      <c r="E24" s="391">
        <f>Assumptions!$H$3</f>
        <v>1.1863330000000001</v>
      </c>
      <c r="F24" s="1178">
        <f t="shared" si="13"/>
        <v>487.2</v>
      </c>
      <c r="G24" s="297">
        <f>Assumptions!$C$115</f>
        <v>3.7854100000000002</v>
      </c>
      <c r="H24" s="422"/>
      <c r="I24" s="1077">
        <f>IF(D24=0,0,Assumptions!$C$94+Assumptions!$C$35)</f>
        <v>2.25</v>
      </c>
      <c r="J24" s="427">
        <v>0</v>
      </c>
      <c r="K24" s="286">
        <f t="shared" si="14"/>
        <v>0</v>
      </c>
      <c r="L24" s="322">
        <v>0.24</v>
      </c>
      <c r="M24" s="329">
        <f t="shared" si="0"/>
        <v>0.54</v>
      </c>
      <c r="N24" s="281">
        <f t="shared" si="1"/>
        <v>0</v>
      </c>
      <c r="O24" s="281">
        <f t="shared" si="2"/>
        <v>0.54</v>
      </c>
      <c r="P24" s="314">
        <f t="shared" si="3"/>
        <v>1315440</v>
      </c>
      <c r="Q24" s="1053">
        <f t="shared" si="4"/>
        <v>0.54</v>
      </c>
      <c r="R24" s="1047">
        <f t="shared" si="5"/>
        <v>1315440</v>
      </c>
      <c r="S24" s="268">
        <f t="shared" si="6"/>
        <v>0</v>
      </c>
      <c r="T24" s="366">
        <f t="shared" si="7"/>
        <v>0</v>
      </c>
      <c r="U24" s="336">
        <f>-'OECD LPG subsidies'!D75</f>
        <v>0</v>
      </c>
      <c r="V24" s="342">
        <f t="shared" si="8"/>
        <v>0</v>
      </c>
      <c r="W24" s="111">
        <f t="shared" si="9"/>
        <v>0</v>
      </c>
      <c r="X24" s="281">
        <f t="shared" si="10"/>
        <v>2.79</v>
      </c>
      <c r="Y24" s="342">
        <f t="shared" si="11"/>
        <v>6796440</v>
      </c>
      <c r="Z24" s="1"/>
    </row>
    <row r="25" spans="1:26" x14ac:dyDescent="0.6">
      <c r="A25" s="46">
        <f t="shared" si="12"/>
        <v>21</v>
      </c>
      <c r="B25" s="44" t="s">
        <v>19</v>
      </c>
      <c r="C25" s="290">
        <v>0</v>
      </c>
      <c r="D25" s="345">
        <f>C25*Assumptions!$C$30</f>
        <v>0</v>
      </c>
      <c r="E25" s="391">
        <f>Assumptions!$H$19</f>
        <v>0.119739</v>
      </c>
      <c r="F25" s="1178">
        <f t="shared" si="13"/>
        <v>487.2</v>
      </c>
      <c r="G25" s="297">
        <f>Assumptions!$C$115</f>
        <v>3.7854100000000002</v>
      </c>
      <c r="H25" s="425"/>
      <c r="I25" s="1077">
        <f>IF(D25=0,0,Assumptions!$C$94+Assumptions!$C$35)</f>
        <v>0</v>
      </c>
      <c r="J25" s="1184">
        <v>4477</v>
      </c>
      <c r="K25" s="286">
        <f t="shared" si="14"/>
        <v>1.1003109667487685</v>
      </c>
      <c r="L25" s="322">
        <v>0.25</v>
      </c>
      <c r="M25" s="329">
        <f t="shared" si="0"/>
        <v>0</v>
      </c>
      <c r="N25" s="281">
        <f t="shared" si="1"/>
        <v>0.27507774168719212</v>
      </c>
      <c r="O25" s="281">
        <f t="shared" si="2"/>
        <v>0.27507774168719212</v>
      </c>
      <c r="P25" s="314">
        <f t="shared" si="3"/>
        <v>0</v>
      </c>
      <c r="Q25" s="1053">
        <f t="shared" si="4"/>
        <v>1.3753887084359606</v>
      </c>
      <c r="R25" s="1047">
        <f t="shared" si="5"/>
        <v>0</v>
      </c>
      <c r="S25" s="268">
        <f t="shared" si="6"/>
        <v>1.3753887084359606</v>
      </c>
      <c r="T25" s="366">
        <f t="shared" si="7"/>
        <v>0</v>
      </c>
      <c r="U25" s="336">
        <f>-'OECD LPG subsidies'!D77</f>
        <v>0</v>
      </c>
      <c r="V25" s="342">
        <f t="shared" si="8"/>
        <v>0</v>
      </c>
      <c r="W25" s="111">
        <f t="shared" si="9"/>
        <v>0</v>
      </c>
      <c r="X25" s="281">
        <f t="shared" si="10"/>
        <v>1.3753887084359606</v>
      </c>
      <c r="Y25" s="342">
        <f t="shared" si="11"/>
        <v>0</v>
      </c>
      <c r="Z25" s="1"/>
    </row>
    <row r="26" spans="1:26" ht="15.9" thickBot="1" x14ac:dyDescent="0.65">
      <c r="A26" s="15">
        <f t="shared" si="12"/>
        <v>22</v>
      </c>
      <c r="B26" s="47" t="s">
        <v>20</v>
      </c>
      <c r="C26" s="291">
        <v>205</v>
      </c>
      <c r="D26" s="347">
        <f>C26*Assumptions!$C$30</f>
        <v>99876000</v>
      </c>
      <c r="E26" s="419">
        <f>Assumptions!$H$20</f>
        <v>1.337591</v>
      </c>
      <c r="F26" s="1179">
        <f t="shared" si="13"/>
        <v>487.2</v>
      </c>
      <c r="G26" s="299">
        <f>Assumptions!$C$115</f>
        <v>3.7854100000000002</v>
      </c>
      <c r="H26" s="421"/>
      <c r="I26" s="1055">
        <f>IF(D26=0,0,Assumptions!$C$94+Assumptions!$C$35)</f>
        <v>2.25</v>
      </c>
      <c r="J26" s="433">
        <v>0</v>
      </c>
      <c r="K26" s="308">
        <f t="shared" si="14"/>
        <v>0</v>
      </c>
      <c r="L26" s="359">
        <v>0.05</v>
      </c>
      <c r="M26" s="334">
        <f t="shared" si="0"/>
        <v>0.1125</v>
      </c>
      <c r="N26" s="318">
        <f t="shared" si="1"/>
        <v>0</v>
      </c>
      <c r="O26" s="318">
        <f t="shared" si="2"/>
        <v>0.1125</v>
      </c>
      <c r="P26" s="319">
        <f t="shared" si="3"/>
        <v>11236050</v>
      </c>
      <c r="Q26" s="1054">
        <f t="shared" si="4"/>
        <v>0.1125</v>
      </c>
      <c r="R26" s="1048">
        <f t="shared" si="5"/>
        <v>11236050</v>
      </c>
      <c r="S26" s="269">
        <f t="shared" si="6"/>
        <v>0</v>
      </c>
      <c r="T26" s="368">
        <f t="shared" si="7"/>
        <v>0</v>
      </c>
      <c r="U26" s="340">
        <f>-'OECD LPG subsidies'!D86</f>
        <v>-44207489</v>
      </c>
      <c r="V26" s="344">
        <f t="shared" si="8"/>
        <v>-59131539.418999001</v>
      </c>
      <c r="W26" s="163">
        <f t="shared" si="9"/>
        <v>-59131539.418999001</v>
      </c>
      <c r="X26" s="318">
        <f t="shared" si="10"/>
        <v>2.3625000000000003</v>
      </c>
      <c r="Y26" s="344">
        <f t="shared" si="11"/>
        <v>176825510.58100104</v>
      </c>
      <c r="Z26" s="1"/>
    </row>
    <row r="27" spans="1:26" ht="15.9" thickTop="1" x14ac:dyDescent="0.6">
      <c r="A27" s="48" t="s">
        <v>882</v>
      </c>
      <c r="B27" s="44"/>
      <c r="C27" s="290"/>
      <c r="D27" s="345"/>
      <c r="E27" s="399"/>
      <c r="F27" s="1178"/>
      <c r="G27" s="297"/>
      <c r="H27" s="383"/>
      <c r="I27" s="301">
        <f>'LPG transport'!I27-Assumptions!$C$34+Assumptions!$C$35</f>
        <v>0.25</v>
      </c>
      <c r="J27" s="393"/>
      <c r="K27" s="306">
        <f t="shared" ref="K27:K34" si="15">J27*G27*E27</f>
        <v>0</v>
      </c>
      <c r="L27" s="322"/>
      <c r="M27" s="329"/>
      <c r="N27" s="320"/>
      <c r="O27" s="320"/>
      <c r="P27" s="314"/>
      <c r="Q27" s="1053"/>
      <c r="R27" s="1047"/>
      <c r="S27" s="310"/>
      <c r="T27" s="366"/>
      <c r="U27" s="336"/>
      <c r="V27" s="342"/>
      <c r="W27" s="111"/>
      <c r="X27" s="320"/>
      <c r="Y27" s="342"/>
      <c r="Z27" s="1"/>
    </row>
    <row r="28" spans="1:26" x14ac:dyDescent="0.6">
      <c r="A28" s="61">
        <f>A26+1</f>
        <v>23</v>
      </c>
      <c r="B28" s="44" t="s">
        <v>38</v>
      </c>
      <c r="C28" s="290">
        <v>278</v>
      </c>
      <c r="D28" s="345">
        <f>C28*Assumptions!$C$30</f>
        <v>135441600</v>
      </c>
      <c r="E28" s="399">
        <f>Assumptions!$H$4</f>
        <v>0.78824099999999997</v>
      </c>
      <c r="F28" s="1178"/>
      <c r="G28" s="297">
        <f>Assumptions!$C$115</f>
        <v>3.7854100000000002</v>
      </c>
      <c r="H28" s="441"/>
      <c r="I28" s="301">
        <f>'LPG transport'!I28-Assumptions!$C$34+Assumptions!$C$35</f>
        <v>2.0880302641069601</v>
      </c>
      <c r="J28" s="447"/>
      <c r="K28" s="306">
        <f t="shared" si="15"/>
        <v>0</v>
      </c>
      <c r="L28" s="322">
        <v>9.0499999999999997E-2</v>
      </c>
      <c r="M28" s="329">
        <f t="shared" ref="M28:M34" si="16">L28*I28</f>
        <v>0.18896673890167989</v>
      </c>
      <c r="N28" s="320">
        <f t="shared" ref="N28:N34" si="17">L28*K28</f>
        <v>0</v>
      </c>
      <c r="O28" s="320">
        <f t="shared" ref="O28:O34" si="18">N28+M28</f>
        <v>0.18896673890167989</v>
      </c>
      <c r="P28" s="314">
        <f t="shared" ref="P28:P34" si="19">M28*D28</f>
        <v>25593957.463625766</v>
      </c>
      <c r="Q28" s="1053">
        <f t="shared" si="4"/>
        <v>0.18896673890167989</v>
      </c>
      <c r="R28" s="1047">
        <f t="shared" si="5"/>
        <v>25593957.463625766</v>
      </c>
      <c r="S28" s="310">
        <f t="shared" ref="S28:S34" si="20">N28+K28</f>
        <v>0</v>
      </c>
      <c r="T28" s="366">
        <f t="shared" ref="T28:T34" si="21">D28*S28</f>
        <v>0</v>
      </c>
      <c r="U28" s="336">
        <f>-'OECD LPG subsidies'!D88</f>
        <v>-10207248</v>
      </c>
      <c r="V28" s="342">
        <f t="shared" ref="V28:V34" si="22">U28*E28</f>
        <v>-8045771.3707679994</v>
      </c>
      <c r="W28" s="111">
        <f t="shared" ref="W28:W34" si="23">T28+V28</f>
        <v>-8045771.3707679994</v>
      </c>
      <c r="X28" s="320">
        <f t="shared" ref="X28:X38" si="24">(I28+K28)*(1+L28)</f>
        <v>2.2769970030086402</v>
      </c>
      <c r="Y28" s="342">
        <f t="shared" ref="Y28:Y34" si="25">X28*D28+V28</f>
        <v>300354345.91192704</v>
      </c>
      <c r="Z28" s="1"/>
    </row>
    <row r="29" spans="1:26" x14ac:dyDescent="0.6">
      <c r="A29" s="61">
        <f t="shared" ref="A29:A34" si="26">A28+1</f>
        <v>24</v>
      </c>
      <c r="B29" s="44" t="s">
        <v>39</v>
      </c>
      <c r="C29" s="290">
        <v>8</v>
      </c>
      <c r="D29" s="345">
        <f>C29*Assumptions!$C$30</f>
        <v>3897600</v>
      </c>
      <c r="E29" s="399">
        <f>Assumptions!$H$5</f>
        <v>0.12035</v>
      </c>
      <c r="F29" s="1178"/>
      <c r="G29" s="297">
        <f>Assumptions!$C$115</f>
        <v>3.7854100000000002</v>
      </c>
      <c r="H29" s="442"/>
      <c r="I29" s="1077">
        <f>IF(D29=0,0,Assumptions!$C$94+Assumptions!$C$35)</f>
        <v>2.25</v>
      </c>
      <c r="J29" s="448">
        <f>(1.01*Assumptions!$C$29/1000/G29)+1.59</f>
        <v>1.7199917314108644</v>
      </c>
      <c r="K29" s="306">
        <f t="shared" si="15"/>
        <v>0.78358367386499994</v>
      </c>
      <c r="L29" s="322">
        <v>0.25</v>
      </c>
      <c r="M29" s="329">
        <f t="shared" si="16"/>
        <v>0.5625</v>
      </c>
      <c r="N29" s="320">
        <f t="shared" si="17"/>
        <v>0.19589591846624999</v>
      </c>
      <c r="O29" s="320">
        <f t="shared" si="18"/>
        <v>0.75839591846624999</v>
      </c>
      <c r="P29" s="314">
        <f t="shared" si="19"/>
        <v>2192400</v>
      </c>
      <c r="Q29" s="1053">
        <f t="shared" si="4"/>
        <v>1.5419795923312498</v>
      </c>
      <c r="R29" s="1047">
        <f t="shared" si="5"/>
        <v>6010019.6590702794</v>
      </c>
      <c r="S29" s="310">
        <f t="shared" si="20"/>
        <v>0.97947959233124993</v>
      </c>
      <c r="T29" s="366">
        <f t="shared" si="21"/>
        <v>3817619.6590702799</v>
      </c>
      <c r="U29" s="336">
        <f>-'OECD LPG subsidies'!D97</f>
        <v>-13809934.5</v>
      </c>
      <c r="V29" s="342">
        <f t="shared" si="22"/>
        <v>-1662025.617075</v>
      </c>
      <c r="W29" s="111">
        <f t="shared" si="23"/>
        <v>2155594.04199528</v>
      </c>
      <c r="X29" s="320">
        <f t="shared" si="24"/>
        <v>3.7919795923312498</v>
      </c>
      <c r="Y29" s="342">
        <f t="shared" si="25"/>
        <v>13117594.041995279</v>
      </c>
      <c r="Z29" s="1"/>
    </row>
    <row r="30" spans="1:26" x14ac:dyDescent="0.6">
      <c r="A30" s="61">
        <f t="shared" si="26"/>
        <v>25</v>
      </c>
      <c r="B30" s="44" t="s">
        <v>40</v>
      </c>
      <c r="C30" s="290">
        <v>0</v>
      </c>
      <c r="D30" s="345">
        <f>C30*Assumptions!$C$30</f>
        <v>0</v>
      </c>
      <c r="E30" s="399">
        <f>Assumptions!$H$6</f>
        <v>1.010632</v>
      </c>
      <c r="F30" s="1178"/>
      <c r="G30" s="297">
        <f>Assumptions!$C$115</f>
        <v>3.7854100000000002</v>
      </c>
      <c r="H30" s="443"/>
      <c r="I30" s="1077">
        <f>IF(D30=0,0,Assumptions!$C$94+Assumptions!$C$35)</f>
        <v>0</v>
      </c>
      <c r="J30" s="449"/>
      <c r="K30" s="306">
        <f t="shared" si="15"/>
        <v>0</v>
      </c>
      <c r="L30" s="322">
        <v>0.08</v>
      </c>
      <c r="M30" s="329">
        <f t="shared" si="16"/>
        <v>0</v>
      </c>
      <c r="N30" s="320">
        <f t="shared" si="17"/>
        <v>0</v>
      </c>
      <c r="O30" s="320">
        <f t="shared" si="18"/>
        <v>0</v>
      </c>
      <c r="P30" s="314">
        <f t="shared" si="19"/>
        <v>0</v>
      </c>
      <c r="Q30" s="1053">
        <f t="shared" si="4"/>
        <v>0</v>
      </c>
      <c r="R30" s="1047">
        <f t="shared" si="5"/>
        <v>0</v>
      </c>
      <c r="S30" s="310">
        <f t="shared" si="20"/>
        <v>0</v>
      </c>
      <c r="T30" s="366">
        <f t="shared" si="21"/>
        <v>0</v>
      </c>
      <c r="U30" s="336">
        <f>-'OECD LPG subsidies'!D99</f>
        <v>0</v>
      </c>
      <c r="V30" s="342">
        <f t="shared" si="22"/>
        <v>0</v>
      </c>
      <c r="W30" s="111">
        <f t="shared" si="23"/>
        <v>0</v>
      </c>
      <c r="X30" s="320">
        <f t="shared" si="24"/>
        <v>0</v>
      </c>
      <c r="Y30" s="342">
        <f t="shared" si="25"/>
        <v>0</v>
      </c>
      <c r="Z30" s="1"/>
    </row>
    <row r="31" spans="1:26" x14ac:dyDescent="0.6">
      <c r="A31" s="46">
        <f t="shared" si="26"/>
        <v>26</v>
      </c>
      <c r="B31" s="44" t="s">
        <v>31</v>
      </c>
      <c r="C31" s="290">
        <v>4001</v>
      </c>
      <c r="D31" s="345">
        <f>C31*Assumptions!$C$30</f>
        <v>1949287200</v>
      </c>
      <c r="E31" s="399">
        <f>Assumptions!$H$7</f>
        <v>8.829E-3</v>
      </c>
      <c r="F31" s="1178"/>
      <c r="G31" s="297">
        <f>Assumptions!$C$115</f>
        <v>3.7854100000000002</v>
      </c>
      <c r="H31" s="484"/>
      <c r="I31" s="301">
        <f>'LPG transport'!I31-Assumptions!$C$34+Assumptions!$C$35</f>
        <v>2.532680587987</v>
      </c>
      <c r="J31" s="469"/>
      <c r="K31" s="306">
        <f t="shared" si="15"/>
        <v>0</v>
      </c>
      <c r="L31" s="322">
        <v>0.08</v>
      </c>
      <c r="M31" s="329">
        <f t="shared" si="16"/>
        <v>0.20261444703896</v>
      </c>
      <c r="N31" s="320">
        <f t="shared" si="17"/>
        <v>0</v>
      </c>
      <c r="O31" s="320">
        <f t="shared" si="18"/>
        <v>0.20261444703896</v>
      </c>
      <c r="P31" s="314">
        <f t="shared" si="19"/>
        <v>394953748.14812267</v>
      </c>
      <c r="Q31" s="1053">
        <f t="shared" si="4"/>
        <v>0.20261444703896</v>
      </c>
      <c r="R31" s="1047">
        <f t="shared" si="5"/>
        <v>394953748.14812267</v>
      </c>
      <c r="S31" s="310">
        <f t="shared" si="20"/>
        <v>0</v>
      </c>
      <c r="T31" s="366">
        <f t="shared" si="21"/>
        <v>0</v>
      </c>
      <c r="U31" s="336">
        <f>-'OECD LPG subsidies'!D101</f>
        <v>-4551175000</v>
      </c>
      <c r="V31" s="342">
        <f t="shared" si="22"/>
        <v>-40182324.075000003</v>
      </c>
      <c r="W31" s="111">
        <f t="shared" si="23"/>
        <v>-40182324.075000003</v>
      </c>
      <c r="X31" s="320">
        <f t="shared" si="24"/>
        <v>2.7352950350259602</v>
      </c>
      <c r="Y31" s="342">
        <f t="shared" si="25"/>
        <v>5291693275.9246559</v>
      </c>
      <c r="Z31" s="1"/>
    </row>
    <row r="32" spans="1:26" x14ac:dyDescent="0.6">
      <c r="A32" s="46">
        <f t="shared" si="26"/>
        <v>27</v>
      </c>
      <c r="B32" s="44" t="s">
        <v>47</v>
      </c>
      <c r="C32" s="290">
        <v>580</v>
      </c>
      <c r="D32" s="345">
        <f>C32*Assumptions!$C$30</f>
        <v>282576000</v>
      </c>
      <c r="E32" s="399">
        <f>Assumptions!$H$8</f>
        <v>9.3000000000000005E-4</v>
      </c>
      <c r="F32" s="1178"/>
      <c r="G32" s="297">
        <f>Assumptions!$C$115</f>
        <v>3.7854100000000002</v>
      </c>
      <c r="H32" s="446"/>
      <c r="I32" s="301">
        <f>'LPG transport'!I32-Assumptions!$C$34+Assumptions!$C$35</f>
        <v>2.0355979596729998</v>
      </c>
      <c r="J32" s="470"/>
      <c r="K32" s="306">
        <f t="shared" si="15"/>
        <v>0</v>
      </c>
      <c r="L32" s="322">
        <v>0.1</v>
      </c>
      <c r="M32" s="329">
        <f t="shared" si="16"/>
        <v>0.20355979596730001</v>
      </c>
      <c r="N32" s="320">
        <f t="shared" si="17"/>
        <v>0</v>
      </c>
      <c r="O32" s="320">
        <f t="shared" si="18"/>
        <v>0.20355979596730001</v>
      </c>
      <c r="P32" s="314">
        <f t="shared" si="19"/>
        <v>57521112.905255765</v>
      </c>
      <c r="Q32" s="1053">
        <f t="shared" si="4"/>
        <v>0.20355979596730001</v>
      </c>
      <c r="R32" s="1047">
        <f t="shared" si="5"/>
        <v>57521112.905255765</v>
      </c>
      <c r="S32" s="310">
        <f t="shared" si="20"/>
        <v>0</v>
      </c>
      <c r="T32" s="366">
        <f t="shared" si="21"/>
        <v>0</v>
      </c>
      <c r="U32" s="336">
        <f>-'OECD LPG subsidies'!D112</f>
        <v>0</v>
      </c>
      <c r="V32" s="342">
        <f t="shared" si="22"/>
        <v>0</v>
      </c>
      <c r="W32" s="111">
        <f t="shared" si="23"/>
        <v>0</v>
      </c>
      <c r="X32" s="320">
        <f t="shared" si="24"/>
        <v>2.2391577556403002</v>
      </c>
      <c r="Y32" s="342">
        <f t="shared" si="25"/>
        <v>632732241.9578135</v>
      </c>
      <c r="Z32" s="1"/>
    </row>
    <row r="33" spans="1:27" x14ac:dyDescent="0.6">
      <c r="A33" s="46">
        <f t="shared" si="26"/>
        <v>28</v>
      </c>
      <c r="B33" s="44" t="s">
        <v>32</v>
      </c>
      <c r="C33" s="290">
        <v>301</v>
      </c>
      <c r="D33" s="345">
        <f>C33*Assumptions!$C$30</f>
        <v>146647200</v>
      </c>
      <c r="E33" s="399">
        <f>Assumptions!$H$9</f>
        <v>0.77382200000000001</v>
      </c>
      <c r="F33" s="1178"/>
      <c r="G33" s="297">
        <f>Assumptions!$C$115</f>
        <v>3.7854100000000002</v>
      </c>
      <c r="H33" s="389"/>
      <c r="I33" s="301">
        <f>'LPG transport'!I33-Assumptions!$C$34+Assumptions!$C$35</f>
        <v>1.3865426123637601</v>
      </c>
      <c r="J33" s="452"/>
      <c r="K33" s="306">
        <f t="shared" si="15"/>
        <v>0</v>
      </c>
      <c r="L33" s="322">
        <v>0.1</v>
      </c>
      <c r="M33" s="329">
        <f t="shared" si="16"/>
        <v>0.138654261236376</v>
      </c>
      <c r="N33" s="320">
        <f t="shared" si="17"/>
        <v>0</v>
      </c>
      <c r="O33" s="320">
        <f t="shared" si="18"/>
        <v>0.138654261236376</v>
      </c>
      <c r="P33" s="314">
        <f t="shared" si="19"/>
        <v>20333259.178383078</v>
      </c>
      <c r="Q33" s="1053">
        <f t="shared" si="4"/>
        <v>0.138654261236376</v>
      </c>
      <c r="R33" s="1047">
        <f t="shared" si="5"/>
        <v>20333259.178383078</v>
      </c>
      <c r="S33" s="310">
        <f t="shared" si="20"/>
        <v>0</v>
      </c>
      <c r="T33" s="366">
        <f t="shared" si="21"/>
        <v>0</v>
      </c>
      <c r="U33" s="336">
        <f>-'OECD LPG subsidies'!D117</f>
        <v>-58199062</v>
      </c>
      <c r="V33" s="342">
        <f t="shared" si="22"/>
        <v>-45035714.554963998</v>
      </c>
      <c r="W33" s="111">
        <f t="shared" si="23"/>
        <v>-45035714.554963998</v>
      </c>
      <c r="X33" s="320">
        <f t="shared" si="24"/>
        <v>1.5251968736001362</v>
      </c>
      <c r="Y33" s="342">
        <f t="shared" si="25"/>
        <v>178630136.4072499</v>
      </c>
    </row>
    <row r="34" spans="1:27" ht="15.9" thickBot="1" x14ac:dyDescent="0.65">
      <c r="A34" s="15">
        <f t="shared" si="26"/>
        <v>29</v>
      </c>
      <c r="B34" s="47" t="s">
        <v>33</v>
      </c>
      <c r="C34" s="291">
        <v>61</v>
      </c>
      <c r="D34" s="347">
        <f>C34*Assumptions!$C$30</f>
        <v>29719200</v>
      </c>
      <c r="E34" s="417">
        <f>Assumptions!$H$10</f>
        <v>0.70460400000000001</v>
      </c>
      <c r="F34" s="1179"/>
      <c r="G34" s="299">
        <f>Assumptions!$C$115</f>
        <v>3.7854100000000002</v>
      </c>
      <c r="H34" s="445"/>
      <c r="I34" s="1055">
        <f>'LPG transport'!I34-Assumptions!$C$34+Assumptions!$C$35</f>
        <v>1.3865426123637601</v>
      </c>
      <c r="J34" s="453"/>
      <c r="K34" s="309">
        <f t="shared" si="15"/>
        <v>0</v>
      </c>
      <c r="L34" s="359">
        <v>0.15</v>
      </c>
      <c r="M34" s="334">
        <f t="shared" si="16"/>
        <v>0.20798139185456402</v>
      </c>
      <c r="N34" s="321">
        <f t="shared" si="17"/>
        <v>0</v>
      </c>
      <c r="O34" s="321">
        <f t="shared" si="18"/>
        <v>0.20798139185456402</v>
      </c>
      <c r="P34" s="319">
        <f t="shared" si="19"/>
        <v>6181040.5808041589</v>
      </c>
      <c r="Q34" s="1054">
        <f t="shared" si="4"/>
        <v>0.20798139185456402</v>
      </c>
      <c r="R34" s="1048">
        <f t="shared" si="5"/>
        <v>6181040.5808041589</v>
      </c>
      <c r="S34" s="312">
        <f t="shared" si="20"/>
        <v>0</v>
      </c>
      <c r="T34" s="368">
        <f t="shared" si="21"/>
        <v>0</v>
      </c>
      <c r="U34" s="340">
        <f>-'OECD LPG subsidies'!D123</f>
        <v>0</v>
      </c>
      <c r="V34" s="344">
        <f t="shared" si="22"/>
        <v>0</v>
      </c>
      <c r="W34" s="163">
        <f t="shared" si="23"/>
        <v>0</v>
      </c>
      <c r="X34" s="321">
        <f t="shared" si="24"/>
        <v>1.594524004218324</v>
      </c>
      <c r="Y34" s="344">
        <f t="shared" si="25"/>
        <v>47387977.786165215</v>
      </c>
    </row>
    <row r="35" spans="1:27" ht="15.9" thickTop="1" x14ac:dyDescent="0.6">
      <c r="A35" s="49" t="s">
        <v>883</v>
      </c>
      <c r="B35" s="50"/>
      <c r="C35" s="290"/>
      <c r="D35" s="345"/>
      <c r="E35" s="391"/>
      <c r="F35" s="1178"/>
      <c r="G35" s="297"/>
      <c r="H35" s="295"/>
      <c r="I35" s="304"/>
      <c r="J35" s="393"/>
      <c r="K35" s="306"/>
      <c r="L35" s="322"/>
      <c r="M35" s="329"/>
      <c r="N35" s="320"/>
      <c r="O35" s="320"/>
      <c r="P35" s="314"/>
      <c r="Q35" s="1053"/>
      <c r="R35" s="1047"/>
      <c r="S35" s="310"/>
      <c r="T35" s="366"/>
      <c r="U35" s="336"/>
      <c r="V35" s="342"/>
      <c r="W35" s="111"/>
      <c r="X35" s="320"/>
      <c r="Y35" s="342"/>
    </row>
    <row r="36" spans="1:27" x14ac:dyDescent="0.6">
      <c r="A36" s="72">
        <f>A34+1</f>
        <v>30</v>
      </c>
      <c r="B36" s="50" t="s">
        <v>46</v>
      </c>
      <c r="C36" s="290">
        <v>25493</v>
      </c>
      <c r="D36" s="348">
        <f>C36*Assumptions!$C$30</f>
        <v>12420189600</v>
      </c>
      <c r="E36" s="399">
        <f>Assumptions!$H$11</f>
        <v>0.152529</v>
      </c>
      <c r="F36" s="1178"/>
      <c r="G36" s="297">
        <f>Assumptions!$C$115</f>
        <v>3.7854100000000002</v>
      </c>
      <c r="H36" s="295"/>
      <c r="I36" s="1163">
        <f>IF(D36=0,0,Assumptions!$C$94+Assumptions!$C$35)</f>
        <v>2.25</v>
      </c>
      <c r="J36" s="1058"/>
      <c r="K36" s="306">
        <f>J36*G36*E36</f>
        <v>0</v>
      </c>
      <c r="L36" s="322">
        <v>0.17</v>
      </c>
      <c r="M36" s="329">
        <f t="shared" ref="M36:M39" si="27">L36*I36</f>
        <v>0.38250000000000001</v>
      </c>
      <c r="N36" s="320">
        <f t="shared" ref="N36:N39" si="28">L36*K36</f>
        <v>0</v>
      </c>
      <c r="O36" s="320">
        <f t="shared" ref="O36:O39" si="29">N36+M36</f>
        <v>0.38250000000000001</v>
      </c>
      <c r="P36" s="314">
        <f t="shared" ref="P36:P39" si="30">M36*D36</f>
        <v>4750722522</v>
      </c>
      <c r="Q36" s="1053">
        <f t="shared" si="4"/>
        <v>0.38250000000000001</v>
      </c>
      <c r="R36" s="1047">
        <f t="shared" si="5"/>
        <v>4750722522</v>
      </c>
      <c r="S36" s="310">
        <f t="shared" ref="S36:S39" si="31">N36+K36</f>
        <v>0</v>
      </c>
      <c r="T36" s="366">
        <f t="shared" ref="T36:T39" si="32">D36*S36</f>
        <v>0</v>
      </c>
      <c r="U36" s="336">
        <f>-'OECD LPG subsidies'!D125</f>
        <v>0</v>
      </c>
      <c r="V36" s="342">
        <f>U36*E36</f>
        <v>0</v>
      </c>
      <c r="W36" s="111">
        <f>T36+V36</f>
        <v>0</v>
      </c>
      <c r="X36" s="320">
        <f t="shared" si="24"/>
        <v>2.6324999999999998</v>
      </c>
      <c r="Y36" s="342">
        <f>X36*D36+V36</f>
        <v>32696149121.999996</v>
      </c>
    </row>
    <row r="37" spans="1:27" x14ac:dyDescent="0.6">
      <c r="A37" s="46">
        <f>A36+1</f>
        <v>31</v>
      </c>
      <c r="B37" s="50" t="s">
        <v>49</v>
      </c>
      <c r="C37" s="290">
        <v>17182</v>
      </c>
      <c r="D37" s="348">
        <f>C37*Assumptions!$C$30</f>
        <v>8371070400</v>
      </c>
      <c r="E37" s="399">
        <f>Assumptions!$H$12</f>
        <v>1.5587E-2</v>
      </c>
      <c r="F37" s="1178"/>
      <c r="G37" s="297">
        <f>Assumptions!$C$115</f>
        <v>3.7854100000000002</v>
      </c>
      <c r="H37" s="1057"/>
      <c r="I37" s="1163">
        <f>IF(D37=0,0,Assumptions!$C$94+Assumptions!$C$35)</f>
        <v>2.25</v>
      </c>
      <c r="J37" s="1056"/>
      <c r="K37" s="306">
        <f>J37*G37*E37</f>
        <v>0</v>
      </c>
      <c r="L37" s="322">
        <v>0.25</v>
      </c>
      <c r="M37" s="329">
        <f t="shared" si="27"/>
        <v>0.5625</v>
      </c>
      <c r="N37" s="320">
        <f t="shared" si="28"/>
        <v>0</v>
      </c>
      <c r="O37" s="320">
        <f t="shared" si="29"/>
        <v>0.5625</v>
      </c>
      <c r="P37" s="314">
        <f t="shared" si="30"/>
        <v>4708727100</v>
      </c>
      <c r="Q37" s="1053">
        <f t="shared" si="4"/>
        <v>0.5625</v>
      </c>
      <c r="R37" s="1047">
        <f t="shared" si="5"/>
        <v>4708727100</v>
      </c>
      <c r="S37" s="310">
        <f t="shared" si="31"/>
        <v>0</v>
      </c>
      <c r="T37" s="366">
        <f t="shared" si="32"/>
        <v>0</v>
      </c>
      <c r="U37" s="336">
        <f>-'OECD LPG subsidies'!D129</f>
        <v>-11201575000</v>
      </c>
      <c r="V37" s="342">
        <f>U37*E37</f>
        <v>-174598949.52500001</v>
      </c>
      <c r="W37" s="111">
        <f>T37+V37</f>
        <v>-174598949.52500001</v>
      </c>
      <c r="X37" s="320">
        <f t="shared" si="24"/>
        <v>2.8125</v>
      </c>
      <c r="Y37" s="342">
        <f>X37*D37+V37</f>
        <v>23369036550.474998</v>
      </c>
    </row>
    <row r="38" spans="1:27" x14ac:dyDescent="0.6">
      <c r="A38" s="46">
        <f>A37+1</f>
        <v>32</v>
      </c>
      <c r="B38" s="44" t="s">
        <v>50</v>
      </c>
      <c r="C38" s="290">
        <v>5893</v>
      </c>
      <c r="D38" s="348">
        <f>C38*Assumptions!$C$30</f>
        <v>2871069600</v>
      </c>
      <c r="E38" s="399">
        <f>Assumptions!$H$13</f>
        <v>0.30204900000000001</v>
      </c>
      <c r="F38" s="1178"/>
      <c r="G38" s="297">
        <f>Assumptions!$C$115</f>
        <v>3.7854100000000002</v>
      </c>
      <c r="H38" s="1045"/>
      <c r="I38" s="1077">
        <f>IF(D38=0,0,Assumptions!$C$94+Assumptions!$C$35)</f>
        <v>2.25</v>
      </c>
      <c r="J38" s="1044"/>
      <c r="K38" s="306">
        <f>J38*G38*E38</f>
        <v>0</v>
      </c>
      <c r="L38" s="322">
        <v>0.19</v>
      </c>
      <c r="M38" s="329">
        <f t="shared" si="27"/>
        <v>0.42749999999999999</v>
      </c>
      <c r="N38" s="320">
        <f t="shared" si="28"/>
        <v>0</v>
      </c>
      <c r="O38" s="320">
        <f t="shared" si="29"/>
        <v>0.42749999999999999</v>
      </c>
      <c r="P38" s="314">
        <f t="shared" si="30"/>
        <v>1227382254</v>
      </c>
      <c r="Q38" s="1053">
        <f t="shared" si="4"/>
        <v>0.42749999999999999</v>
      </c>
      <c r="R38" s="1047">
        <f t="shared" si="5"/>
        <v>1227382254</v>
      </c>
      <c r="S38" s="310">
        <f t="shared" si="31"/>
        <v>0</v>
      </c>
      <c r="T38" s="366">
        <f t="shared" si="32"/>
        <v>0</v>
      </c>
      <c r="U38" s="336">
        <f>-'OECD LPG subsidies'!D135</f>
        <v>0</v>
      </c>
      <c r="V38" s="342">
        <f>U38*E38</f>
        <v>0</v>
      </c>
      <c r="W38" s="111">
        <f t="shared" ref="W38" si="33">T38+V38</f>
        <v>0</v>
      </c>
      <c r="X38" s="320">
        <f t="shared" si="24"/>
        <v>2.6774999999999998</v>
      </c>
      <c r="Y38" s="342">
        <f>X38*D38+V38</f>
        <v>7687288853.999999</v>
      </c>
    </row>
    <row r="39" spans="1:27" ht="15.9" thickBot="1" x14ac:dyDescent="0.65">
      <c r="A39" s="15">
        <f>A38+1</f>
        <v>33</v>
      </c>
      <c r="B39" s="47" t="s">
        <v>51</v>
      </c>
      <c r="C39" s="291">
        <v>5598</v>
      </c>
      <c r="D39" s="349">
        <f>C39*Assumptions!$C$30</f>
        <v>2727345600</v>
      </c>
      <c r="E39" s="417">
        <f>Assumptions!$H$14</f>
        <v>1.7344999999999999E-2</v>
      </c>
      <c r="F39" s="1179"/>
      <c r="G39" s="299">
        <f>Assumptions!$C$115</f>
        <v>3.7854100000000002</v>
      </c>
      <c r="H39" s="296"/>
      <c r="I39" s="1055">
        <f>IF(D39=0,0,Assumptions!$C$94+Assumptions!$C$35)</f>
        <v>2.25</v>
      </c>
      <c r="J39" s="1076"/>
      <c r="K39" s="309">
        <f>J39*G39/E39/1000</f>
        <v>0</v>
      </c>
      <c r="L39" s="359">
        <v>0.18</v>
      </c>
      <c r="M39" s="334">
        <f t="shared" si="27"/>
        <v>0.40499999999999997</v>
      </c>
      <c r="N39" s="321">
        <f t="shared" si="28"/>
        <v>0</v>
      </c>
      <c r="O39" s="321">
        <f t="shared" si="29"/>
        <v>0.40499999999999997</v>
      </c>
      <c r="P39" s="319">
        <f t="shared" si="30"/>
        <v>1104574968</v>
      </c>
      <c r="Q39" s="1054">
        <f t="shared" si="4"/>
        <v>0.40499999999999997</v>
      </c>
      <c r="R39" s="1048">
        <f t="shared" si="5"/>
        <v>1104574968</v>
      </c>
      <c r="S39" s="312">
        <f t="shared" si="31"/>
        <v>0</v>
      </c>
      <c r="T39" s="368">
        <f t="shared" si="32"/>
        <v>0</v>
      </c>
      <c r="U39" s="340">
        <f>-'OECD LPG subsidies'!D137</f>
        <v>0</v>
      </c>
      <c r="V39" s="344">
        <f>U39*E39</f>
        <v>0</v>
      </c>
      <c r="W39" s="163">
        <f>T39+V39</f>
        <v>0</v>
      </c>
      <c r="X39" s="321">
        <f>0.31*G39</f>
        <v>1.1734770999999999</v>
      </c>
      <c r="Y39" s="344">
        <f>X39*D39+V39</f>
        <v>3200477605.3857598</v>
      </c>
    </row>
    <row r="40" spans="1:27" ht="15.9" thickTop="1" x14ac:dyDescent="0.6">
      <c r="A40" s="48" t="s">
        <v>52</v>
      </c>
      <c r="B40" s="44"/>
      <c r="C40" s="290"/>
      <c r="D40" s="348"/>
      <c r="E40" s="391"/>
      <c r="F40" s="1178"/>
      <c r="G40" s="390"/>
      <c r="H40" s="293"/>
      <c r="I40" s="301">
        <f>IF(D40=0,0,Assumptions!$C$94+Assumptions!$C$35)</f>
        <v>0</v>
      </c>
      <c r="J40" s="393"/>
      <c r="K40" s="394"/>
      <c r="L40" s="322"/>
      <c r="M40" s="329"/>
      <c r="N40" s="320"/>
      <c r="O40" s="320"/>
      <c r="P40" s="314"/>
      <c r="Q40" s="1046"/>
      <c r="R40" s="1047"/>
      <c r="S40" s="395"/>
      <c r="T40" s="396"/>
      <c r="U40" s="542"/>
      <c r="V40" s="543"/>
      <c r="W40" s="573"/>
      <c r="X40" s="571"/>
      <c r="Y40" s="548"/>
      <c r="AA40" s="55"/>
    </row>
    <row r="41" spans="1:27" x14ac:dyDescent="0.6">
      <c r="A41" s="61">
        <f>A39+1</f>
        <v>34</v>
      </c>
      <c r="B41" s="44" t="s">
        <v>48</v>
      </c>
      <c r="C41" s="290">
        <v>5276</v>
      </c>
      <c r="D41" s="348">
        <f>C41*Assumptions!$C$30</f>
        <v>2570467200</v>
      </c>
      <c r="E41" s="399"/>
      <c r="F41" s="1178"/>
      <c r="G41" s="390">
        <f>Assumptions!$C$115</f>
        <v>3.7854100000000002</v>
      </c>
      <c r="H41" s="1128"/>
      <c r="I41" s="1163">
        <f>IF(D41=0,0,Assumptions!$C$94+Assumptions!$C$35)</f>
        <v>2.25</v>
      </c>
      <c r="J41" s="382"/>
      <c r="K41" s="394"/>
      <c r="L41" s="322"/>
      <c r="M41" s="329"/>
      <c r="N41" s="320"/>
      <c r="O41" s="320"/>
      <c r="P41" s="314"/>
      <c r="Q41" s="1046"/>
      <c r="R41" s="1047"/>
      <c r="S41" s="395"/>
      <c r="T41" s="396"/>
      <c r="U41" s="336"/>
      <c r="V41" s="342"/>
      <c r="W41" s="574"/>
      <c r="X41" s="1043"/>
      <c r="Y41" s="342">
        <f t="shared" ref="Y41:Y65" si="34">X41*D41</f>
        <v>0</v>
      </c>
    </row>
    <row r="42" spans="1:27" x14ac:dyDescent="0.6">
      <c r="A42" s="46">
        <f>A41+1</f>
        <v>35</v>
      </c>
      <c r="B42" s="44" t="s">
        <v>53</v>
      </c>
      <c r="C42" s="290">
        <v>1494</v>
      </c>
      <c r="D42" s="348">
        <f>C42*Assumptions!$C$30</f>
        <v>727876800</v>
      </c>
      <c r="E42" s="391"/>
      <c r="F42" s="1178"/>
      <c r="G42" s="390">
        <f>Assumptions!$C$115</f>
        <v>3.7854100000000002</v>
      </c>
      <c r="H42" s="1128"/>
      <c r="I42" s="1163">
        <f>IF(D42=0,0,Assumptions!$C$94+Assumptions!$C$35)</f>
        <v>2.25</v>
      </c>
      <c r="J42" s="382"/>
      <c r="K42" s="394"/>
      <c r="L42" s="322"/>
      <c r="M42" s="329"/>
      <c r="N42" s="320"/>
      <c r="O42" s="320"/>
      <c r="P42" s="314"/>
      <c r="Q42" s="1046"/>
      <c r="R42" s="1047"/>
      <c r="S42" s="395"/>
      <c r="T42" s="394"/>
      <c r="U42" s="336"/>
      <c r="V42" s="342"/>
      <c r="W42" s="574"/>
      <c r="X42" s="363">
        <f>0.08*G42</f>
        <v>0.30283280000000001</v>
      </c>
      <c r="Y42" s="342">
        <f t="shared" si="34"/>
        <v>220424969.39904001</v>
      </c>
    </row>
    <row r="43" spans="1:27" x14ac:dyDescent="0.6">
      <c r="A43" s="46">
        <f t="shared" ref="A43:A65" si="35">A42+1</f>
        <v>36</v>
      </c>
      <c r="B43" s="44" t="s">
        <v>54</v>
      </c>
      <c r="C43" s="290">
        <v>264</v>
      </c>
      <c r="D43" s="348">
        <f>C43*Assumptions!$C$30</f>
        <v>128620800</v>
      </c>
      <c r="E43" s="391"/>
      <c r="F43" s="1178"/>
      <c r="G43" s="390">
        <f>Assumptions!$C$115</f>
        <v>3.7854100000000002</v>
      </c>
      <c r="H43" s="1128"/>
      <c r="I43" s="1163">
        <f>IF(D43=0,0,Assumptions!$C$94+Assumptions!$C$35)</f>
        <v>2.25</v>
      </c>
      <c r="J43" s="382"/>
      <c r="K43" s="394"/>
      <c r="L43" s="322"/>
      <c r="M43" s="329"/>
      <c r="N43" s="320"/>
      <c r="O43" s="320"/>
      <c r="P43" s="314"/>
      <c r="Q43" s="1046"/>
      <c r="R43" s="1047"/>
      <c r="S43" s="395"/>
      <c r="T43" s="396"/>
      <c r="U43" s="336"/>
      <c r="V43" s="342"/>
      <c r="W43" s="574"/>
      <c r="X43" s="363">
        <f>0.54*G43</f>
        <v>2.0441214000000003</v>
      </c>
      <c r="Y43" s="342">
        <f t="shared" si="34"/>
        <v>262916529.76512003</v>
      </c>
    </row>
    <row r="44" spans="1:27" s="85" customFormat="1" x14ac:dyDescent="0.6">
      <c r="A44" s="61">
        <f t="shared" si="35"/>
        <v>37</v>
      </c>
      <c r="B44" s="86" t="s">
        <v>55</v>
      </c>
      <c r="C44" s="290">
        <v>18</v>
      </c>
      <c r="D44" s="348">
        <f>C44*Assumptions!$C$30</f>
        <v>8769600</v>
      </c>
      <c r="E44" s="1005"/>
      <c r="F44" s="1180"/>
      <c r="G44" s="1006">
        <f>Assumptions!$C$115</f>
        <v>3.7854100000000002</v>
      </c>
      <c r="H44" s="1128"/>
      <c r="I44" s="1163">
        <f>IF(D44=0,0,Assumptions!$C$94+Assumptions!$C$35)</f>
        <v>2.25</v>
      </c>
      <c r="J44" s="393"/>
      <c r="K44" s="394"/>
      <c r="L44" s="322"/>
      <c r="M44" s="329"/>
      <c r="N44" s="320"/>
      <c r="O44" s="320"/>
      <c r="P44" s="314"/>
      <c r="Q44" s="1046"/>
      <c r="R44" s="1047"/>
      <c r="S44" s="395"/>
      <c r="T44" s="396"/>
      <c r="U44" s="1007"/>
      <c r="V44" s="847"/>
      <c r="W44" s="1008"/>
      <c r="X44" s="363">
        <f>0.23*G44</f>
        <v>0.87064430000000004</v>
      </c>
      <c r="Y44" s="847">
        <f t="shared" si="34"/>
        <v>7635202.2532800008</v>
      </c>
      <c r="Z44" s="506"/>
    </row>
    <row r="45" spans="1:27" s="85" customFormat="1" x14ac:dyDescent="0.6">
      <c r="A45" s="61">
        <f t="shared" si="35"/>
        <v>38</v>
      </c>
      <c r="B45" s="86" t="s">
        <v>56</v>
      </c>
      <c r="C45" s="290">
        <v>62</v>
      </c>
      <c r="D45" s="348">
        <f>C45*Assumptions!$C$30</f>
        <v>30206400</v>
      </c>
      <c r="E45" s="1005"/>
      <c r="F45" s="1180"/>
      <c r="G45" s="1006">
        <f>Assumptions!$C$115</f>
        <v>3.7854100000000002</v>
      </c>
      <c r="H45" s="1128"/>
      <c r="I45" s="1163">
        <f>IF(D45=0,0,Assumptions!$C$94+Assumptions!$C$35)</f>
        <v>2.25</v>
      </c>
      <c r="J45" s="393"/>
      <c r="K45" s="394"/>
      <c r="L45" s="322"/>
      <c r="M45" s="329"/>
      <c r="N45" s="320"/>
      <c r="O45" s="320"/>
      <c r="P45" s="314"/>
      <c r="Q45" s="1046"/>
      <c r="R45" s="1047"/>
      <c r="S45" s="395"/>
      <c r="T45" s="396"/>
      <c r="U45" s="1007"/>
      <c r="V45" s="847"/>
      <c r="W45" s="1008"/>
      <c r="X45" s="1043">
        <f>I45</f>
        <v>2.25</v>
      </c>
      <c r="Y45" s="847">
        <f t="shared" si="34"/>
        <v>67964400</v>
      </c>
      <c r="Z45" s="506"/>
    </row>
    <row r="46" spans="1:27" x14ac:dyDescent="0.6">
      <c r="A46" s="46">
        <f t="shared" si="35"/>
        <v>39</v>
      </c>
      <c r="B46" s="44" t="s">
        <v>57</v>
      </c>
      <c r="C46" s="290">
        <v>16</v>
      </c>
      <c r="D46" s="348">
        <f>C46*Assumptions!$C$30</f>
        <v>7795200</v>
      </c>
      <c r="E46" s="391"/>
      <c r="F46" s="1178"/>
      <c r="G46" s="390">
        <f>Assumptions!$C$115</f>
        <v>3.7854100000000002</v>
      </c>
      <c r="H46" s="1128"/>
      <c r="I46" s="1163">
        <f>IF(D46=0,0,Assumptions!$C$94+Assumptions!$C$35)</f>
        <v>2.25</v>
      </c>
      <c r="J46" s="382"/>
      <c r="K46" s="400"/>
      <c r="L46" s="323"/>
      <c r="M46" s="329"/>
      <c r="N46" s="324"/>
      <c r="O46" s="324"/>
      <c r="P46" s="314"/>
      <c r="Q46" s="1046"/>
      <c r="R46" s="1047"/>
      <c r="S46" s="401"/>
      <c r="T46" s="396"/>
      <c r="U46" s="336"/>
      <c r="V46" s="342"/>
      <c r="W46" s="574"/>
      <c r="X46" s="1043">
        <f t="shared" ref="X46:X65" si="36">I46</f>
        <v>2.25</v>
      </c>
      <c r="Y46" s="342">
        <f t="shared" si="34"/>
        <v>17539200</v>
      </c>
    </row>
    <row r="47" spans="1:27" x14ac:dyDescent="0.6">
      <c r="A47" s="46">
        <f t="shared" si="35"/>
        <v>40</v>
      </c>
      <c r="B47" s="44" t="s">
        <v>58</v>
      </c>
      <c r="C47" s="290">
        <v>809</v>
      </c>
      <c r="D47" s="348">
        <f>C47*Assumptions!$C$30</f>
        <v>394144800</v>
      </c>
      <c r="E47" s="391"/>
      <c r="F47" s="1178"/>
      <c r="G47" s="390">
        <f>Assumptions!$C$115</f>
        <v>3.7854100000000002</v>
      </c>
      <c r="H47" s="1128"/>
      <c r="I47" s="1163">
        <f>IF(D47=0,0,Assumptions!$C$94+Assumptions!$C$35)</f>
        <v>2.25</v>
      </c>
      <c r="J47" s="382"/>
      <c r="K47" s="392"/>
      <c r="L47" s="325"/>
      <c r="M47" s="329"/>
      <c r="N47" s="281"/>
      <c r="O47" s="281"/>
      <c r="P47" s="314"/>
      <c r="Q47" s="1046"/>
      <c r="R47" s="1047"/>
      <c r="S47" s="402"/>
      <c r="T47" s="403"/>
      <c r="U47" s="336"/>
      <c r="V47" s="342"/>
      <c r="W47" s="574"/>
      <c r="X47" s="1043">
        <f t="shared" si="36"/>
        <v>2.25</v>
      </c>
      <c r="Y47" s="342">
        <f t="shared" si="34"/>
        <v>886825800</v>
      </c>
    </row>
    <row r="48" spans="1:27" x14ac:dyDescent="0.6">
      <c r="A48" s="46">
        <f t="shared" si="35"/>
        <v>41</v>
      </c>
      <c r="B48" s="44" t="s">
        <v>59</v>
      </c>
      <c r="C48" s="290">
        <v>4241</v>
      </c>
      <c r="D48" s="348">
        <f>C48*Assumptions!$C$30</f>
        <v>2066215200</v>
      </c>
      <c r="E48" s="391"/>
      <c r="F48" s="1178"/>
      <c r="G48" s="390">
        <f>Assumptions!$C$115</f>
        <v>3.7854100000000002</v>
      </c>
      <c r="H48" s="1128"/>
      <c r="I48" s="1163">
        <f>IF(D48=0,0,Assumptions!$C$94+Assumptions!$C$35)</f>
        <v>2.25</v>
      </c>
      <c r="J48" s="382"/>
      <c r="K48" s="392"/>
      <c r="L48" s="325"/>
      <c r="M48" s="329"/>
      <c r="N48" s="281"/>
      <c r="O48" s="281"/>
      <c r="P48" s="314"/>
      <c r="Q48" s="1046"/>
      <c r="R48" s="1047"/>
      <c r="S48" s="402"/>
      <c r="T48" s="396"/>
      <c r="U48" s="336"/>
      <c r="V48" s="342"/>
      <c r="W48" s="574"/>
      <c r="X48" s="1043">
        <f t="shared" si="36"/>
        <v>2.25</v>
      </c>
      <c r="Y48" s="342">
        <f t="shared" si="34"/>
        <v>4648984200</v>
      </c>
    </row>
    <row r="49" spans="1:26" x14ac:dyDescent="0.6">
      <c r="A49" s="46">
        <f t="shared" si="35"/>
        <v>42</v>
      </c>
      <c r="B49" s="44" t="s">
        <v>60</v>
      </c>
      <c r="C49" s="290">
        <v>36</v>
      </c>
      <c r="D49" s="348">
        <f>C49*Assumptions!$C$30</f>
        <v>17539200</v>
      </c>
      <c r="E49" s="391"/>
      <c r="F49" s="1178"/>
      <c r="G49" s="390">
        <f>Assumptions!$C$115</f>
        <v>3.7854100000000002</v>
      </c>
      <c r="H49" s="1128"/>
      <c r="I49" s="1163">
        <f>IF(D49=0,0,Assumptions!$C$94+Assumptions!$C$35)</f>
        <v>2.25</v>
      </c>
      <c r="J49" s="382"/>
      <c r="K49" s="392"/>
      <c r="L49" s="325"/>
      <c r="M49" s="329"/>
      <c r="N49" s="281"/>
      <c r="O49" s="281"/>
      <c r="P49" s="314"/>
      <c r="Q49" s="1046"/>
      <c r="R49" s="1047"/>
      <c r="S49" s="402"/>
      <c r="T49" s="396"/>
      <c r="U49" s="336"/>
      <c r="V49" s="342"/>
      <c r="W49" s="574"/>
      <c r="X49" s="1043">
        <f t="shared" si="36"/>
        <v>2.25</v>
      </c>
      <c r="Y49" s="342">
        <f t="shared" si="34"/>
        <v>39463200</v>
      </c>
    </row>
    <row r="50" spans="1:26" s="85" customFormat="1" x14ac:dyDescent="0.6">
      <c r="A50" s="61">
        <f t="shared" si="35"/>
        <v>43</v>
      </c>
      <c r="B50" s="86" t="s">
        <v>61</v>
      </c>
      <c r="C50" s="290">
        <v>6115</v>
      </c>
      <c r="D50" s="348">
        <f>C50*Assumptions!$C$30</f>
        <v>2979228000</v>
      </c>
      <c r="E50" s="1009"/>
      <c r="F50" s="1181"/>
      <c r="G50" s="1006">
        <f>Assumptions!$C$115</f>
        <v>3.7854100000000002</v>
      </c>
      <c r="H50" s="1128"/>
      <c r="I50" s="1163">
        <f>IF(D50=0,0,Assumptions!$C$94+Assumptions!$C$35)</f>
        <v>2.25</v>
      </c>
      <c r="J50" s="393"/>
      <c r="K50" s="394"/>
      <c r="L50" s="322"/>
      <c r="M50" s="329"/>
      <c r="N50" s="320"/>
      <c r="O50" s="320"/>
      <c r="P50" s="314"/>
      <c r="Q50" s="1046"/>
      <c r="R50" s="1047"/>
      <c r="S50" s="395"/>
      <c r="T50" s="396"/>
      <c r="U50" s="1007"/>
      <c r="V50" s="847"/>
      <c r="W50" s="1008"/>
      <c r="X50" s="1043">
        <f t="shared" si="36"/>
        <v>2.25</v>
      </c>
      <c r="Y50" s="847">
        <f t="shared" si="34"/>
        <v>6703263000</v>
      </c>
      <c r="Z50" s="506"/>
    </row>
    <row r="51" spans="1:26" s="85" customFormat="1" x14ac:dyDescent="0.6">
      <c r="A51" s="61">
        <f t="shared" si="35"/>
        <v>44</v>
      </c>
      <c r="B51" s="86" t="s">
        <v>62</v>
      </c>
      <c r="C51" s="290">
        <v>1479</v>
      </c>
      <c r="D51" s="348">
        <f>C51*Assumptions!$C$30</f>
        <v>720568800</v>
      </c>
      <c r="E51" s="1005"/>
      <c r="F51" s="1180"/>
      <c r="G51" s="1006">
        <f>Assumptions!$C$115</f>
        <v>3.7854100000000002</v>
      </c>
      <c r="H51" s="1128"/>
      <c r="I51" s="1163">
        <f>IF(D51=0,0,Assumptions!$C$94+Assumptions!$C$35)</f>
        <v>2.25</v>
      </c>
      <c r="J51" s="393"/>
      <c r="K51" s="394"/>
      <c r="L51" s="322"/>
      <c r="M51" s="329"/>
      <c r="N51" s="320"/>
      <c r="O51" s="320"/>
      <c r="P51" s="314"/>
      <c r="Q51" s="1046"/>
      <c r="R51" s="1047"/>
      <c r="S51" s="395"/>
      <c r="T51" s="396"/>
      <c r="U51" s="1007"/>
      <c r="V51" s="847"/>
      <c r="W51" s="1008"/>
      <c r="X51" s="1043">
        <f t="shared" si="36"/>
        <v>2.25</v>
      </c>
      <c r="Y51" s="847">
        <f t="shared" si="34"/>
        <v>1621279800</v>
      </c>
      <c r="Z51" s="506"/>
    </row>
    <row r="52" spans="1:26" s="85" customFormat="1" x14ac:dyDescent="0.6">
      <c r="A52" s="61">
        <f t="shared" si="35"/>
        <v>45</v>
      </c>
      <c r="B52" s="86" t="s">
        <v>63</v>
      </c>
      <c r="C52" s="290">
        <v>1591</v>
      </c>
      <c r="D52" s="348">
        <f>C52*Assumptions!$C$30</f>
        <v>775135200</v>
      </c>
      <c r="E52" s="1005"/>
      <c r="F52" s="1180"/>
      <c r="G52" s="1006">
        <f>Assumptions!$C$115</f>
        <v>3.7854100000000002</v>
      </c>
      <c r="H52" s="1128"/>
      <c r="I52" s="1163">
        <f>IF(D52=0,0,Assumptions!$C$94+Assumptions!$C$35)</f>
        <v>2.25</v>
      </c>
      <c r="J52" s="393"/>
      <c r="K52" s="394"/>
      <c r="L52" s="322"/>
      <c r="M52" s="329"/>
      <c r="N52" s="320"/>
      <c r="O52" s="320"/>
      <c r="P52" s="314"/>
      <c r="Q52" s="1046"/>
      <c r="R52" s="1047"/>
      <c r="S52" s="395"/>
      <c r="T52" s="396"/>
      <c r="U52" s="1007"/>
      <c r="V52" s="847"/>
      <c r="W52" s="1008"/>
      <c r="X52" s="1043">
        <f t="shared" si="36"/>
        <v>2.25</v>
      </c>
      <c r="Y52" s="847">
        <f t="shared" si="34"/>
        <v>1744054200</v>
      </c>
      <c r="Z52" s="70"/>
    </row>
    <row r="53" spans="1:26" s="85" customFormat="1" x14ac:dyDescent="0.6">
      <c r="A53" s="61">
        <f t="shared" si="35"/>
        <v>46</v>
      </c>
      <c r="B53" s="86" t="s">
        <v>64</v>
      </c>
      <c r="C53" s="290">
        <v>249</v>
      </c>
      <c r="D53" s="348">
        <f>C53*Assumptions!$C$30</f>
        <v>121312800</v>
      </c>
      <c r="E53" s="1005"/>
      <c r="F53" s="1180"/>
      <c r="G53" s="1006">
        <f>Assumptions!$C$115</f>
        <v>3.7854100000000002</v>
      </c>
      <c r="H53" s="1128"/>
      <c r="I53" s="1163">
        <f>IF(D53=0,0,Assumptions!$C$94+Assumptions!$C$35)</f>
        <v>2.25</v>
      </c>
      <c r="J53" s="393"/>
      <c r="K53" s="394"/>
      <c r="L53" s="322"/>
      <c r="M53" s="329"/>
      <c r="N53" s="320"/>
      <c r="O53" s="320"/>
      <c r="P53" s="314"/>
      <c r="Q53" s="1046"/>
      <c r="R53" s="1047"/>
      <c r="S53" s="395"/>
      <c r="T53" s="396"/>
      <c r="U53" s="1007"/>
      <c r="V53" s="847"/>
      <c r="W53" s="1008"/>
      <c r="X53" s="1043">
        <f t="shared" si="36"/>
        <v>2.25</v>
      </c>
      <c r="Y53" s="847">
        <f t="shared" si="34"/>
        <v>272953800</v>
      </c>
      <c r="Z53" s="506"/>
    </row>
    <row r="54" spans="1:26" s="85" customFormat="1" x14ac:dyDescent="0.6">
      <c r="A54" s="61">
        <f t="shared" si="35"/>
        <v>47</v>
      </c>
      <c r="B54" s="86" t="s">
        <v>65</v>
      </c>
      <c r="C54" s="290">
        <v>153</v>
      </c>
      <c r="D54" s="348">
        <f>C54*Assumptions!$C$30</f>
        <v>74541600</v>
      </c>
      <c r="E54" s="1005"/>
      <c r="F54" s="1180"/>
      <c r="G54" s="1006">
        <f>Assumptions!$C$115</f>
        <v>3.7854100000000002</v>
      </c>
      <c r="H54" s="1128"/>
      <c r="I54" s="1163">
        <f>IF(D54=0,0,Assumptions!$C$94+Assumptions!$C$35)</f>
        <v>2.25</v>
      </c>
      <c r="J54" s="393"/>
      <c r="K54" s="394"/>
      <c r="L54" s="322"/>
      <c r="M54" s="329"/>
      <c r="N54" s="320"/>
      <c r="O54" s="320"/>
      <c r="P54" s="314"/>
      <c r="Q54" s="1046"/>
      <c r="R54" s="1047"/>
      <c r="S54" s="395"/>
      <c r="T54" s="396"/>
      <c r="U54" s="1007"/>
      <c r="V54" s="1010"/>
      <c r="W54" s="1011"/>
      <c r="X54" s="1043">
        <f t="shared" si="36"/>
        <v>2.25</v>
      </c>
      <c r="Y54" s="847">
        <f t="shared" si="34"/>
        <v>167718600</v>
      </c>
      <c r="Z54" s="70"/>
    </row>
    <row r="55" spans="1:26" s="85" customFormat="1" x14ac:dyDescent="0.6">
      <c r="A55" s="61">
        <f t="shared" si="35"/>
        <v>48</v>
      </c>
      <c r="B55" s="86" t="s">
        <v>66</v>
      </c>
      <c r="C55" s="290">
        <v>264</v>
      </c>
      <c r="D55" s="348">
        <f>C55*Assumptions!$C$30</f>
        <v>128620800</v>
      </c>
      <c r="E55" s="1005"/>
      <c r="F55" s="1180"/>
      <c r="G55" s="1006">
        <f>Assumptions!$C$115</f>
        <v>3.7854100000000002</v>
      </c>
      <c r="H55" s="1128"/>
      <c r="I55" s="1163">
        <f>IF(D55=0,0,Assumptions!$C$94+Assumptions!$C$35)</f>
        <v>2.25</v>
      </c>
      <c r="J55" s="393"/>
      <c r="K55" s="394"/>
      <c r="L55" s="322"/>
      <c r="M55" s="329"/>
      <c r="N55" s="320"/>
      <c r="O55" s="320"/>
      <c r="P55" s="314"/>
      <c r="Q55" s="1046"/>
      <c r="R55" s="1047"/>
      <c r="S55" s="395"/>
      <c r="T55" s="396"/>
      <c r="U55" s="1007"/>
      <c r="V55" s="1010"/>
      <c r="W55" s="1011"/>
      <c r="X55" s="1043">
        <f t="shared" si="36"/>
        <v>2.25</v>
      </c>
      <c r="Y55" s="847">
        <f t="shared" si="34"/>
        <v>289396800</v>
      </c>
      <c r="Z55" s="506"/>
    </row>
    <row r="56" spans="1:26" s="85" customFormat="1" x14ac:dyDescent="0.6">
      <c r="A56" s="61">
        <f t="shared" si="35"/>
        <v>49</v>
      </c>
      <c r="B56" s="86" t="s">
        <v>67</v>
      </c>
      <c r="C56" s="290">
        <v>620</v>
      </c>
      <c r="D56" s="348">
        <f>C56*Assumptions!$C$30</f>
        <v>302064000</v>
      </c>
      <c r="E56" s="1005"/>
      <c r="F56" s="1180"/>
      <c r="G56" s="1006">
        <f>Assumptions!$C$115</f>
        <v>3.7854100000000002</v>
      </c>
      <c r="H56" s="1128"/>
      <c r="I56" s="1163">
        <f>IF(D56=0,0,Assumptions!$C$94+Assumptions!$C$35)</f>
        <v>2.25</v>
      </c>
      <c r="J56" s="393"/>
      <c r="K56" s="394"/>
      <c r="L56" s="322"/>
      <c r="M56" s="329"/>
      <c r="N56" s="320"/>
      <c r="O56" s="320"/>
      <c r="P56" s="314"/>
      <c r="Q56" s="1046"/>
      <c r="R56" s="1047"/>
      <c r="S56" s="395"/>
      <c r="T56" s="396"/>
      <c r="U56" s="1007"/>
      <c r="V56" s="1010"/>
      <c r="W56" s="1011"/>
      <c r="X56" s="1043">
        <f t="shared" si="36"/>
        <v>2.25</v>
      </c>
      <c r="Y56" s="847">
        <f t="shared" si="34"/>
        <v>679644000</v>
      </c>
      <c r="Z56" s="506"/>
    </row>
    <row r="57" spans="1:26" s="85" customFormat="1" x14ac:dyDescent="0.6">
      <c r="A57" s="61">
        <f t="shared" si="35"/>
        <v>50</v>
      </c>
      <c r="B57" s="86" t="s">
        <v>68</v>
      </c>
      <c r="C57" s="290">
        <v>22</v>
      </c>
      <c r="D57" s="348">
        <f>C57*Assumptions!$C$30</f>
        <v>10718400</v>
      </c>
      <c r="E57" s="1005"/>
      <c r="F57" s="1180"/>
      <c r="G57" s="1006">
        <f>Assumptions!$C$115</f>
        <v>3.7854100000000002</v>
      </c>
      <c r="H57" s="1128"/>
      <c r="I57" s="1163">
        <f>IF(D57=0,0,Assumptions!$C$94+Assumptions!$C$35)</f>
        <v>2.25</v>
      </c>
      <c r="J57" s="393"/>
      <c r="K57" s="394"/>
      <c r="L57" s="322"/>
      <c r="M57" s="329"/>
      <c r="N57" s="320"/>
      <c r="O57" s="320"/>
      <c r="P57" s="314"/>
      <c r="Q57" s="1046"/>
      <c r="R57" s="1047"/>
      <c r="S57" s="395"/>
      <c r="T57" s="396"/>
      <c r="U57" s="1007"/>
      <c r="V57" s="1010"/>
      <c r="W57" s="1011"/>
      <c r="X57" s="1043">
        <f t="shared" si="36"/>
        <v>2.25</v>
      </c>
      <c r="Y57" s="847">
        <f t="shared" si="34"/>
        <v>24116400</v>
      </c>
      <c r="Z57" s="506"/>
    </row>
    <row r="58" spans="1:26" s="85" customFormat="1" x14ac:dyDescent="0.6">
      <c r="A58" s="61">
        <f t="shared" si="35"/>
        <v>51</v>
      </c>
      <c r="B58" s="86" t="s">
        <v>695</v>
      </c>
      <c r="C58" s="290">
        <v>165</v>
      </c>
      <c r="D58" s="348">
        <f>C58*Assumptions!$C$30</f>
        <v>80388000</v>
      </c>
      <c r="E58" s="1005"/>
      <c r="F58" s="1180"/>
      <c r="G58" s="1006">
        <f>Assumptions!$C$115</f>
        <v>3.7854100000000002</v>
      </c>
      <c r="H58" s="1128"/>
      <c r="I58" s="1163">
        <f>IF(D58=0,0,Assumptions!$C$94+Assumptions!$C$35)</f>
        <v>2.25</v>
      </c>
      <c r="J58" s="393"/>
      <c r="K58" s="394"/>
      <c r="L58" s="322"/>
      <c r="M58" s="329"/>
      <c r="N58" s="320"/>
      <c r="O58" s="320"/>
      <c r="P58" s="314"/>
      <c r="Q58" s="1046"/>
      <c r="R58" s="1047"/>
      <c r="S58" s="395"/>
      <c r="T58" s="396"/>
      <c r="U58" s="1007"/>
      <c r="V58" s="1010"/>
      <c r="W58" s="1011"/>
      <c r="X58" s="1043">
        <f t="shared" si="36"/>
        <v>2.25</v>
      </c>
      <c r="Y58" s="847">
        <f t="shared" si="34"/>
        <v>180873000</v>
      </c>
      <c r="Z58" s="506"/>
    </row>
    <row r="59" spans="1:26" s="85" customFormat="1" x14ac:dyDescent="0.6">
      <c r="A59" s="61">
        <f t="shared" si="35"/>
        <v>52</v>
      </c>
      <c r="B59" s="86" t="s">
        <v>69</v>
      </c>
      <c r="C59" s="290">
        <v>116</v>
      </c>
      <c r="D59" s="348">
        <f>C59*Assumptions!$C$30</f>
        <v>56515200</v>
      </c>
      <c r="E59" s="1005"/>
      <c r="F59" s="1180"/>
      <c r="G59" s="1006">
        <f>Assumptions!$C$115</f>
        <v>3.7854100000000002</v>
      </c>
      <c r="H59" s="1128"/>
      <c r="I59" s="1163">
        <f>IF(D59=0,0,Assumptions!$C$94+Assumptions!$C$35)</f>
        <v>2.25</v>
      </c>
      <c r="J59" s="393"/>
      <c r="K59" s="394"/>
      <c r="L59" s="322"/>
      <c r="M59" s="329"/>
      <c r="N59" s="320"/>
      <c r="O59" s="320"/>
      <c r="P59" s="314"/>
      <c r="Q59" s="1046"/>
      <c r="R59" s="1047"/>
      <c r="S59" s="395"/>
      <c r="T59" s="396"/>
      <c r="U59" s="1007"/>
      <c r="V59" s="1010"/>
      <c r="W59" s="1011"/>
      <c r="X59" s="1043">
        <f t="shared" si="36"/>
        <v>2.25</v>
      </c>
      <c r="Y59" s="847">
        <f t="shared" si="34"/>
        <v>127159200</v>
      </c>
      <c r="Z59" s="70"/>
    </row>
    <row r="60" spans="1:26" s="85" customFormat="1" x14ac:dyDescent="0.6">
      <c r="A60" s="61">
        <f t="shared" si="35"/>
        <v>53</v>
      </c>
      <c r="B60" s="86" t="s">
        <v>70</v>
      </c>
      <c r="C60" s="290">
        <v>1086</v>
      </c>
      <c r="D60" s="348">
        <f>C60*Assumptions!$C$30</f>
        <v>529099200</v>
      </c>
      <c r="E60" s="1005"/>
      <c r="F60" s="1180"/>
      <c r="G60" s="1006">
        <f>Assumptions!$C$115</f>
        <v>3.7854100000000002</v>
      </c>
      <c r="H60" s="1128"/>
      <c r="I60" s="1163">
        <f>IF(D60=0,0,Assumptions!$C$94+Assumptions!$C$35)</f>
        <v>2.25</v>
      </c>
      <c r="J60" s="393"/>
      <c r="K60" s="394"/>
      <c r="L60" s="322"/>
      <c r="M60" s="329"/>
      <c r="N60" s="320"/>
      <c r="O60" s="320"/>
      <c r="P60" s="314"/>
      <c r="Q60" s="1046"/>
      <c r="R60" s="1047"/>
      <c r="S60" s="395"/>
      <c r="T60" s="396"/>
      <c r="U60" s="1007"/>
      <c r="V60" s="1010"/>
      <c r="W60" s="1011"/>
      <c r="X60" s="1043">
        <f t="shared" si="36"/>
        <v>2.25</v>
      </c>
      <c r="Y60" s="847">
        <f t="shared" si="34"/>
        <v>1190473200</v>
      </c>
      <c r="Z60" s="70"/>
    </row>
    <row r="61" spans="1:26" s="85" customFormat="1" x14ac:dyDescent="0.6">
      <c r="A61" s="61">
        <f t="shared" si="35"/>
        <v>54</v>
      </c>
      <c r="B61" s="86" t="s">
        <v>71</v>
      </c>
      <c r="C61" s="290">
        <v>55</v>
      </c>
      <c r="D61" s="348">
        <f>C61*Assumptions!$C$30</f>
        <v>26796000</v>
      </c>
      <c r="E61" s="1005"/>
      <c r="F61" s="1180"/>
      <c r="G61" s="1006">
        <f>Assumptions!$C$115</f>
        <v>3.7854100000000002</v>
      </c>
      <c r="H61" s="1128"/>
      <c r="I61" s="1163">
        <f>IF(D61=0,0,Assumptions!$C$94+Assumptions!$C$35)</f>
        <v>2.25</v>
      </c>
      <c r="J61" s="393"/>
      <c r="K61" s="394"/>
      <c r="L61" s="322"/>
      <c r="M61" s="329"/>
      <c r="N61" s="320"/>
      <c r="O61" s="320"/>
      <c r="P61" s="314"/>
      <c r="Q61" s="1046"/>
      <c r="R61" s="1047"/>
      <c r="S61" s="395"/>
      <c r="T61" s="396"/>
      <c r="U61" s="1007"/>
      <c r="V61" s="1010"/>
      <c r="W61" s="1011"/>
      <c r="X61" s="1043">
        <f t="shared" si="36"/>
        <v>2.25</v>
      </c>
      <c r="Y61" s="847">
        <f t="shared" si="34"/>
        <v>60291000</v>
      </c>
      <c r="Z61" s="506"/>
    </row>
    <row r="62" spans="1:26" s="85" customFormat="1" x14ac:dyDescent="0.6">
      <c r="A62" s="61">
        <f t="shared" si="35"/>
        <v>55</v>
      </c>
      <c r="B62" s="86" t="s">
        <v>72</v>
      </c>
      <c r="C62" s="290">
        <v>0</v>
      </c>
      <c r="D62" s="348">
        <f>C62*Assumptions!$C$30</f>
        <v>0</v>
      </c>
      <c r="E62" s="1005"/>
      <c r="F62" s="1180"/>
      <c r="G62" s="1006">
        <f>Assumptions!$C$115</f>
        <v>3.7854100000000002</v>
      </c>
      <c r="H62" s="1128"/>
      <c r="I62" s="1163">
        <f>IF(D62=0,0,Assumptions!$C$94+Assumptions!$C$35)</f>
        <v>0</v>
      </c>
      <c r="J62" s="393"/>
      <c r="K62" s="394"/>
      <c r="L62" s="322"/>
      <c r="M62" s="329"/>
      <c r="N62" s="320"/>
      <c r="O62" s="320"/>
      <c r="P62" s="314"/>
      <c r="Q62" s="1046"/>
      <c r="R62" s="1047"/>
      <c r="S62" s="395"/>
      <c r="T62" s="396"/>
      <c r="U62" s="1007"/>
      <c r="V62" s="1010"/>
      <c r="W62" s="1011"/>
      <c r="X62" s="1043">
        <f t="shared" si="36"/>
        <v>0</v>
      </c>
      <c r="Y62" s="847">
        <f t="shared" si="34"/>
        <v>0</v>
      </c>
      <c r="Z62" s="506"/>
    </row>
    <row r="63" spans="1:26" s="85" customFormat="1" x14ac:dyDescent="0.6">
      <c r="A63" s="61">
        <f t="shared" si="35"/>
        <v>56</v>
      </c>
      <c r="B63" s="86" t="s">
        <v>73</v>
      </c>
      <c r="C63" s="290">
        <v>325</v>
      </c>
      <c r="D63" s="348">
        <f>C63*Assumptions!$C$30</f>
        <v>158340000</v>
      </c>
      <c r="E63" s="1005"/>
      <c r="F63" s="1180"/>
      <c r="G63" s="1006">
        <f>Assumptions!$C$115</f>
        <v>3.7854100000000002</v>
      </c>
      <c r="H63" s="1128"/>
      <c r="I63" s="1163">
        <f>IF(D63=0,0,Assumptions!$C$94+Assumptions!$C$35)</f>
        <v>2.25</v>
      </c>
      <c r="J63" s="393"/>
      <c r="K63" s="394"/>
      <c r="L63" s="322"/>
      <c r="M63" s="329"/>
      <c r="N63" s="320"/>
      <c r="O63" s="320"/>
      <c r="P63" s="314"/>
      <c r="Q63" s="1046"/>
      <c r="R63" s="1047"/>
      <c r="S63" s="395"/>
      <c r="T63" s="396"/>
      <c r="U63" s="1007"/>
      <c r="V63" s="1010"/>
      <c r="W63" s="1011"/>
      <c r="X63" s="1043">
        <f t="shared" si="36"/>
        <v>2.25</v>
      </c>
      <c r="Y63" s="847">
        <f t="shared" si="34"/>
        <v>356265000</v>
      </c>
      <c r="Z63" s="70"/>
    </row>
    <row r="64" spans="1:26" s="85" customFormat="1" x14ac:dyDescent="0.6">
      <c r="A64" s="61">
        <f t="shared" si="35"/>
        <v>57</v>
      </c>
      <c r="B64" s="86" t="s">
        <v>74</v>
      </c>
      <c r="C64" s="290">
        <v>6</v>
      </c>
      <c r="D64" s="348">
        <f>C64*Assumptions!$C$30</f>
        <v>2923200</v>
      </c>
      <c r="E64" s="1005"/>
      <c r="F64" s="1180"/>
      <c r="G64" s="1006">
        <f>Assumptions!$C$115</f>
        <v>3.7854100000000002</v>
      </c>
      <c r="H64" s="1128"/>
      <c r="I64" s="1163">
        <f>IF(D64=0,0,Assumptions!$C$94+Assumptions!$C$35)</f>
        <v>2.25</v>
      </c>
      <c r="J64" s="393"/>
      <c r="K64" s="394"/>
      <c r="L64" s="322"/>
      <c r="M64" s="329"/>
      <c r="N64" s="320"/>
      <c r="O64" s="320"/>
      <c r="P64" s="314"/>
      <c r="Q64" s="1046"/>
      <c r="R64" s="1047"/>
      <c r="S64" s="395"/>
      <c r="T64" s="396"/>
      <c r="U64" s="1007"/>
      <c r="V64" s="1010"/>
      <c r="W64" s="1011"/>
      <c r="X64" s="1043">
        <f t="shared" si="36"/>
        <v>2.25</v>
      </c>
      <c r="Y64" s="847">
        <f t="shared" si="34"/>
        <v>6577200</v>
      </c>
      <c r="Z64" s="506"/>
    </row>
    <row r="65" spans="1:26" s="85" customFormat="1" x14ac:dyDescent="0.6">
      <c r="A65" s="63">
        <f t="shared" si="35"/>
        <v>58</v>
      </c>
      <c r="B65" s="90" t="s">
        <v>75</v>
      </c>
      <c r="C65" s="292">
        <v>734</v>
      </c>
      <c r="D65" s="350">
        <f>C65*Assumptions!$C$30</f>
        <v>357604800</v>
      </c>
      <c r="E65" s="1012"/>
      <c r="F65" s="1182"/>
      <c r="G65" s="1013">
        <f>Assumptions!$C$115</f>
        <v>3.7854100000000002</v>
      </c>
      <c r="H65" s="1129"/>
      <c r="I65" s="1164">
        <f>IF(D65=0,0,Assumptions!$C$94+Assumptions!$C$35)</f>
        <v>2.25</v>
      </c>
      <c r="J65" s="819"/>
      <c r="K65" s="858"/>
      <c r="L65" s="967"/>
      <c r="M65" s="335"/>
      <c r="N65" s="1014"/>
      <c r="O65" s="1014"/>
      <c r="P65" s="328"/>
      <c r="Q65" s="1049"/>
      <c r="R65" s="1050"/>
      <c r="S65" s="1015"/>
      <c r="T65" s="409"/>
      <c r="U65" s="1016"/>
      <c r="V65" s="1017"/>
      <c r="W65" s="1018"/>
      <c r="X65" s="1172">
        <f t="shared" si="36"/>
        <v>2.25</v>
      </c>
      <c r="Y65" s="1019">
        <f t="shared" si="34"/>
        <v>804610800</v>
      </c>
      <c r="Z65" s="506"/>
    </row>
    <row r="66" spans="1:26" x14ac:dyDescent="0.6">
      <c r="B66" s="1" t="s">
        <v>42</v>
      </c>
      <c r="D66" s="13">
        <f>SUM(D4:D65)</f>
        <v>49330461600</v>
      </c>
      <c r="E66" s="398"/>
      <c r="F66" s="1183"/>
      <c r="G66" s="410"/>
      <c r="H66" s="83"/>
      <c r="I66" s="278"/>
      <c r="J66" s="411"/>
      <c r="K66" s="278"/>
      <c r="L66" s="412"/>
      <c r="M66" s="413"/>
      <c r="N66" s="278"/>
      <c r="O66" s="278"/>
      <c r="P66" s="414"/>
      <c r="Q66" s="414"/>
      <c r="R66" s="414"/>
      <c r="S66" s="278"/>
      <c r="T66" s="415"/>
      <c r="U66" s="397"/>
      <c r="V66" s="83"/>
      <c r="W66" s="1"/>
    </row>
    <row r="67" spans="1:26" x14ac:dyDescent="0.6">
      <c r="B67" s="1" t="s">
        <v>357</v>
      </c>
      <c r="C67" s="13">
        <v>117661</v>
      </c>
      <c r="D67" s="13">
        <f>C67*Assumptions!$C$30</f>
        <v>57324439200</v>
      </c>
      <c r="E67" s="398"/>
      <c r="F67" s="1183"/>
      <c r="G67" s="410"/>
      <c r="H67" s="83"/>
      <c r="I67" s="278"/>
      <c r="J67" s="411"/>
      <c r="K67" s="278"/>
      <c r="L67" s="412"/>
      <c r="M67" s="413"/>
      <c r="N67" s="278"/>
      <c r="O67" s="278"/>
      <c r="P67" s="414"/>
      <c r="Q67" s="414"/>
      <c r="R67" s="414"/>
      <c r="S67" s="278"/>
      <c r="T67" s="415"/>
      <c r="U67" s="397"/>
      <c r="V67" s="83"/>
      <c r="W67" s="1"/>
    </row>
    <row r="68" spans="1:26" x14ac:dyDescent="0.6">
      <c r="C68" s="28"/>
      <c r="D68" s="28">
        <f>D66/D67</f>
        <v>0.86054852499978751</v>
      </c>
      <c r="E68" s="398"/>
      <c r="F68" s="1183"/>
      <c r="G68" s="410"/>
      <c r="H68" s="83"/>
      <c r="I68" s="278"/>
      <c r="J68" s="411"/>
      <c r="K68" s="278"/>
      <c r="L68" s="412"/>
      <c r="M68" s="413"/>
      <c r="N68" s="278"/>
      <c r="O68" s="278"/>
      <c r="P68" s="414"/>
      <c r="Q68" s="414"/>
      <c r="R68" s="414"/>
      <c r="S68" s="278"/>
      <c r="T68" s="415"/>
      <c r="U68" s="397"/>
      <c r="V68" s="83"/>
      <c r="W68" s="1"/>
    </row>
    <row r="69" spans="1:26" x14ac:dyDescent="0.6">
      <c r="A69" s="1"/>
      <c r="D69" s="1"/>
      <c r="E69" s="398"/>
      <c r="F69" s="1183"/>
      <c r="G69" s="83"/>
      <c r="H69" s="83"/>
      <c r="I69" s="278"/>
      <c r="J69" s="83"/>
      <c r="K69" s="83"/>
      <c r="L69" s="412"/>
      <c r="M69" s="413"/>
      <c r="N69" s="83"/>
      <c r="O69" s="83"/>
      <c r="P69" s="414"/>
      <c r="Q69" s="414"/>
      <c r="R69" s="414"/>
      <c r="S69" s="83"/>
      <c r="T69" s="416"/>
      <c r="U69" s="397"/>
      <c r="V69" s="83"/>
      <c r="W69" s="1"/>
    </row>
    <row r="70" spans="1:26" x14ac:dyDescent="0.6">
      <c r="D70" s="239"/>
      <c r="E70" s="398"/>
      <c r="F70" s="1183"/>
      <c r="G70" s="410"/>
      <c r="H70" s="83"/>
      <c r="I70" s="278"/>
      <c r="J70" s="411"/>
      <c r="K70" s="278"/>
      <c r="L70" s="412"/>
      <c r="M70" s="413"/>
      <c r="N70" s="278"/>
      <c r="O70" s="278"/>
      <c r="P70" s="414"/>
      <c r="Q70" s="414"/>
      <c r="R70" s="414"/>
      <c r="S70" s="278"/>
      <c r="T70" s="415"/>
      <c r="U70" s="397"/>
      <c r="V70" s="276"/>
    </row>
    <row r="71" spans="1:26" x14ac:dyDescent="0.6">
      <c r="E71" s="398"/>
      <c r="F71" s="1183"/>
      <c r="G71" s="410"/>
      <c r="H71" s="83"/>
      <c r="I71" s="278"/>
      <c r="J71" s="411"/>
      <c r="K71" s="278"/>
      <c r="L71" s="412"/>
      <c r="M71" s="413"/>
      <c r="N71" s="278"/>
      <c r="O71" s="278"/>
      <c r="P71" s="414"/>
      <c r="Q71" s="414"/>
      <c r="R71" s="414"/>
      <c r="S71" s="278"/>
      <c r="T71" s="415"/>
      <c r="U71" s="397"/>
      <c r="V71" s="276"/>
    </row>
    <row r="72" spans="1:26" x14ac:dyDescent="0.6">
      <c r="E72" s="398"/>
      <c r="F72" s="1183"/>
      <c r="G72" s="410"/>
      <c r="H72" s="83"/>
      <c r="I72" s="278"/>
      <c r="J72" s="411"/>
      <c r="K72" s="278"/>
      <c r="L72" s="412"/>
      <c r="M72" s="413"/>
      <c r="N72" s="278"/>
      <c r="O72" s="278"/>
      <c r="P72" s="414"/>
      <c r="Q72" s="414"/>
      <c r="R72" s="414"/>
      <c r="S72" s="278"/>
      <c r="T72" s="415"/>
      <c r="U72" s="397"/>
      <c r="V72" s="276"/>
    </row>
    <row r="73" spans="1:26" x14ac:dyDescent="0.6">
      <c r="E73" s="398"/>
      <c r="F73" s="1183"/>
      <c r="G73" s="410"/>
      <c r="H73" s="83"/>
      <c r="I73" s="278"/>
      <c r="J73" s="411"/>
      <c r="K73" s="278"/>
      <c r="L73" s="412"/>
      <c r="M73" s="413"/>
      <c r="N73" s="278"/>
      <c r="O73" s="278"/>
      <c r="P73" s="414"/>
      <c r="Q73" s="414"/>
      <c r="R73" s="414"/>
      <c r="S73" s="278"/>
      <c r="T73" s="415"/>
      <c r="U73" s="397"/>
      <c r="V73" s="276"/>
    </row>
    <row r="74" spans="1:26" x14ac:dyDescent="0.6">
      <c r="E74" s="398"/>
      <c r="F74" s="1183"/>
      <c r="G74" s="410"/>
      <c r="H74" s="83"/>
      <c r="I74" s="278"/>
      <c r="J74" s="411"/>
      <c r="K74" s="278"/>
      <c r="L74" s="412"/>
      <c r="M74" s="413"/>
      <c r="N74" s="278"/>
      <c r="O74" s="278"/>
      <c r="P74" s="414"/>
      <c r="Q74" s="414"/>
      <c r="R74" s="414"/>
      <c r="S74" s="278"/>
      <c r="T74" s="415"/>
      <c r="U74" s="397"/>
      <c r="V74" s="276"/>
    </row>
    <row r="75" spans="1:26" x14ac:dyDescent="0.6">
      <c r="E75" s="398"/>
      <c r="F75" s="1183"/>
      <c r="G75" s="410"/>
      <c r="H75" s="83"/>
      <c r="I75" s="278"/>
      <c r="J75" s="411"/>
      <c r="K75" s="278"/>
      <c r="L75" s="412"/>
      <c r="M75" s="413"/>
      <c r="N75" s="278"/>
      <c r="O75" s="278"/>
      <c r="P75" s="414"/>
      <c r="Q75" s="414"/>
      <c r="R75" s="414"/>
      <c r="S75" s="278"/>
      <c r="T75" s="415"/>
      <c r="U75" s="397"/>
      <c r="V75" s="276"/>
    </row>
    <row r="76" spans="1:26" x14ac:dyDescent="0.6">
      <c r="E76" s="398"/>
      <c r="F76" s="1183"/>
      <c r="G76" s="410"/>
      <c r="H76" s="83"/>
      <c r="I76" s="278"/>
      <c r="J76" s="411"/>
      <c r="K76" s="278"/>
      <c r="L76" s="412"/>
      <c r="M76" s="413"/>
      <c r="N76" s="278"/>
      <c r="O76" s="278"/>
      <c r="P76" s="414"/>
      <c r="Q76" s="414"/>
      <c r="R76" s="414"/>
      <c r="S76" s="278"/>
      <c r="T76" s="415"/>
      <c r="U76" s="397"/>
      <c r="V76" s="276"/>
    </row>
    <row r="77" spans="1:26" x14ac:dyDescent="0.6">
      <c r="E77" s="398"/>
      <c r="F77" s="1183"/>
      <c r="G77" s="410"/>
      <c r="H77" s="83"/>
      <c r="I77" s="278"/>
      <c r="J77" s="411"/>
      <c r="K77" s="278"/>
      <c r="L77" s="412"/>
      <c r="M77" s="413"/>
      <c r="N77" s="278"/>
      <c r="O77" s="278"/>
      <c r="P77" s="414"/>
      <c r="Q77" s="414"/>
      <c r="R77" s="414"/>
      <c r="S77" s="278"/>
      <c r="T77" s="415"/>
      <c r="U77" s="397"/>
      <c r="V77" s="276"/>
    </row>
    <row r="78" spans="1:26" x14ac:dyDescent="0.6">
      <c r="E78" s="398"/>
      <c r="F78" s="1183"/>
      <c r="G78" s="410"/>
      <c r="H78" s="83"/>
      <c r="I78" s="278"/>
      <c r="J78" s="411"/>
      <c r="K78" s="278"/>
      <c r="L78" s="412"/>
      <c r="M78" s="413"/>
      <c r="N78" s="278"/>
      <c r="O78" s="278"/>
      <c r="P78" s="414"/>
      <c r="Q78" s="414"/>
      <c r="R78" s="414"/>
      <c r="S78" s="278"/>
      <c r="T78" s="415"/>
      <c r="U78" s="397"/>
      <c r="V78" s="276"/>
    </row>
    <row r="79" spans="1:26" x14ac:dyDescent="0.6">
      <c r="E79" s="398"/>
      <c r="F79" s="1183"/>
      <c r="G79" s="410"/>
      <c r="H79" s="83"/>
      <c r="I79" s="278"/>
      <c r="J79" s="411"/>
      <c r="K79" s="278"/>
      <c r="L79" s="412"/>
      <c r="M79" s="413"/>
      <c r="N79" s="278"/>
      <c r="O79" s="278"/>
      <c r="P79" s="414"/>
      <c r="Q79" s="414"/>
      <c r="R79" s="414"/>
      <c r="S79" s="278"/>
      <c r="T79" s="415"/>
      <c r="U79" s="397"/>
      <c r="V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3" width="10.09765625" style="55" customWidth="1"/>
    <col min="4" max="4" width="10.09765625" style="89" customWidth="1"/>
    <col min="5" max="5" width="10.09765625" style="55" customWidth="1"/>
    <col min="6" max="6" width="9.5" style="55" customWidth="1"/>
    <col min="7" max="7" width="8.84765625" style="96" bestFit="1" customWidth="1"/>
    <col min="8" max="8" width="12" style="122" customWidth="1"/>
    <col min="9" max="9" width="16.09765625" style="1" bestFit="1" customWidth="1"/>
    <col min="10" max="10" width="8.3476562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1133</v>
      </c>
      <c r="E1" s="89"/>
      <c r="F1" s="879"/>
      <c r="I1" s="13"/>
      <c r="J1" s="95" t="s">
        <v>1091</v>
      </c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958"/>
      <c r="E2" s="56" t="s">
        <v>100</v>
      </c>
      <c r="F2" s="56"/>
      <c r="G2" s="97" t="s">
        <v>189</v>
      </c>
      <c r="H2" s="1185" t="s">
        <v>24</v>
      </c>
      <c r="I2" s="60" t="s">
        <v>24</v>
      </c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 t="s">
        <v>359</v>
      </c>
      <c r="B3" s="60"/>
      <c r="C3" s="56" t="s">
        <v>136</v>
      </c>
      <c r="D3" s="958" t="s">
        <v>137</v>
      </c>
      <c r="E3" s="56" t="s">
        <v>604</v>
      </c>
      <c r="F3" s="56" t="s">
        <v>42</v>
      </c>
      <c r="G3" s="97" t="s">
        <v>79</v>
      </c>
      <c r="H3" s="157" t="s">
        <v>1134</v>
      </c>
      <c r="I3" s="2" t="s">
        <v>400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60">
        <v>1</v>
      </c>
      <c r="B4" s="85" t="s">
        <v>178</v>
      </c>
      <c r="C4" s="89"/>
      <c r="D4" s="89"/>
      <c r="E4" s="89"/>
      <c r="F4" s="89">
        <f t="shared" ref="F4:F54" si="0">D4+C4</f>
        <v>0</v>
      </c>
      <c r="G4" s="174">
        <v>8.9099999999999999E-2</v>
      </c>
      <c r="H4" s="948">
        <v>5.0999999999999996</v>
      </c>
      <c r="I4" s="897">
        <f>H4*Assumptions!$C$32</f>
        <v>56043956.043956041</v>
      </c>
      <c r="J4" s="156">
        <f>K4+F4</f>
        <v>2.298</v>
      </c>
      <c r="K4" s="156">
        <v>2.298</v>
      </c>
      <c r="L4" s="156">
        <f t="shared" ref="L4:L35" si="1">K4*(1+G4)</f>
        <v>2.5027518</v>
      </c>
      <c r="M4" s="952">
        <f>J4-K4</f>
        <v>0</v>
      </c>
      <c r="N4" s="70">
        <f t="shared" ref="N4:N35" si="2">J4*I4</f>
        <v>128789010.98901099</v>
      </c>
      <c r="O4" s="70">
        <f t="shared" ref="O4:O35" si="3">K4*I4</f>
        <v>128789010.98901099</v>
      </c>
      <c r="P4" s="70">
        <f t="shared" ref="P4:P35" si="4">L4*I4</f>
        <v>140264111.86813185</v>
      </c>
      <c r="Q4" s="70">
        <f t="shared" ref="Q4:Q54" si="5">N4-P4</f>
        <v>-11475100.879120857</v>
      </c>
    </row>
    <row r="5" spans="1:17" s="85" customFormat="1" x14ac:dyDescent="0.6">
      <c r="A5" s="60">
        <f t="shared" ref="A5:A54" si="6">A4+1</f>
        <v>2</v>
      </c>
      <c r="B5" s="85" t="s">
        <v>188</v>
      </c>
      <c r="C5" s="89">
        <f t="shared" ref="C5:C54" si="7">C4</f>
        <v>0</v>
      </c>
      <c r="D5" s="89"/>
      <c r="E5" s="89"/>
      <c r="F5" s="89">
        <f t="shared" si="0"/>
        <v>0</v>
      </c>
      <c r="G5" s="174">
        <v>1.7600000000000001E-2</v>
      </c>
      <c r="H5" s="948">
        <v>0.3</v>
      </c>
      <c r="I5" s="897">
        <f>H5*Assumptions!$C$32</f>
        <v>3296703.2967032967</v>
      </c>
      <c r="J5" s="156">
        <f t="shared" ref="J5:J54" si="8">K5+F5</f>
        <v>2.1509999999999998</v>
      </c>
      <c r="K5" s="156">
        <v>2.1509999999999998</v>
      </c>
      <c r="L5" s="156">
        <f t="shared" si="1"/>
        <v>2.1888576</v>
      </c>
      <c r="M5" s="952">
        <f t="shared" ref="M5:M54" si="9">J5-K5</f>
        <v>0</v>
      </c>
      <c r="N5" s="70">
        <f t="shared" si="2"/>
        <v>7091208.7912087906</v>
      </c>
      <c r="O5" s="70">
        <f t="shared" si="3"/>
        <v>7091208.7912087906</v>
      </c>
      <c r="P5" s="70">
        <f t="shared" si="4"/>
        <v>7216014.0659340657</v>
      </c>
      <c r="Q5" s="70">
        <f t="shared" si="5"/>
        <v>-124805.27472527511</v>
      </c>
    </row>
    <row r="6" spans="1:17" s="85" customFormat="1" x14ac:dyDescent="0.6">
      <c r="A6" s="60">
        <f t="shared" si="6"/>
        <v>3</v>
      </c>
      <c r="B6" s="85" t="s">
        <v>181</v>
      </c>
      <c r="C6" s="89">
        <f t="shared" si="7"/>
        <v>0</v>
      </c>
      <c r="D6" s="89"/>
      <c r="E6" s="89"/>
      <c r="F6" s="89">
        <f t="shared" si="0"/>
        <v>0</v>
      </c>
      <c r="G6" s="174">
        <v>8.1699999999999995E-2</v>
      </c>
      <c r="H6" s="948">
        <v>3.3</v>
      </c>
      <c r="I6" s="897">
        <f>H6*Assumptions!$C$32</f>
        <v>36263736.263736263</v>
      </c>
      <c r="J6" s="156">
        <f t="shared" si="8"/>
        <v>2.1509999999999998</v>
      </c>
      <c r="K6" s="156">
        <v>2.1509999999999998</v>
      </c>
      <c r="L6" s="156">
        <f t="shared" si="1"/>
        <v>2.3267367000000001</v>
      </c>
      <c r="M6" s="952">
        <f t="shared" si="9"/>
        <v>0</v>
      </c>
      <c r="N6" s="70">
        <f t="shared" si="2"/>
        <v>78003296.703296691</v>
      </c>
      <c r="O6" s="70">
        <f t="shared" si="3"/>
        <v>78003296.703296691</v>
      </c>
      <c r="P6" s="70">
        <f t="shared" si="4"/>
        <v>84376166.043956041</v>
      </c>
      <c r="Q6" s="70">
        <f t="shared" si="5"/>
        <v>-6372869.3406593502</v>
      </c>
    </row>
    <row r="7" spans="1:17" s="85" customFormat="1" x14ac:dyDescent="0.6">
      <c r="A7" s="60">
        <f t="shared" si="6"/>
        <v>4</v>
      </c>
      <c r="B7" s="85" t="s">
        <v>176</v>
      </c>
      <c r="C7" s="89">
        <f t="shared" si="7"/>
        <v>0</v>
      </c>
      <c r="D7" s="89"/>
      <c r="E7" s="89"/>
      <c r="F7" s="89">
        <f t="shared" si="0"/>
        <v>0</v>
      </c>
      <c r="G7" s="174">
        <v>9.2600000000000002E-2</v>
      </c>
      <c r="H7" s="948">
        <v>4</v>
      </c>
      <c r="I7" s="897">
        <f>H7*Assumptions!$C$32</f>
        <v>43956043.956043959</v>
      </c>
      <c r="J7" s="156">
        <f t="shared" si="8"/>
        <v>2.298</v>
      </c>
      <c r="K7" s="156">
        <v>2.298</v>
      </c>
      <c r="L7" s="156">
        <f t="shared" si="1"/>
        <v>2.5107948000000002</v>
      </c>
      <c r="M7" s="952">
        <f t="shared" si="9"/>
        <v>0</v>
      </c>
      <c r="N7" s="70">
        <f t="shared" si="2"/>
        <v>101010989.01098903</v>
      </c>
      <c r="O7" s="70">
        <f t="shared" si="3"/>
        <v>101010989.01098903</v>
      </c>
      <c r="P7" s="70">
        <f t="shared" si="4"/>
        <v>110364606.5934066</v>
      </c>
      <c r="Q7" s="70">
        <f t="shared" si="5"/>
        <v>-9353617.5824175775</v>
      </c>
    </row>
    <row r="8" spans="1:17" s="85" customFormat="1" x14ac:dyDescent="0.6">
      <c r="A8" s="60">
        <f t="shared" si="6"/>
        <v>5</v>
      </c>
      <c r="B8" s="85" t="s">
        <v>142</v>
      </c>
      <c r="C8" s="89">
        <f t="shared" si="7"/>
        <v>0</v>
      </c>
      <c r="D8" s="89"/>
      <c r="E8" s="89"/>
      <c r="F8" s="89">
        <f t="shared" si="0"/>
        <v>0</v>
      </c>
      <c r="G8" s="174">
        <v>8.4400000000000003E-2</v>
      </c>
      <c r="H8" s="948">
        <v>19.899999999999999</v>
      </c>
      <c r="I8" s="897">
        <f>H8*Assumptions!$C$32</f>
        <v>218681318.68131867</v>
      </c>
      <c r="J8" s="156">
        <f t="shared" si="8"/>
        <v>2.1509999999999998</v>
      </c>
      <c r="K8" s="156">
        <v>2.1509999999999998</v>
      </c>
      <c r="L8" s="156">
        <f t="shared" si="1"/>
        <v>2.3325443999999997</v>
      </c>
      <c r="M8" s="952">
        <f t="shared" si="9"/>
        <v>0</v>
      </c>
      <c r="N8" s="70">
        <f t="shared" si="2"/>
        <v>470383516.4835164</v>
      </c>
      <c r="O8" s="70">
        <f t="shared" si="3"/>
        <v>470383516.4835164</v>
      </c>
      <c r="P8" s="70">
        <f t="shared" si="4"/>
        <v>510083885.2747252</v>
      </c>
      <c r="Q8" s="70">
        <f t="shared" si="5"/>
        <v>-39700368.791208804</v>
      </c>
    </row>
    <row r="9" spans="1:17" s="85" customFormat="1" x14ac:dyDescent="0.6">
      <c r="A9" s="60">
        <f t="shared" si="6"/>
        <v>6</v>
      </c>
      <c r="B9" s="85" t="s">
        <v>175</v>
      </c>
      <c r="C9" s="89">
        <f t="shared" si="7"/>
        <v>0</v>
      </c>
      <c r="D9" s="89"/>
      <c r="E9" s="89"/>
      <c r="F9" s="89">
        <f t="shared" si="0"/>
        <v>0</v>
      </c>
      <c r="G9" s="174">
        <v>7.4399999999999994E-2</v>
      </c>
      <c r="H9" s="948">
        <v>10.199999999999999</v>
      </c>
      <c r="I9" s="897">
        <f>H9*Assumptions!$C$32</f>
        <v>112087912.08791208</v>
      </c>
      <c r="J9" s="156">
        <f t="shared" si="8"/>
        <v>1.9450000000000001</v>
      </c>
      <c r="K9" s="156">
        <v>1.9450000000000001</v>
      </c>
      <c r="L9" s="156">
        <f t="shared" si="1"/>
        <v>2.0897079999999999</v>
      </c>
      <c r="M9" s="952">
        <f t="shared" si="9"/>
        <v>0</v>
      </c>
      <c r="N9" s="70">
        <f t="shared" si="2"/>
        <v>218010989.01098901</v>
      </c>
      <c r="O9" s="70">
        <f t="shared" si="3"/>
        <v>218010989.01098901</v>
      </c>
      <c r="P9" s="70">
        <f t="shared" si="4"/>
        <v>234231006.59340656</v>
      </c>
      <c r="Q9" s="70">
        <f t="shared" si="5"/>
        <v>-16220017.582417548</v>
      </c>
    </row>
    <row r="10" spans="1:17" s="85" customFormat="1" x14ac:dyDescent="0.6">
      <c r="A10" s="60">
        <f t="shared" si="6"/>
        <v>7</v>
      </c>
      <c r="B10" s="85" t="s">
        <v>143</v>
      </c>
      <c r="C10" s="89">
        <f t="shared" si="7"/>
        <v>0</v>
      </c>
      <c r="D10" s="89"/>
      <c r="E10" s="89"/>
      <c r="F10" s="89">
        <f t="shared" si="0"/>
        <v>0</v>
      </c>
      <c r="G10" s="174">
        <v>6.3500000000000001E-2</v>
      </c>
      <c r="H10" s="948">
        <v>7</v>
      </c>
      <c r="I10" s="897">
        <f>H10*Assumptions!$C$32</f>
        <v>76923076.923076928</v>
      </c>
      <c r="J10" s="156">
        <f t="shared" si="8"/>
        <v>2.8675000000000002</v>
      </c>
      <c r="K10" s="156">
        <v>2.8675000000000002</v>
      </c>
      <c r="L10" s="156">
        <f t="shared" si="1"/>
        <v>3.0495862499999999</v>
      </c>
      <c r="M10" s="952">
        <f t="shared" si="9"/>
        <v>0</v>
      </c>
      <c r="N10" s="70">
        <f t="shared" si="2"/>
        <v>220576923.0769231</v>
      </c>
      <c r="O10" s="70">
        <f t="shared" si="3"/>
        <v>220576923.0769231</v>
      </c>
      <c r="P10" s="70">
        <f t="shared" si="4"/>
        <v>234583557.69230771</v>
      </c>
      <c r="Q10" s="70">
        <f t="shared" si="5"/>
        <v>-14006634.615384609</v>
      </c>
    </row>
    <row r="11" spans="1:17" s="85" customFormat="1" x14ac:dyDescent="0.6">
      <c r="A11" s="60">
        <f t="shared" si="6"/>
        <v>8</v>
      </c>
      <c r="B11" s="85" t="s">
        <v>172</v>
      </c>
      <c r="C11" s="89">
        <f t="shared" si="7"/>
        <v>0</v>
      </c>
      <c r="D11" s="89"/>
      <c r="E11" s="89"/>
      <c r="F11" s="89">
        <f t="shared" si="0"/>
        <v>0</v>
      </c>
      <c r="G11" s="174">
        <v>0</v>
      </c>
      <c r="H11" s="948">
        <v>3.1</v>
      </c>
      <c r="I11" s="897">
        <f>H11*Assumptions!$C$32</f>
        <v>34065934.065934069</v>
      </c>
      <c r="J11" s="156">
        <f t="shared" si="8"/>
        <v>2.7747999999999999</v>
      </c>
      <c r="K11" s="156">
        <v>2.7747999999999999</v>
      </c>
      <c r="L11" s="156">
        <f t="shared" si="1"/>
        <v>2.7747999999999999</v>
      </c>
      <c r="M11" s="952">
        <f t="shared" si="9"/>
        <v>0</v>
      </c>
      <c r="N11" s="70">
        <f t="shared" si="2"/>
        <v>94526153.846153855</v>
      </c>
      <c r="O11" s="70">
        <f t="shared" si="3"/>
        <v>94526153.846153855</v>
      </c>
      <c r="P11" s="70">
        <f t="shared" si="4"/>
        <v>94526153.846153855</v>
      </c>
      <c r="Q11" s="70">
        <f t="shared" si="5"/>
        <v>0</v>
      </c>
    </row>
    <row r="12" spans="1:17" s="85" customFormat="1" x14ac:dyDescent="0.6">
      <c r="A12" s="60">
        <f t="shared" si="6"/>
        <v>9</v>
      </c>
      <c r="B12" s="85" t="s">
        <v>171</v>
      </c>
      <c r="C12" s="89">
        <f t="shared" si="7"/>
        <v>0</v>
      </c>
      <c r="D12" s="89"/>
      <c r="E12" s="89"/>
      <c r="F12" s="89">
        <f t="shared" si="0"/>
        <v>0</v>
      </c>
      <c r="G12" s="174">
        <v>5.7500000000000002E-2</v>
      </c>
      <c r="H12" s="948">
        <v>0</v>
      </c>
      <c r="I12" s="897">
        <f>H12*Assumptions!$C$32</f>
        <v>0</v>
      </c>
      <c r="J12" s="156">
        <f t="shared" si="8"/>
        <v>2.7749999999999999</v>
      </c>
      <c r="K12" s="156">
        <v>2.7749999999999999</v>
      </c>
      <c r="L12" s="156">
        <f t="shared" si="1"/>
        <v>2.9345625000000002</v>
      </c>
      <c r="M12" s="952">
        <f t="shared" si="9"/>
        <v>0</v>
      </c>
      <c r="N12" s="70">
        <f t="shared" si="2"/>
        <v>0</v>
      </c>
      <c r="O12" s="70">
        <f t="shared" si="3"/>
        <v>0</v>
      </c>
      <c r="P12" s="70">
        <f t="shared" si="4"/>
        <v>0</v>
      </c>
      <c r="Q12" s="70">
        <f t="shared" si="5"/>
        <v>0</v>
      </c>
    </row>
    <row r="13" spans="1:17" s="85" customFormat="1" x14ac:dyDescent="0.6">
      <c r="A13" s="60">
        <f t="shared" si="6"/>
        <v>10</v>
      </c>
      <c r="B13" s="85" t="s">
        <v>144</v>
      </c>
      <c r="C13" s="89">
        <f t="shared" si="7"/>
        <v>0</v>
      </c>
      <c r="D13" s="89"/>
      <c r="E13" s="89"/>
      <c r="F13" s="89">
        <f t="shared" si="0"/>
        <v>0</v>
      </c>
      <c r="G13" s="174">
        <v>6.6500000000000004E-2</v>
      </c>
      <c r="H13" s="948">
        <v>4.9000000000000004</v>
      </c>
      <c r="I13" s="897">
        <f>H13*Assumptions!$C$32</f>
        <v>53846153.846153855</v>
      </c>
      <c r="J13" s="156">
        <f t="shared" si="8"/>
        <v>2.8765000000000001</v>
      </c>
      <c r="K13" s="156">
        <v>2.8765000000000001</v>
      </c>
      <c r="L13" s="156">
        <f t="shared" si="1"/>
        <v>3.0677872499999999</v>
      </c>
      <c r="M13" s="952">
        <f t="shared" si="9"/>
        <v>0</v>
      </c>
      <c r="N13" s="70">
        <f t="shared" si="2"/>
        <v>154888461.53846157</v>
      </c>
      <c r="O13" s="70">
        <f t="shared" si="3"/>
        <v>154888461.53846157</v>
      </c>
      <c r="P13" s="70">
        <f t="shared" si="4"/>
        <v>165188544.23076925</v>
      </c>
      <c r="Q13" s="70">
        <f t="shared" si="5"/>
        <v>-10300082.692307681</v>
      </c>
    </row>
    <row r="14" spans="1:17" s="85" customFormat="1" x14ac:dyDescent="0.6">
      <c r="A14" s="60">
        <f t="shared" si="6"/>
        <v>11</v>
      </c>
      <c r="B14" s="85" t="s">
        <v>154</v>
      </c>
      <c r="C14" s="89">
        <f t="shared" si="7"/>
        <v>0</v>
      </c>
      <c r="D14" s="89"/>
      <c r="E14" s="89"/>
      <c r="F14" s="89">
        <f t="shared" si="0"/>
        <v>0</v>
      </c>
      <c r="G14" s="174">
        <v>6.9599999999999995E-2</v>
      </c>
      <c r="H14" s="948">
        <v>8.1</v>
      </c>
      <c r="I14" s="897">
        <f>H14*Assumptions!$C$32</f>
        <v>89010989.01098901</v>
      </c>
      <c r="J14" s="156">
        <f t="shared" si="8"/>
        <v>2.8765000000000001</v>
      </c>
      <c r="K14" s="156">
        <v>2.8765000000000001</v>
      </c>
      <c r="L14" s="156">
        <f t="shared" si="1"/>
        <v>3.0767043999999997</v>
      </c>
      <c r="M14" s="952">
        <f t="shared" si="9"/>
        <v>0</v>
      </c>
      <c r="N14" s="70">
        <f t="shared" si="2"/>
        <v>256040109.8901099</v>
      </c>
      <c r="O14" s="70">
        <f t="shared" si="3"/>
        <v>256040109.8901099</v>
      </c>
      <c r="P14" s="70">
        <f t="shared" si="4"/>
        <v>273860501.53846151</v>
      </c>
      <c r="Q14" s="70">
        <f t="shared" si="5"/>
        <v>-17820391.64835161</v>
      </c>
    </row>
    <row r="15" spans="1:17" s="85" customFormat="1" x14ac:dyDescent="0.6">
      <c r="A15" s="60">
        <f t="shared" si="6"/>
        <v>12</v>
      </c>
      <c r="B15" s="85" t="s">
        <v>141</v>
      </c>
      <c r="C15" s="89">
        <f t="shared" si="7"/>
        <v>0</v>
      </c>
      <c r="D15" s="89"/>
      <c r="E15" s="89"/>
      <c r="F15" s="89">
        <f t="shared" si="0"/>
        <v>0</v>
      </c>
      <c r="G15" s="174">
        <v>4.3499999999999997E-2</v>
      </c>
      <c r="H15" s="948">
        <v>0.5</v>
      </c>
      <c r="I15" s="897">
        <f>H15*Assumptions!$C$32</f>
        <v>5494505.4945054948</v>
      </c>
      <c r="J15" s="156">
        <f t="shared" si="8"/>
        <v>2.1509999999999998</v>
      </c>
      <c r="K15" s="156">
        <v>2.1509999999999998</v>
      </c>
      <c r="L15" s="156">
        <f t="shared" si="1"/>
        <v>2.2445685000000002</v>
      </c>
      <c r="M15" s="952">
        <f t="shared" si="9"/>
        <v>0</v>
      </c>
      <c r="N15" s="70">
        <f t="shared" si="2"/>
        <v>11818681.318681318</v>
      </c>
      <c r="O15" s="70">
        <f t="shared" si="3"/>
        <v>11818681.318681318</v>
      </c>
      <c r="P15" s="70">
        <f t="shared" si="4"/>
        <v>12332793.956043959</v>
      </c>
      <c r="Q15" s="70">
        <f t="shared" si="5"/>
        <v>-514112.63736264035</v>
      </c>
    </row>
    <row r="16" spans="1:17" s="85" customFormat="1" x14ac:dyDescent="0.6">
      <c r="A16" s="60">
        <f t="shared" si="6"/>
        <v>13</v>
      </c>
      <c r="B16" s="85" t="s">
        <v>152</v>
      </c>
      <c r="C16" s="89">
        <f t="shared" si="7"/>
        <v>0</v>
      </c>
      <c r="D16" s="89"/>
      <c r="E16" s="89"/>
      <c r="F16" s="89">
        <f t="shared" si="0"/>
        <v>0</v>
      </c>
      <c r="G16" s="174">
        <v>6.0100000000000001E-2</v>
      </c>
      <c r="H16" s="948">
        <v>2.9</v>
      </c>
      <c r="I16" s="897">
        <f>H16*Assumptions!$C$32</f>
        <v>31868131.868131869</v>
      </c>
      <c r="J16" s="156">
        <f t="shared" si="8"/>
        <v>1.9450000000000001</v>
      </c>
      <c r="K16" s="156">
        <v>1.9450000000000001</v>
      </c>
      <c r="L16" s="156">
        <f t="shared" si="1"/>
        <v>2.0618945000000002</v>
      </c>
      <c r="M16" s="952">
        <f t="shared" si="9"/>
        <v>0</v>
      </c>
      <c r="N16" s="70">
        <f t="shared" si="2"/>
        <v>61983516.483516484</v>
      </c>
      <c r="O16" s="70">
        <f t="shared" si="3"/>
        <v>61983516.483516484</v>
      </c>
      <c r="P16" s="70">
        <f t="shared" si="4"/>
        <v>65708725.824175835</v>
      </c>
      <c r="Q16" s="70">
        <f t="shared" si="5"/>
        <v>-3725209.3406593502</v>
      </c>
    </row>
    <row r="17" spans="1:17" s="85" customFormat="1" x14ac:dyDescent="0.6">
      <c r="A17" s="60">
        <f t="shared" si="6"/>
        <v>14</v>
      </c>
      <c r="B17" s="85" t="s">
        <v>157</v>
      </c>
      <c r="C17" s="89">
        <f t="shared" si="7"/>
        <v>0</v>
      </c>
      <c r="D17" s="89"/>
      <c r="E17" s="89"/>
      <c r="F17" s="89">
        <f t="shared" si="0"/>
        <v>0</v>
      </c>
      <c r="G17" s="174">
        <v>8.1900000000000001E-2</v>
      </c>
      <c r="H17" s="948">
        <v>18.2</v>
      </c>
      <c r="I17" s="897">
        <f>H17*Assumptions!$C$32</f>
        <v>200000000</v>
      </c>
      <c r="J17" s="156">
        <f t="shared" si="8"/>
        <v>1.6483000000000001</v>
      </c>
      <c r="K17" s="156">
        <v>1.6483000000000001</v>
      </c>
      <c r="L17" s="156">
        <f t="shared" si="1"/>
        <v>1.7832957700000003</v>
      </c>
      <c r="M17" s="952">
        <f t="shared" si="9"/>
        <v>0</v>
      </c>
      <c r="N17" s="70">
        <f t="shared" si="2"/>
        <v>329660000</v>
      </c>
      <c r="O17" s="70">
        <f t="shared" si="3"/>
        <v>329660000</v>
      </c>
      <c r="P17" s="70">
        <f t="shared" si="4"/>
        <v>356659154.00000006</v>
      </c>
      <c r="Q17" s="70">
        <f t="shared" si="5"/>
        <v>-26999154.00000006</v>
      </c>
    </row>
    <row r="18" spans="1:17" s="85" customFormat="1" x14ac:dyDescent="0.6">
      <c r="A18" s="60">
        <f t="shared" si="6"/>
        <v>15</v>
      </c>
      <c r="B18" s="85" t="s">
        <v>160</v>
      </c>
      <c r="C18" s="89">
        <f t="shared" si="7"/>
        <v>0</v>
      </c>
      <c r="D18" s="89"/>
      <c r="E18" s="89"/>
      <c r="F18" s="89">
        <f t="shared" si="0"/>
        <v>0</v>
      </c>
      <c r="G18" s="174">
        <v>7.0000000000000007E-2</v>
      </c>
      <c r="H18" s="948">
        <v>11</v>
      </c>
      <c r="I18" s="897">
        <f>H18*Assumptions!$C$32</f>
        <v>120879120.87912089</v>
      </c>
      <c r="J18" s="156">
        <f t="shared" si="8"/>
        <v>1.6483000000000001</v>
      </c>
      <c r="K18" s="156">
        <v>1.6483000000000001</v>
      </c>
      <c r="L18" s="156">
        <f t="shared" si="1"/>
        <v>1.7636810000000003</v>
      </c>
      <c r="M18" s="952">
        <f t="shared" si="9"/>
        <v>0</v>
      </c>
      <c r="N18" s="70">
        <f t="shared" si="2"/>
        <v>199245054.94505498</v>
      </c>
      <c r="O18" s="70">
        <f t="shared" si="3"/>
        <v>199245054.94505498</v>
      </c>
      <c r="P18" s="70">
        <f t="shared" si="4"/>
        <v>213192208.79120883</v>
      </c>
      <c r="Q18" s="70">
        <f t="shared" si="5"/>
        <v>-13947153.846153855</v>
      </c>
    </row>
    <row r="19" spans="1:17" s="85" customFormat="1" x14ac:dyDescent="0.6">
      <c r="A19" s="60">
        <f t="shared" si="6"/>
        <v>16</v>
      </c>
      <c r="B19" s="85" t="s">
        <v>151</v>
      </c>
      <c r="C19" s="89">
        <f t="shared" si="7"/>
        <v>0</v>
      </c>
      <c r="D19" s="89"/>
      <c r="E19" s="89"/>
      <c r="F19" s="89">
        <f t="shared" si="0"/>
        <v>0</v>
      </c>
      <c r="G19" s="174">
        <v>6.7799999999999999E-2</v>
      </c>
      <c r="H19" s="948">
        <v>14.2</v>
      </c>
      <c r="I19" s="897">
        <f>H19*Assumptions!$C$32</f>
        <v>156043956.04395604</v>
      </c>
      <c r="J19" s="156">
        <f t="shared" si="8"/>
        <v>1.6483000000000001</v>
      </c>
      <c r="K19" s="156">
        <v>1.6483000000000001</v>
      </c>
      <c r="L19" s="156">
        <f t="shared" si="1"/>
        <v>1.7600547400000002</v>
      </c>
      <c r="M19" s="952">
        <f t="shared" si="9"/>
        <v>0</v>
      </c>
      <c r="N19" s="70">
        <f t="shared" si="2"/>
        <v>257207252.74725276</v>
      </c>
      <c r="O19" s="70">
        <f t="shared" si="3"/>
        <v>257207252.74725276</v>
      </c>
      <c r="P19" s="70">
        <f t="shared" si="4"/>
        <v>274645904.48351651</v>
      </c>
      <c r="Q19" s="70">
        <f t="shared" si="5"/>
        <v>-17438651.736263752</v>
      </c>
    </row>
    <row r="20" spans="1:17" s="85" customFormat="1" x14ac:dyDescent="0.6">
      <c r="A20" s="60">
        <f t="shared" si="6"/>
        <v>17</v>
      </c>
      <c r="B20" s="85" t="s">
        <v>168</v>
      </c>
      <c r="C20" s="89">
        <f t="shared" si="7"/>
        <v>0</v>
      </c>
      <c r="D20" s="89"/>
      <c r="E20" s="89"/>
      <c r="F20" s="89">
        <f t="shared" si="0"/>
        <v>0</v>
      </c>
      <c r="G20" s="174">
        <v>8.2000000000000003E-2</v>
      </c>
      <c r="H20" s="948">
        <v>7.7</v>
      </c>
      <c r="I20" s="897">
        <f>H20*Assumptions!$C$32</f>
        <v>84615384.615384623</v>
      </c>
      <c r="J20" s="156">
        <f t="shared" si="8"/>
        <v>1.6483000000000001</v>
      </c>
      <c r="K20" s="156">
        <v>1.6483000000000001</v>
      </c>
      <c r="L20" s="156">
        <f t="shared" si="1"/>
        <v>1.7834606000000002</v>
      </c>
      <c r="M20" s="952">
        <f t="shared" si="9"/>
        <v>0</v>
      </c>
      <c r="N20" s="70">
        <f t="shared" si="2"/>
        <v>139471538.46153849</v>
      </c>
      <c r="O20" s="70">
        <f t="shared" si="3"/>
        <v>139471538.46153849</v>
      </c>
      <c r="P20" s="70">
        <f t="shared" si="4"/>
        <v>150908204.61538464</v>
      </c>
      <c r="Q20" s="70">
        <f t="shared" si="5"/>
        <v>-11436666.153846145</v>
      </c>
    </row>
    <row r="21" spans="1:17" s="85" customFormat="1" x14ac:dyDescent="0.6">
      <c r="A21" s="60">
        <f t="shared" si="6"/>
        <v>18</v>
      </c>
      <c r="B21" s="85" t="s">
        <v>167</v>
      </c>
      <c r="C21" s="89">
        <f t="shared" si="7"/>
        <v>0</v>
      </c>
      <c r="D21" s="89"/>
      <c r="E21" s="89"/>
      <c r="F21" s="89">
        <f t="shared" si="0"/>
        <v>0</v>
      </c>
      <c r="G21" s="174">
        <v>0.06</v>
      </c>
      <c r="H21" s="948">
        <v>7.5</v>
      </c>
      <c r="I21" s="897">
        <f>H21*Assumptions!$C$32</f>
        <v>82417582.417582422</v>
      </c>
      <c r="J21" s="156">
        <f t="shared" si="8"/>
        <v>1.6483000000000001</v>
      </c>
      <c r="K21" s="156">
        <v>1.6483000000000001</v>
      </c>
      <c r="L21" s="156">
        <f t="shared" si="1"/>
        <v>1.7471980000000003</v>
      </c>
      <c r="M21" s="952">
        <f t="shared" si="9"/>
        <v>0</v>
      </c>
      <c r="N21" s="70">
        <f t="shared" si="2"/>
        <v>135848901.09890112</v>
      </c>
      <c r="O21" s="70">
        <f t="shared" si="3"/>
        <v>135848901.09890112</v>
      </c>
      <c r="P21" s="70">
        <f t="shared" si="4"/>
        <v>143999835.16483518</v>
      </c>
      <c r="Q21" s="70">
        <f t="shared" si="5"/>
        <v>-8150934.065934062</v>
      </c>
    </row>
    <row r="22" spans="1:17" s="85" customFormat="1" x14ac:dyDescent="0.6">
      <c r="A22" s="60">
        <f t="shared" si="6"/>
        <v>19</v>
      </c>
      <c r="B22" s="85" t="s">
        <v>179</v>
      </c>
      <c r="C22" s="89">
        <f t="shared" si="7"/>
        <v>0</v>
      </c>
      <c r="D22" s="89"/>
      <c r="E22" s="89"/>
      <c r="F22" s="89">
        <f t="shared" si="0"/>
        <v>0</v>
      </c>
      <c r="G22" s="174">
        <v>8.9099999999999999E-2</v>
      </c>
      <c r="H22" s="948">
        <v>1.7</v>
      </c>
      <c r="I22" s="897">
        <f>H22*Assumptions!$C$32</f>
        <v>18681318.681318682</v>
      </c>
      <c r="J22" s="156">
        <f t="shared" si="8"/>
        <v>2.298</v>
      </c>
      <c r="K22" s="156">
        <v>2.298</v>
      </c>
      <c r="L22" s="156">
        <f t="shared" si="1"/>
        <v>2.5027518</v>
      </c>
      <c r="M22" s="952">
        <f t="shared" si="9"/>
        <v>0</v>
      </c>
      <c r="N22" s="70">
        <f t="shared" si="2"/>
        <v>42929670.329670332</v>
      </c>
      <c r="O22" s="70">
        <f t="shared" si="3"/>
        <v>42929670.329670332</v>
      </c>
      <c r="P22" s="70">
        <f t="shared" si="4"/>
        <v>46754703.956043959</v>
      </c>
      <c r="Q22" s="70">
        <f t="shared" si="5"/>
        <v>-3825033.6263736263</v>
      </c>
    </row>
    <row r="23" spans="1:17" s="85" customFormat="1" x14ac:dyDescent="0.6">
      <c r="A23" s="60">
        <f t="shared" si="6"/>
        <v>20</v>
      </c>
      <c r="B23" s="85" t="s">
        <v>158</v>
      </c>
      <c r="C23" s="89">
        <f t="shared" si="7"/>
        <v>0</v>
      </c>
      <c r="D23" s="89"/>
      <c r="E23" s="89"/>
      <c r="F23" s="89">
        <f t="shared" si="0"/>
        <v>0</v>
      </c>
      <c r="G23" s="174">
        <v>5.5E-2</v>
      </c>
      <c r="H23" s="948">
        <v>6.1</v>
      </c>
      <c r="I23" s="897">
        <f>H23*Assumptions!$C$32</f>
        <v>67032967.032967031</v>
      </c>
      <c r="J23" s="156">
        <f t="shared" si="8"/>
        <v>2.8675000000000002</v>
      </c>
      <c r="K23" s="156">
        <v>2.8675000000000002</v>
      </c>
      <c r="L23" s="156">
        <f t="shared" si="1"/>
        <v>3.0252124999999999</v>
      </c>
      <c r="M23" s="952">
        <f t="shared" si="9"/>
        <v>0</v>
      </c>
      <c r="N23" s="70">
        <f t="shared" si="2"/>
        <v>192217032.96703297</v>
      </c>
      <c r="O23" s="70">
        <f t="shared" si="3"/>
        <v>192217032.96703297</v>
      </c>
      <c r="P23" s="70">
        <f t="shared" si="4"/>
        <v>202788969.78021976</v>
      </c>
      <c r="Q23" s="70">
        <f t="shared" si="5"/>
        <v>-10571936.813186795</v>
      </c>
    </row>
    <row r="24" spans="1:17" s="85" customFormat="1" x14ac:dyDescent="0.6">
      <c r="A24" s="60">
        <f t="shared" si="6"/>
        <v>21</v>
      </c>
      <c r="B24" s="85" t="s">
        <v>150</v>
      </c>
      <c r="C24" s="89">
        <f t="shared" si="7"/>
        <v>0</v>
      </c>
      <c r="D24" s="89"/>
      <c r="E24" s="89"/>
      <c r="F24" s="89">
        <f t="shared" si="0"/>
        <v>0</v>
      </c>
      <c r="G24" s="174">
        <v>0.06</v>
      </c>
      <c r="H24" s="948">
        <v>7.2</v>
      </c>
      <c r="I24" s="897">
        <f>H24*Assumptions!$C$32</f>
        <v>79120879.120879129</v>
      </c>
      <c r="J24" s="156">
        <f t="shared" si="8"/>
        <v>2.7747999999999999</v>
      </c>
      <c r="K24" s="156">
        <v>2.7747999999999999</v>
      </c>
      <c r="L24" s="156">
        <f t="shared" si="1"/>
        <v>2.9412880000000001</v>
      </c>
      <c r="M24" s="952">
        <f t="shared" si="9"/>
        <v>0</v>
      </c>
      <c r="N24" s="70">
        <f t="shared" si="2"/>
        <v>219544615.38461539</v>
      </c>
      <c r="O24" s="70">
        <f t="shared" si="3"/>
        <v>219544615.38461539</v>
      </c>
      <c r="P24" s="70">
        <f t="shared" si="4"/>
        <v>232717292.30769235</v>
      </c>
      <c r="Q24" s="70">
        <f t="shared" si="5"/>
        <v>-13172676.923076957</v>
      </c>
    </row>
    <row r="25" spans="1:17" s="85" customFormat="1" x14ac:dyDescent="0.6">
      <c r="A25" s="60">
        <f t="shared" si="6"/>
        <v>22</v>
      </c>
      <c r="B25" s="85" t="s">
        <v>166</v>
      </c>
      <c r="C25" s="89">
        <f t="shared" si="7"/>
        <v>0</v>
      </c>
      <c r="D25" s="89"/>
      <c r="E25" s="89"/>
      <c r="F25" s="89">
        <f t="shared" si="0"/>
        <v>0</v>
      </c>
      <c r="G25" s="174">
        <v>6.25E-2</v>
      </c>
      <c r="H25" s="948">
        <v>7.2</v>
      </c>
      <c r="I25" s="897">
        <f>H25*Assumptions!$C$32</f>
        <v>79120879.120879129</v>
      </c>
      <c r="J25" s="156">
        <f t="shared" si="8"/>
        <v>2.8675000000000002</v>
      </c>
      <c r="K25" s="156">
        <v>2.8675000000000002</v>
      </c>
      <c r="L25" s="156">
        <f t="shared" si="1"/>
        <v>3.0467187500000001</v>
      </c>
      <c r="M25" s="952">
        <f t="shared" si="9"/>
        <v>0</v>
      </c>
      <c r="N25" s="70">
        <f t="shared" si="2"/>
        <v>226879120.87912092</v>
      </c>
      <c r="O25" s="70">
        <f t="shared" si="3"/>
        <v>226879120.87912092</v>
      </c>
      <c r="P25" s="70">
        <f t="shared" si="4"/>
        <v>241059065.93406597</v>
      </c>
      <c r="Q25" s="70">
        <f t="shared" si="5"/>
        <v>-14179945.054945052</v>
      </c>
    </row>
    <row r="26" spans="1:17" s="85" customFormat="1" x14ac:dyDescent="0.6">
      <c r="A26" s="60">
        <f t="shared" si="6"/>
        <v>23</v>
      </c>
      <c r="B26" s="85" t="s">
        <v>155</v>
      </c>
      <c r="C26" s="89">
        <f t="shared" si="7"/>
        <v>0</v>
      </c>
      <c r="D26" s="89"/>
      <c r="E26" s="89"/>
      <c r="F26" s="89">
        <f t="shared" si="0"/>
        <v>0</v>
      </c>
      <c r="G26" s="174">
        <v>0.06</v>
      </c>
      <c r="H26" s="948">
        <v>31.1</v>
      </c>
      <c r="I26" s="897">
        <f>H26*Assumptions!$C$32</f>
        <v>341758241.75824177</v>
      </c>
      <c r="J26" s="156">
        <f t="shared" si="8"/>
        <v>1.6483000000000001</v>
      </c>
      <c r="K26" s="156">
        <v>1.6483000000000001</v>
      </c>
      <c r="L26" s="156">
        <f t="shared" si="1"/>
        <v>1.7471980000000003</v>
      </c>
      <c r="M26" s="952">
        <f t="shared" si="9"/>
        <v>0</v>
      </c>
      <c r="N26" s="70">
        <f t="shared" si="2"/>
        <v>563320109.8901099</v>
      </c>
      <c r="O26" s="70">
        <f t="shared" si="3"/>
        <v>563320109.8901099</v>
      </c>
      <c r="P26" s="70">
        <f t="shared" si="4"/>
        <v>597119316.48351657</v>
      </c>
      <c r="Q26" s="70">
        <f t="shared" si="5"/>
        <v>-33799206.593406677</v>
      </c>
    </row>
    <row r="27" spans="1:17" s="85" customFormat="1" x14ac:dyDescent="0.6">
      <c r="A27" s="60">
        <f t="shared" si="6"/>
        <v>24</v>
      </c>
      <c r="B27" s="85" t="s">
        <v>162</v>
      </c>
      <c r="C27" s="89">
        <f t="shared" si="7"/>
        <v>0</v>
      </c>
      <c r="D27" s="89"/>
      <c r="E27" s="89"/>
      <c r="F27" s="89">
        <f t="shared" si="0"/>
        <v>0</v>
      </c>
      <c r="G27" s="174">
        <v>7.1999999999999995E-2</v>
      </c>
      <c r="H27" s="948">
        <v>19.3</v>
      </c>
      <c r="I27" s="897">
        <f>H27*Assumptions!$C$32</f>
        <v>212087912.08791211</v>
      </c>
      <c r="J27" s="156">
        <f t="shared" si="8"/>
        <v>1.6483000000000001</v>
      </c>
      <c r="K27" s="156">
        <v>1.6483000000000001</v>
      </c>
      <c r="L27" s="156">
        <f t="shared" si="1"/>
        <v>1.7669776000000001</v>
      </c>
      <c r="M27" s="952">
        <f t="shared" si="9"/>
        <v>0</v>
      </c>
      <c r="N27" s="70">
        <f t="shared" si="2"/>
        <v>349584505.49450558</v>
      </c>
      <c r="O27" s="70">
        <f t="shared" si="3"/>
        <v>349584505.49450558</v>
      </c>
      <c r="P27" s="70">
        <f t="shared" si="4"/>
        <v>374754589.89010996</v>
      </c>
      <c r="Q27" s="70">
        <f t="shared" si="5"/>
        <v>-25170084.395604372</v>
      </c>
    </row>
    <row r="28" spans="1:17" s="85" customFormat="1" x14ac:dyDescent="0.6">
      <c r="A28" s="60">
        <f t="shared" si="6"/>
        <v>25</v>
      </c>
      <c r="B28" s="85" t="s">
        <v>183</v>
      </c>
      <c r="C28" s="89">
        <f t="shared" si="7"/>
        <v>0</v>
      </c>
      <c r="D28" s="89"/>
      <c r="E28" s="89"/>
      <c r="F28" s="89">
        <f t="shared" si="0"/>
        <v>0</v>
      </c>
      <c r="G28" s="174">
        <v>7.0699999999999999E-2</v>
      </c>
      <c r="H28" s="948">
        <v>5.0999999999999996</v>
      </c>
      <c r="I28" s="897">
        <f>H28*Assumptions!$C$32</f>
        <v>56043956.043956041</v>
      </c>
      <c r="J28" s="156">
        <f t="shared" si="8"/>
        <v>2.298</v>
      </c>
      <c r="K28" s="156">
        <v>2.298</v>
      </c>
      <c r="L28" s="156">
        <f t="shared" si="1"/>
        <v>2.4604686</v>
      </c>
      <c r="M28" s="952">
        <f t="shared" si="9"/>
        <v>0</v>
      </c>
      <c r="N28" s="70">
        <f t="shared" si="2"/>
        <v>128789010.98901099</v>
      </c>
      <c r="O28" s="70">
        <f t="shared" si="3"/>
        <v>128789010.98901099</v>
      </c>
      <c r="P28" s="70">
        <f t="shared" si="4"/>
        <v>137894394.06593406</v>
      </c>
      <c r="Q28" s="70">
        <f t="shared" si="5"/>
        <v>-9105383.0769230723</v>
      </c>
    </row>
    <row r="29" spans="1:17" s="85" customFormat="1" x14ac:dyDescent="0.6">
      <c r="A29" s="60">
        <f t="shared" si="6"/>
        <v>26</v>
      </c>
      <c r="B29" s="85" t="s">
        <v>184</v>
      </c>
      <c r="C29" s="89">
        <f t="shared" si="7"/>
        <v>0</v>
      </c>
      <c r="D29" s="89"/>
      <c r="E29" s="89"/>
      <c r="F29" s="89">
        <f t="shared" si="0"/>
        <v>0</v>
      </c>
      <c r="G29" s="174">
        <v>7.8100000000000003E-2</v>
      </c>
      <c r="H29" s="948">
        <v>13.5</v>
      </c>
      <c r="I29" s="897">
        <f>H29*Assumptions!$C$32</f>
        <v>148351648.35164836</v>
      </c>
      <c r="J29" s="156">
        <f t="shared" si="8"/>
        <v>1.6483000000000001</v>
      </c>
      <c r="K29" s="156">
        <v>1.6483000000000001</v>
      </c>
      <c r="L29" s="156">
        <f t="shared" si="1"/>
        <v>1.7770322300000001</v>
      </c>
      <c r="M29" s="952">
        <f t="shared" si="9"/>
        <v>0</v>
      </c>
      <c r="N29" s="70">
        <f t="shared" si="2"/>
        <v>244528021.97802201</v>
      </c>
      <c r="O29" s="70">
        <f t="shared" si="3"/>
        <v>244528021.97802201</v>
      </c>
      <c r="P29" s="70">
        <f t="shared" si="4"/>
        <v>263625660.49450552</v>
      </c>
      <c r="Q29" s="70">
        <f t="shared" si="5"/>
        <v>-19097638.516483516</v>
      </c>
    </row>
    <row r="30" spans="1:17" s="85" customFormat="1" x14ac:dyDescent="0.6">
      <c r="A30" s="60">
        <f t="shared" si="6"/>
        <v>27</v>
      </c>
      <c r="B30" s="85" t="s">
        <v>164</v>
      </c>
      <c r="C30" s="89">
        <f t="shared" si="7"/>
        <v>0</v>
      </c>
      <c r="D30" s="89"/>
      <c r="E30" s="89"/>
      <c r="F30" s="89">
        <f t="shared" si="0"/>
        <v>0</v>
      </c>
      <c r="G30" s="174">
        <v>0</v>
      </c>
      <c r="H30" s="948">
        <v>6.6</v>
      </c>
      <c r="I30" s="897">
        <f>H30*Assumptions!$C$32</f>
        <v>72527472.527472526</v>
      </c>
      <c r="J30" s="156">
        <f t="shared" si="8"/>
        <v>1.9450000000000001</v>
      </c>
      <c r="K30" s="156">
        <v>1.9450000000000001</v>
      </c>
      <c r="L30" s="156">
        <f t="shared" si="1"/>
        <v>1.9450000000000001</v>
      </c>
      <c r="M30" s="952">
        <f t="shared" si="9"/>
        <v>0</v>
      </c>
      <c r="N30" s="70">
        <f t="shared" si="2"/>
        <v>141065934.06593406</v>
      </c>
      <c r="O30" s="70">
        <f t="shared" si="3"/>
        <v>141065934.06593406</v>
      </c>
      <c r="P30" s="70">
        <f t="shared" si="4"/>
        <v>141065934.06593406</v>
      </c>
      <c r="Q30" s="70">
        <f t="shared" si="5"/>
        <v>0</v>
      </c>
    </row>
    <row r="31" spans="1:17" s="85" customFormat="1" x14ac:dyDescent="0.6">
      <c r="A31" s="60">
        <f t="shared" si="6"/>
        <v>28</v>
      </c>
      <c r="B31" s="85" t="s">
        <v>165</v>
      </c>
      <c r="C31" s="89">
        <f t="shared" si="7"/>
        <v>0</v>
      </c>
      <c r="D31" s="89"/>
      <c r="E31" s="89"/>
      <c r="F31" s="89">
        <f t="shared" si="0"/>
        <v>0</v>
      </c>
      <c r="G31" s="174">
        <v>6.8000000000000005E-2</v>
      </c>
      <c r="H31" s="948">
        <v>5.9</v>
      </c>
      <c r="I31" s="897">
        <f>H31*Assumptions!$C$32</f>
        <v>64835164.835164845</v>
      </c>
      <c r="J31" s="156">
        <f t="shared" si="8"/>
        <v>1.6483000000000001</v>
      </c>
      <c r="K31" s="156">
        <v>1.6483000000000001</v>
      </c>
      <c r="L31" s="156">
        <f t="shared" si="1"/>
        <v>1.7603844000000002</v>
      </c>
      <c r="M31" s="952">
        <f t="shared" si="9"/>
        <v>0</v>
      </c>
      <c r="N31" s="70">
        <f t="shared" si="2"/>
        <v>106867802.19780222</v>
      </c>
      <c r="O31" s="70">
        <f t="shared" si="3"/>
        <v>106867802.19780222</v>
      </c>
      <c r="P31" s="70">
        <f t="shared" si="4"/>
        <v>114134812.74725278</v>
      </c>
      <c r="Q31" s="70">
        <f t="shared" si="5"/>
        <v>-7267010.5494505614</v>
      </c>
    </row>
    <row r="32" spans="1:17" s="85" customFormat="1" x14ac:dyDescent="0.6">
      <c r="A32" s="60">
        <f t="shared" si="6"/>
        <v>29</v>
      </c>
      <c r="B32" s="85" t="s">
        <v>147</v>
      </c>
      <c r="C32" s="89">
        <f t="shared" si="7"/>
        <v>0</v>
      </c>
      <c r="D32" s="89"/>
      <c r="E32" s="89"/>
      <c r="F32" s="89">
        <f t="shared" si="0"/>
        <v>0</v>
      </c>
      <c r="G32" s="174">
        <v>7.9399999999999998E-2</v>
      </c>
      <c r="H32" s="948">
        <v>1.9</v>
      </c>
      <c r="I32" s="897">
        <f>H32*Assumptions!$C$32</f>
        <v>20879120.879120879</v>
      </c>
      <c r="J32" s="156">
        <f t="shared" si="8"/>
        <v>2.1509999999999998</v>
      </c>
      <c r="K32" s="156">
        <v>2.1509999999999998</v>
      </c>
      <c r="L32" s="156">
        <f t="shared" si="1"/>
        <v>2.3217893999999997</v>
      </c>
      <c r="M32" s="952">
        <f t="shared" si="9"/>
        <v>0</v>
      </c>
      <c r="N32" s="70">
        <f t="shared" si="2"/>
        <v>44910989.010989003</v>
      </c>
      <c r="O32" s="70">
        <f t="shared" si="3"/>
        <v>44910989.010989003</v>
      </c>
      <c r="P32" s="70">
        <f t="shared" si="4"/>
        <v>48476921.538461529</v>
      </c>
      <c r="Q32" s="70">
        <f t="shared" si="5"/>
        <v>-3565932.5274725258</v>
      </c>
    </row>
    <row r="33" spans="1:17" s="85" customFormat="1" x14ac:dyDescent="0.6">
      <c r="A33" s="60">
        <f t="shared" si="6"/>
        <v>30</v>
      </c>
      <c r="B33" s="85" t="s">
        <v>170</v>
      </c>
      <c r="C33" s="89">
        <f t="shared" si="7"/>
        <v>0</v>
      </c>
      <c r="D33" s="89"/>
      <c r="E33" s="89"/>
      <c r="F33" s="89">
        <f t="shared" si="0"/>
        <v>0</v>
      </c>
      <c r="G33" s="174">
        <v>0</v>
      </c>
      <c r="H33" s="948">
        <v>10.9</v>
      </c>
      <c r="I33" s="897">
        <f>H33*Assumptions!$C$32</f>
        <v>119780219.78021979</v>
      </c>
      <c r="J33" s="156">
        <f t="shared" si="8"/>
        <v>2.8675000000000002</v>
      </c>
      <c r="K33" s="156">
        <v>2.8675000000000002</v>
      </c>
      <c r="L33" s="156">
        <f t="shared" si="1"/>
        <v>2.8675000000000002</v>
      </c>
      <c r="M33" s="952">
        <f t="shared" si="9"/>
        <v>0</v>
      </c>
      <c r="N33" s="70">
        <f t="shared" si="2"/>
        <v>343469780.21978027</v>
      </c>
      <c r="O33" s="70">
        <f t="shared" si="3"/>
        <v>343469780.21978027</v>
      </c>
      <c r="P33" s="70">
        <f t="shared" si="4"/>
        <v>343469780.21978027</v>
      </c>
      <c r="Q33" s="70">
        <f t="shared" si="5"/>
        <v>0</v>
      </c>
    </row>
    <row r="34" spans="1:17" s="85" customFormat="1" x14ac:dyDescent="0.6">
      <c r="A34" s="60">
        <f t="shared" si="6"/>
        <v>31</v>
      </c>
      <c r="B34" s="85" t="s">
        <v>187</v>
      </c>
      <c r="C34" s="89">
        <f t="shared" si="7"/>
        <v>0</v>
      </c>
      <c r="D34" s="89"/>
      <c r="E34" s="89"/>
      <c r="F34" s="89">
        <f t="shared" si="0"/>
        <v>0</v>
      </c>
      <c r="G34" s="174">
        <v>6.9699999999999998E-2</v>
      </c>
      <c r="H34" s="948">
        <v>4.0999999999999996</v>
      </c>
      <c r="I34" s="897">
        <f>H34*Assumptions!$C$32</f>
        <v>45054945.054945052</v>
      </c>
      <c r="J34" s="156">
        <f t="shared" si="8"/>
        <v>2.7747999999999999</v>
      </c>
      <c r="K34" s="156">
        <v>2.7747999999999999</v>
      </c>
      <c r="L34" s="156">
        <f t="shared" si="1"/>
        <v>2.9682035600000001</v>
      </c>
      <c r="M34" s="952">
        <f t="shared" si="9"/>
        <v>0</v>
      </c>
      <c r="N34" s="70">
        <f t="shared" si="2"/>
        <v>125018461.53846152</v>
      </c>
      <c r="O34" s="70">
        <f t="shared" si="3"/>
        <v>125018461.53846152</v>
      </c>
      <c r="P34" s="70">
        <f t="shared" si="4"/>
        <v>133732248.3076923</v>
      </c>
      <c r="Q34" s="70">
        <f t="shared" si="5"/>
        <v>-8713786.769230783</v>
      </c>
    </row>
    <row r="35" spans="1:17" s="85" customFormat="1" x14ac:dyDescent="0.6">
      <c r="A35" s="60">
        <f t="shared" si="6"/>
        <v>32</v>
      </c>
      <c r="B35" s="85" t="s">
        <v>182</v>
      </c>
      <c r="C35" s="89">
        <f t="shared" si="7"/>
        <v>0</v>
      </c>
      <c r="D35" s="89"/>
      <c r="E35" s="89"/>
      <c r="F35" s="89">
        <f t="shared" si="0"/>
        <v>0</v>
      </c>
      <c r="G35" s="174">
        <v>7.3499999999999996E-2</v>
      </c>
      <c r="H35" s="948">
        <v>4.0999999999999996</v>
      </c>
      <c r="I35" s="897">
        <f>H35*Assumptions!$C$32</f>
        <v>45054945.054945052</v>
      </c>
      <c r="J35" s="156">
        <f t="shared" si="8"/>
        <v>2.298</v>
      </c>
      <c r="K35" s="156">
        <v>2.298</v>
      </c>
      <c r="L35" s="156">
        <f t="shared" si="1"/>
        <v>2.4669029999999998</v>
      </c>
      <c r="M35" s="952">
        <f t="shared" si="9"/>
        <v>0</v>
      </c>
      <c r="N35" s="70">
        <f t="shared" si="2"/>
        <v>103536263.73626374</v>
      </c>
      <c r="O35" s="70">
        <f t="shared" si="3"/>
        <v>103536263.73626374</v>
      </c>
      <c r="P35" s="70">
        <f t="shared" si="4"/>
        <v>111146179.1208791</v>
      </c>
      <c r="Q35" s="70">
        <f t="shared" si="5"/>
        <v>-7609915.3846153617</v>
      </c>
    </row>
    <row r="36" spans="1:17" s="85" customFormat="1" x14ac:dyDescent="0.6">
      <c r="A36" s="60">
        <f t="shared" si="6"/>
        <v>33</v>
      </c>
      <c r="B36" s="85" t="s">
        <v>140</v>
      </c>
      <c r="C36" s="89">
        <f t="shared" si="7"/>
        <v>0</v>
      </c>
      <c r="D36" s="89"/>
      <c r="E36" s="89"/>
      <c r="F36" s="89">
        <f t="shared" si="0"/>
        <v>0</v>
      </c>
      <c r="G36" s="174">
        <v>8.48E-2</v>
      </c>
      <c r="H36" s="948">
        <v>21.2</v>
      </c>
      <c r="I36" s="897">
        <f>H36*Assumptions!$C$32</f>
        <v>232967032.96703297</v>
      </c>
      <c r="J36" s="156">
        <f t="shared" si="8"/>
        <v>2.7747999999999999</v>
      </c>
      <c r="K36" s="156">
        <v>2.7747999999999999</v>
      </c>
      <c r="L36" s="156">
        <f t="shared" ref="L36:L54" si="10">K36*(1+G36)</f>
        <v>3.0101030399999997</v>
      </c>
      <c r="M36" s="952">
        <f t="shared" si="9"/>
        <v>0</v>
      </c>
      <c r="N36" s="70">
        <f t="shared" ref="N36:N54" si="11">J36*I36</f>
        <v>646436923.07692301</v>
      </c>
      <c r="O36" s="70">
        <f t="shared" ref="O36:O54" si="12">K36*I36</f>
        <v>646436923.07692301</v>
      </c>
      <c r="P36" s="70">
        <f t="shared" ref="P36:P54" si="13">L36*I36</f>
        <v>701254774.15384614</v>
      </c>
      <c r="Q36" s="70">
        <f t="shared" si="5"/>
        <v>-54817851.076923132</v>
      </c>
    </row>
    <row r="37" spans="1:17" s="85" customFormat="1" x14ac:dyDescent="0.6">
      <c r="A37" s="60">
        <f t="shared" si="6"/>
        <v>34</v>
      </c>
      <c r="B37" s="85" t="s">
        <v>145</v>
      </c>
      <c r="C37" s="89">
        <f t="shared" si="7"/>
        <v>0</v>
      </c>
      <c r="D37" s="89"/>
      <c r="E37" s="89"/>
      <c r="F37" s="89">
        <f t="shared" si="0"/>
        <v>0</v>
      </c>
      <c r="G37" s="174">
        <v>6.9000000000000006E-2</v>
      </c>
      <c r="H37" s="948">
        <v>16.3</v>
      </c>
      <c r="I37" s="897">
        <f>H37*Assumptions!$C$32</f>
        <v>179120879.12087914</v>
      </c>
      <c r="J37" s="156">
        <f t="shared" si="8"/>
        <v>2.8765000000000001</v>
      </c>
      <c r="K37" s="156">
        <v>2.8765000000000001</v>
      </c>
      <c r="L37" s="156">
        <f t="shared" si="10"/>
        <v>3.0749784999999998</v>
      </c>
      <c r="M37" s="952">
        <f t="shared" si="9"/>
        <v>0</v>
      </c>
      <c r="N37" s="70">
        <f t="shared" si="11"/>
        <v>515241208.79120886</v>
      </c>
      <c r="O37" s="70">
        <f t="shared" si="12"/>
        <v>515241208.79120886</v>
      </c>
      <c r="P37" s="70">
        <f t="shared" si="13"/>
        <v>550792852.19780219</v>
      </c>
      <c r="Q37" s="70">
        <f t="shared" si="5"/>
        <v>-35551643.406593323</v>
      </c>
    </row>
    <row r="38" spans="1:17" s="85" customFormat="1" x14ac:dyDescent="0.6">
      <c r="A38" s="60">
        <f t="shared" si="6"/>
        <v>35</v>
      </c>
      <c r="B38" s="85" t="s">
        <v>173</v>
      </c>
      <c r="C38" s="89">
        <f t="shared" si="7"/>
        <v>0</v>
      </c>
      <c r="D38" s="89"/>
      <c r="E38" s="89"/>
      <c r="F38" s="89">
        <f t="shared" si="0"/>
        <v>0</v>
      </c>
      <c r="G38" s="174">
        <v>6.5600000000000006E-2</v>
      </c>
      <c r="H38" s="948">
        <v>5.2</v>
      </c>
      <c r="I38" s="897">
        <f>H38*Assumptions!$C$32</f>
        <v>57142857.142857149</v>
      </c>
      <c r="J38" s="156">
        <f t="shared" si="8"/>
        <v>1.6483000000000001</v>
      </c>
      <c r="K38" s="156">
        <v>1.6483000000000001</v>
      </c>
      <c r="L38" s="156">
        <f t="shared" si="10"/>
        <v>1.7564284800000003</v>
      </c>
      <c r="M38" s="952">
        <f t="shared" si="9"/>
        <v>0</v>
      </c>
      <c r="N38" s="70">
        <f t="shared" si="11"/>
        <v>94188571.428571448</v>
      </c>
      <c r="O38" s="70">
        <f t="shared" si="12"/>
        <v>94188571.428571448</v>
      </c>
      <c r="P38" s="70">
        <f t="shared" si="13"/>
        <v>100367341.71428575</v>
      </c>
      <c r="Q38" s="70">
        <f t="shared" si="5"/>
        <v>-6178770.2857142985</v>
      </c>
    </row>
    <row r="39" spans="1:17" s="85" customFormat="1" x14ac:dyDescent="0.6">
      <c r="A39" s="60">
        <f t="shared" si="6"/>
        <v>36</v>
      </c>
      <c r="B39" s="85" t="s">
        <v>163</v>
      </c>
      <c r="C39" s="89">
        <f t="shared" si="7"/>
        <v>0</v>
      </c>
      <c r="D39" s="89"/>
      <c r="E39" s="89"/>
      <c r="F39" s="89">
        <f t="shared" si="0"/>
        <v>0</v>
      </c>
      <c r="G39" s="174">
        <v>7.0999999999999994E-2</v>
      </c>
      <c r="H39" s="948">
        <v>15.7</v>
      </c>
      <c r="I39" s="897">
        <f>H39*Assumptions!$C$32</f>
        <v>172527472.52747253</v>
      </c>
      <c r="J39" s="156">
        <f t="shared" si="8"/>
        <v>1.6483000000000001</v>
      </c>
      <c r="K39" s="156">
        <v>1.6483000000000001</v>
      </c>
      <c r="L39" s="156">
        <f t="shared" si="10"/>
        <v>1.7653293000000001</v>
      </c>
      <c r="M39" s="952">
        <f t="shared" si="9"/>
        <v>0</v>
      </c>
      <c r="N39" s="70">
        <f t="shared" si="11"/>
        <v>284377032.96703297</v>
      </c>
      <c r="O39" s="70">
        <f t="shared" si="12"/>
        <v>284377032.96703297</v>
      </c>
      <c r="P39" s="70">
        <f t="shared" si="13"/>
        <v>304567802.30769235</v>
      </c>
      <c r="Q39" s="70">
        <f t="shared" si="5"/>
        <v>-20190769.34065938</v>
      </c>
    </row>
    <row r="40" spans="1:17" s="85" customFormat="1" x14ac:dyDescent="0.6">
      <c r="A40" s="60">
        <f t="shared" si="6"/>
        <v>37</v>
      </c>
      <c r="B40" s="85" t="s">
        <v>185</v>
      </c>
      <c r="C40" s="89">
        <f t="shared" si="7"/>
        <v>0</v>
      </c>
      <c r="D40" s="89"/>
      <c r="E40" s="89"/>
      <c r="F40" s="89">
        <f t="shared" si="0"/>
        <v>0</v>
      </c>
      <c r="G40" s="174">
        <v>8.77E-2</v>
      </c>
      <c r="H40" s="948">
        <v>6.6</v>
      </c>
      <c r="I40" s="897">
        <f>H40*Assumptions!$C$32</f>
        <v>72527472.527472526</v>
      </c>
      <c r="J40" s="156">
        <f t="shared" si="8"/>
        <v>1.6483000000000001</v>
      </c>
      <c r="K40" s="156">
        <v>1.6483000000000001</v>
      </c>
      <c r="L40" s="156">
        <f t="shared" si="10"/>
        <v>1.7928559099999999</v>
      </c>
      <c r="M40" s="952">
        <f t="shared" si="9"/>
        <v>0</v>
      </c>
      <c r="N40" s="70">
        <f t="shared" si="11"/>
        <v>119547032.96703297</v>
      </c>
      <c r="O40" s="70">
        <f t="shared" si="12"/>
        <v>119547032.96703297</v>
      </c>
      <c r="P40" s="70">
        <f t="shared" si="13"/>
        <v>130031307.75824174</v>
      </c>
      <c r="Q40" s="70">
        <f t="shared" si="5"/>
        <v>-10484274.791208774</v>
      </c>
    </row>
    <row r="41" spans="1:17" s="85" customFormat="1" x14ac:dyDescent="0.6">
      <c r="A41" s="60">
        <f t="shared" si="6"/>
        <v>38</v>
      </c>
      <c r="B41" s="85" t="s">
        <v>153</v>
      </c>
      <c r="C41" s="89">
        <f t="shared" si="7"/>
        <v>0</v>
      </c>
      <c r="D41" s="89"/>
      <c r="E41" s="89"/>
      <c r="F41" s="89">
        <f t="shared" si="0"/>
        <v>0</v>
      </c>
      <c r="G41" s="174">
        <v>0</v>
      </c>
      <c r="H41" s="948">
        <v>1.8</v>
      </c>
      <c r="I41" s="897">
        <f>H41*Assumptions!$C$32</f>
        <v>19780219.780219782</v>
      </c>
      <c r="J41" s="156">
        <f t="shared" si="8"/>
        <v>2.1509999999999998</v>
      </c>
      <c r="K41" s="156">
        <v>2.1509999999999998</v>
      </c>
      <c r="L41" s="156">
        <f t="shared" si="10"/>
        <v>2.1509999999999998</v>
      </c>
      <c r="M41" s="952">
        <f t="shared" si="9"/>
        <v>0</v>
      </c>
      <c r="N41" s="70">
        <f t="shared" si="11"/>
        <v>42547252.747252747</v>
      </c>
      <c r="O41" s="70">
        <f t="shared" si="12"/>
        <v>42547252.747252747</v>
      </c>
      <c r="P41" s="70">
        <f t="shared" si="13"/>
        <v>42547252.747252747</v>
      </c>
      <c r="Q41" s="70">
        <f t="shared" si="5"/>
        <v>0</v>
      </c>
    </row>
    <row r="42" spans="1:17" s="85" customFormat="1" x14ac:dyDescent="0.6">
      <c r="A42" s="60">
        <f t="shared" si="6"/>
        <v>39</v>
      </c>
      <c r="B42" s="85" t="s">
        <v>138</v>
      </c>
      <c r="C42" s="89">
        <f t="shared" si="7"/>
        <v>0</v>
      </c>
      <c r="D42" s="89"/>
      <c r="E42" s="89"/>
      <c r="F42" s="89">
        <f t="shared" si="0"/>
        <v>0</v>
      </c>
      <c r="G42" s="174">
        <v>6.3399999999999998E-2</v>
      </c>
      <c r="H42" s="948">
        <v>17.2</v>
      </c>
      <c r="I42" s="897">
        <f>H42*Assumptions!$C$32</f>
        <v>189010989.01098901</v>
      </c>
      <c r="J42" s="156">
        <f t="shared" si="8"/>
        <v>2.7747999999999999</v>
      </c>
      <c r="K42" s="156">
        <v>2.7747999999999999</v>
      </c>
      <c r="L42" s="156">
        <f t="shared" si="10"/>
        <v>2.9507223199999997</v>
      </c>
      <c r="M42" s="952">
        <f t="shared" si="9"/>
        <v>0</v>
      </c>
      <c r="N42" s="70">
        <f t="shared" si="11"/>
        <v>524467692.30769229</v>
      </c>
      <c r="O42" s="70">
        <f t="shared" si="12"/>
        <v>524467692.30769229</v>
      </c>
      <c r="P42" s="70">
        <f t="shared" si="13"/>
        <v>557718943.99999988</v>
      </c>
      <c r="Q42" s="70">
        <f t="shared" si="5"/>
        <v>-33251251.692307591</v>
      </c>
    </row>
    <row r="43" spans="1:17" s="85" customFormat="1" x14ac:dyDescent="0.6">
      <c r="A43" s="60">
        <f t="shared" si="6"/>
        <v>40</v>
      </c>
      <c r="B43" s="85" t="s">
        <v>146</v>
      </c>
      <c r="C43" s="89">
        <f t="shared" si="7"/>
        <v>0</v>
      </c>
      <c r="D43" s="89"/>
      <c r="E43" s="89"/>
      <c r="F43" s="89">
        <f t="shared" si="0"/>
        <v>0</v>
      </c>
      <c r="G43" s="174">
        <v>7.0000000000000007E-2</v>
      </c>
      <c r="H43" s="948">
        <v>1</v>
      </c>
      <c r="I43" s="897">
        <f>H43*Assumptions!$C$32</f>
        <v>10989010.98901099</v>
      </c>
      <c r="J43" s="156">
        <f t="shared" si="8"/>
        <v>2.8675000000000002</v>
      </c>
      <c r="K43" s="156">
        <v>2.8675000000000002</v>
      </c>
      <c r="L43" s="156">
        <f t="shared" si="10"/>
        <v>3.0682250000000004</v>
      </c>
      <c r="M43" s="952">
        <f t="shared" si="9"/>
        <v>0</v>
      </c>
      <c r="N43" s="70">
        <f t="shared" si="11"/>
        <v>31510989.010989014</v>
      </c>
      <c r="O43" s="70">
        <f t="shared" si="12"/>
        <v>31510989.010989014</v>
      </c>
      <c r="P43" s="70">
        <f t="shared" si="13"/>
        <v>33716758.24175825</v>
      </c>
      <c r="Q43" s="70">
        <f t="shared" si="5"/>
        <v>-2205769.2307692356</v>
      </c>
    </row>
    <row r="44" spans="1:17" s="85" customFormat="1" x14ac:dyDescent="0.6">
      <c r="A44" s="60">
        <f t="shared" si="6"/>
        <v>41</v>
      </c>
      <c r="B44" s="85" t="s">
        <v>186</v>
      </c>
      <c r="C44" s="89">
        <f t="shared" si="7"/>
        <v>0</v>
      </c>
      <c r="D44" s="89"/>
      <c r="E44" s="89"/>
      <c r="F44" s="89">
        <f t="shared" si="0"/>
        <v>0</v>
      </c>
      <c r="G44" s="174">
        <v>7.1300000000000002E-2</v>
      </c>
      <c r="H44" s="948">
        <v>3.8</v>
      </c>
      <c r="I44" s="897">
        <f>H44*Assumptions!$C$32</f>
        <v>41758241.758241758</v>
      </c>
      <c r="J44" s="156">
        <f t="shared" si="8"/>
        <v>2.8765000000000001</v>
      </c>
      <c r="K44" s="156">
        <v>2.8765000000000001</v>
      </c>
      <c r="L44" s="156">
        <f t="shared" si="10"/>
        <v>3.0815944499999999</v>
      </c>
      <c r="M44" s="952">
        <f t="shared" si="9"/>
        <v>0</v>
      </c>
      <c r="N44" s="70">
        <f t="shared" si="11"/>
        <v>120117582.41758242</v>
      </c>
      <c r="O44" s="70">
        <f t="shared" si="12"/>
        <v>120117582.41758242</v>
      </c>
      <c r="P44" s="70">
        <f t="shared" si="13"/>
        <v>128681966.04395604</v>
      </c>
      <c r="Q44" s="70">
        <f t="shared" si="5"/>
        <v>-8564383.6263736188</v>
      </c>
    </row>
    <row r="45" spans="1:17" s="85" customFormat="1" x14ac:dyDescent="0.6">
      <c r="A45" s="60">
        <f t="shared" si="6"/>
        <v>42</v>
      </c>
      <c r="B45" s="85" t="s">
        <v>159</v>
      </c>
      <c r="C45" s="89">
        <f t="shared" si="7"/>
        <v>0</v>
      </c>
      <c r="D45" s="89"/>
      <c r="E45" s="89"/>
      <c r="F45" s="89">
        <f t="shared" si="0"/>
        <v>0</v>
      </c>
      <c r="G45" s="174">
        <v>5.8299999999999998E-2</v>
      </c>
      <c r="H45" s="948">
        <v>3.7</v>
      </c>
      <c r="I45" s="897">
        <f>H45*Assumptions!$C$32</f>
        <v>40659340.659340665</v>
      </c>
      <c r="J45" s="156">
        <f t="shared" si="8"/>
        <v>1.6483000000000001</v>
      </c>
      <c r="K45" s="156">
        <v>1.6483000000000001</v>
      </c>
      <c r="L45" s="156">
        <f t="shared" si="10"/>
        <v>1.7443958900000001</v>
      </c>
      <c r="M45" s="952">
        <f t="shared" si="9"/>
        <v>0</v>
      </c>
      <c r="N45" s="70">
        <f t="shared" si="11"/>
        <v>67018791.208791219</v>
      </c>
      <c r="O45" s="70">
        <f t="shared" si="12"/>
        <v>67018791.208791219</v>
      </c>
      <c r="P45" s="70">
        <f t="shared" si="13"/>
        <v>70925986.736263752</v>
      </c>
      <c r="Q45" s="70">
        <f t="shared" si="5"/>
        <v>-3907195.5274725333</v>
      </c>
    </row>
    <row r="46" spans="1:17" s="85" customFormat="1" x14ac:dyDescent="0.6">
      <c r="A46" s="60">
        <f t="shared" si="6"/>
        <v>43</v>
      </c>
      <c r="B46" s="85" t="s">
        <v>177</v>
      </c>
      <c r="C46" s="89">
        <f t="shared" si="7"/>
        <v>0</v>
      </c>
      <c r="D46" s="89"/>
      <c r="E46" s="89"/>
      <c r="F46" s="89">
        <f t="shared" si="0"/>
        <v>0</v>
      </c>
      <c r="G46" s="174">
        <v>9.4500000000000001E-2</v>
      </c>
      <c r="H46" s="948">
        <v>6.1</v>
      </c>
      <c r="I46" s="897">
        <f>H46*Assumptions!$C$32</f>
        <v>67032967.032967031</v>
      </c>
      <c r="J46" s="156">
        <f t="shared" si="8"/>
        <v>1.6483000000000001</v>
      </c>
      <c r="K46" s="156">
        <v>1.6483000000000001</v>
      </c>
      <c r="L46" s="156">
        <f t="shared" si="10"/>
        <v>1.8040643500000002</v>
      </c>
      <c r="M46" s="952">
        <f t="shared" si="9"/>
        <v>0</v>
      </c>
      <c r="N46" s="70">
        <f t="shared" si="11"/>
        <v>110490439.56043956</v>
      </c>
      <c r="O46" s="70">
        <f t="shared" si="12"/>
        <v>110490439.56043956</v>
      </c>
      <c r="P46" s="70">
        <f t="shared" si="13"/>
        <v>120931786.09890111</v>
      </c>
      <c r="Q46" s="70">
        <f t="shared" si="5"/>
        <v>-10441346.538461551</v>
      </c>
    </row>
    <row r="47" spans="1:17" s="85" customFormat="1" x14ac:dyDescent="0.6">
      <c r="A47" s="60">
        <f t="shared" si="6"/>
        <v>44</v>
      </c>
      <c r="B47" s="85" t="s">
        <v>180</v>
      </c>
      <c r="C47" s="89">
        <f t="shared" si="7"/>
        <v>0</v>
      </c>
      <c r="D47" s="89"/>
      <c r="E47" s="89"/>
      <c r="F47" s="89">
        <f t="shared" si="0"/>
        <v>0</v>
      </c>
      <c r="G47" s="174">
        <v>8.0500000000000002E-2</v>
      </c>
      <c r="H47" s="948">
        <v>18</v>
      </c>
      <c r="I47" s="897">
        <f>H47*Assumptions!$C$32</f>
        <v>197802197.80219781</v>
      </c>
      <c r="J47" s="156">
        <f t="shared" si="8"/>
        <v>2.298</v>
      </c>
      <c r="K47" s="156">
        <v>2.298</v>
      </c>
      <c r="L47" s="156">
        <f t="shared" si="10"/>
        <v>2.4829889999999999</v>
      </c>
      <c r="M47" s="952">
        <f t="shared" si="9"/>
        <v>0</v>
      </c>
      <c r="N47" s="70">
        <f t="shared" si="11"/>
        <v>454549450.54945058</v>
      </c>
      <c r="O47" s="70">
        <f t="shared" si="12"/>
        <v>454549450.54945058</v>
      </c>
      <c r="P47" s="70">
        <f t="shared" si="13"/>
        <v>491140681.3186813</v>
      </c>
      <c r="Q47" s="70">
        <f t="shared" si="5"/>
        <v>-36591230.769230723</v>
      </c>
    </row>
    <row r="48" spans="1:17" s="85" customFormat="1" x14ac:dyDescent="0.6">
      <c r="A48" s="60">
        <f t="shared" si="6"/>
        <v>45</v>
      </c>
      <c r="B48" s="85" t="s">
        <v>161</v>
      </c>
      <c r="C48" s="89">
        <f t="shared" si="7"/>
        <v>0</v>
      </c>
      <c r="D48" s="89"/>
      <c r="E48" s="89"/>
      <c r="F48" s="89">
        <f t="shared" si="0"/>
        <v>0</v>
      </c>
      <c r="G48" s="174">
        <v>6.6799999999999998E-2</v>
      </c>
      <c r="H48" s="948">
        <v>1.4</v>
      </c>
      <c r="I48" s="897">
        <f>H48*Assumptions!$C$32</f>
        <v>15384615.384615384</v>
      </c>
      <c r="J48" s="156">
        <f t="shared" si="8"/>
        <v>1.9450000000000001</v>
      </c>
      <c r="K48" s="156">
        <v>1.9450000000000001</v>
      </c>
      <c r="L48" s="156">
        <f t="shared" si="10"/>
        <v>2.074926</v>
      </c>
      <c r="M48" s="952">
        <f t="shared" si="9"/>
        <v>0</v>
      </c>
      <c r="N48" s="70">
        <f t="shared" si="11"/>
        <v>29923076.923076924</v>
      </c>
      <c r="O48" s="70">
        <f t="shared" si="12"/>
        <v>29923076.923076924</v>
      </c>
      <c r="P48" s="70">
        <f t="shared" si="13"/>
        <v>31921938.46153846</v>
      </c>
      <c r="Q48" s="70">
        <f t="shared" si="5"/>
        <v>-1998861.5384615362</v>
      </c>
    </row>
    <row r="49" spans="1:18" s="85" customFormat="1" x14ac:dyDescent="0.6">
      <c r="A49" s="60">
        <f t="shared" si="6"/>
        <v>46</v>
      </c>
      <c r="B49" s="85" t="s">
        <v>156</v>
      </c>
      <c r="C49" s="89">
        <f t="shared" si="7"/>
        <v>0</v>
      </c>
      <c r="D49" s="89"/>
      <c r="E49" s="89"/>
      <c r="F49" s="89">
        <f t="shared" si="0"/>
        <v>0</v>
      </c>
      <c r="G49" s="174">
        <v>6.1400000000000003E-2</v>
      </c>
      <c r="H49" s="948">
        <v>5.8</v>
      </c>
      <c r="I49" s="897">
        <f>H49*Assumptions!$C$32</f>
        <v>63736263.736263737</v>
      </c>
      <c r="J49" s="156">
        <f t="shared" si="8"/>
        <v>2.8675000000000002</v>
      </c>
      <c r="K49" s="156">
        <v>2.8675000000000002</v>
      </c>
      <c r="L49" s="156">
        <f t="shared" si="10"/>
        <v>3.0435645</v>
      </c>
      <c r="M49" s="952">
        <f t="shared" si="9"/>
        <v>0</v>
      </c>
      <c r="N49" s="70">
        <f t="shared" si="11"/>
        <v>182763736.26373628</v>
      </c>
      <c r="O49" s="70">
        <f t="shared" si="12"/>
        <v>182763736.26373628</v>
      </c>
      <c r="P49" s="70">
        <f t="shared" si="13"/>
        <v>193985429.67032966</v>
      </c>
      <c r="Q49" s="70">
        <f t="shared" si="5"/>
        <v>-11221693.406593382</v>
      </c>
    </row>
    <row r="50" spans="1:18" s="85" customFormat="1" x14ac:dyDescent="0.6">
      <c r="A50" s="60">
        <f t="shared" si="6"/>
        <v>47</v>
      </c>
      <c r="B50" s="85" t="s">
        <v>174</v>
      </c>
      <c r="C50" s="89">
        <f t="shared" si="7"/>
        <v>0</v>
      </c>
      <c r="D50" s="89"/>
      <c r="E50" s="89"/>
      <c r="F50" s="89">
        <f t="shared" si="0"/>
        <v>0</v>
      </c>
      <c r="G50" s="174">
        <v>5.6300000000000003E-2</v>
      </c>
      <c r="H50" s="948">
        <v>11.6</v>
      </c>
      <c r="I50" s="897">
        <f>H50*Assumptions!$C$32</f>
        <v>127472527.47252747</v>
      </c>
      <c r="J50" s="156">
        <f t="shared" si="8"/>
        <v>2.8765000000000001</v>
      </c>
      <c r="K50" s="156">
        <v>2.8765000000000001</v>
      </c>
      <c r="L50" s="156">
        <f t="shared" si="10"/>
        <v>3.03844695</v>
      </c>
      <c r="M50" s="952">
        <f t="shared" si="9"/>
        <v>0</v>
      </c>
      <c r="N50" s="70">
        <f t="shared" si="11"/>
        <v>366674725.27472526</v>
      </c>
      <c r="O50" s="70">
        <f t="shared" si="12"/>
        <v>366674725.27472526</v>
      </c>
      <c r="P50" s="70">
        <f t="shared" si="13"/>
        <v>387318512.30769229</v>
      </c>
      <c r="Q50" s="70">
        <f t="shared" si="5"/>
        <v>-20643787.032967031</v>
      </c>
    </row>
    <row r="51" spans="1:18" s="85" customFormat="1" x14ac:dyDescent="0.6">
      <c r="A51" s="60">
        <f t="shared" si="6"/>
        <v>48</v>
      </c>
      <c r="B51" s="85" t="s">
        <v>139</v>
      </c>
      <c r="C51" s="89">
        <f t="shared" si="7"/>
        <v>0</v>
      </c>
      <c r="D51" s="89"/>
      <c r="E51" s="89"/>
      <c r="F51" s="89">
        <f t="shared" si="0"/>
        <v>0</v>
      </c>
      <c r="G51" s="174">
        <v>8.8900000000000007E-2</v>
      </c>
      <c r="H51" s="948">
        <v>5.5</v>
      </c>
      <c r="I51" s="897">
        <f>H51*Assumptions!$C$32</f>
        <v>60439560.439560443</v>
      </c>
      <c r="J51" s="156">
        <f t="shared" si="8"/>
        <v>2.1509999999999998</v>
      </c>
      <c r="K51" s="156">
        <v>2.1509999999999998</v>
      </c>
      <c r="L51" s="156">
        <f t="shared" si="10"/>
        <v>2.3422238999999996</v>
      </c>
      <c r="M51" s="952">
        <f t="shared" si="9"/>
        <v>0</v>
      </c>
      <c r="N51" s="70">
        <f t="shared" si="11"/>
        <v>130005494.50549451</v>
      </c>
      <c r="O51" s="70">
        <f t="shared" si="12"/>
        <v>130005494.50549451</v>
      </c>
      <c r="P51" s="70">
        <f t="shared" si="13"/>
        <v>141562982.96703294</v>
      </c>
      <c r="Q51" s="70">
        <f t="shared" si="5"/>
        <v>-11557488.461538434</v>
      </c>
    </row>
    <row r="52" spans="1:18" s="85" customFormat="1" x14ac:dyDescent="0.6">
      <c r="A52" s="60">
        <f t="shared" si="6"/>
        <v>49</v>
      </c>
      <c r="B52" s="85" t="s">
        <v>148</v>
      </c>
      <c r="C52" s="89">
        <f t="shared" si="7"/>
        <v>0</v>
      </c>
      <c r="D52" s="89"/>
      <c r="E52" s="89"/>
      <c r="F52" s="89">
        <f t="shared" si="0"/>
        <v>0</v>
      </c>
      <c r="G52" s="174">
        <v>6.0699999999999997E-2</v>
      </c>
      <c r="H52" s="948">
        <v>2.9</v>
      </c>
      <c r="I52" s="897">
        <f>H52*Assumptions!$C$32</f>
        <v>31868131.868131869</v>
      </c>
      <c r="J52" s="156">
        <f t="shared" si="8"/>
        <v>2.8765000000000001</v>
      </c>
      <c r="K52" s="156">
        <v>2.8765000000000001</v>
      </c>
      <c r="L52" s="156">
        <f t="shared" si="10"/>
        <v>3.0511035500000001</v>
      </c>
      <c r="M52" s="952">
        <f t="shared" si="9"/>
        <v>0</v>
      </c>
      <c r="N52" s="70">
        <f t="shared" si="11"/>
        <v>91668681.318681315</v>
      </c>
      <c r="O52" s="70">
        <f t="shared" si="12"/>
        <v>91668681.318681315</v>
      </c>
      <c r="P52" s="70">
        <f t="shared" si="13"/>
        <v>97232970.274725273</v>
      </c>
      <c r="Q52" s="70">
        <f t="shared" si="5"/>
        <v>-5564288.9560439587</v>
      </c>
    </row>
    <row r="53" spans="1:18" s="85" customFormat="1" x14ac:dyDescent="0.6">
      <c r="A53" s="60">
        <f t="shared" si="6"/>
        <v>50</v>
      </c>
      <c r="B53" s="85" t="s">
        <v>149</v>
      </c>
      <c r="C53" s="89">
        <f t="shared" si="7"/>
        <v>0</v>
      </c>
      <c r="D53" s="89"/>
      <c r="E53" s="89"/>
      <c r="F53" s="89">
        <f t="shared" si="0"/>
        <v>0</v>
      </c>
      <c r="G53" s="174">
        <v>5.4300000000000001E-2</v>
      </c>
      <c r="H53" s="948">
        <v>22.5</v>
      </c>
      <c r="I53" s="897">
        <f>H53*Assumptions!$C$32</f>
        <v>247252747.25274727</v>
      </c>
      <c r="J53" s="156">
        <f t="shared" si="8"/>
        <v>1.6483000000000001</v>
      </c>
      <c r="K53" s="156">
        <v>1.6483000000000001</v>
      </c>
      <c r="L53" s="156">
        <f t="shared" si="10"/>
        <v>1.7378026900000001</v>
      </c>
      <c r="M53" s="952">
        <f t="shared" si="9"/>
        <v>0</v>
      </c>
      <c r="N53" s="70">
        <f t="shared" si="11"/>
        <v>407546703.29670334</v>
      </c>
      <c r="O53" s="70">
        <f t="shared" si="12"/>
        <v>407546703.29670334</v>
      </c>
      <c r="P53" s="70">
        <f t="shared" si="13"/>
        <v>429676489.28571433</v>
      </c>
      <c r="Q53" s="70">
        <f t="shared" si="5"/>
        <v>-22129785.98901099</v>
      </c>
    </row>
    <row r="54" spans="1:18" s="85" customFormat="1" x14ac:dyDescent="0.6">
      <c r="A54" s="60">
        <f t="shared" si="6"/>
        <v>51</v>
      </c>
      <c r="B54" s="85" t="s">
        <v>169</v>
      </c>
      <c r="C54" s="89">
        <f t="shared" si="7"/>
        <v>0</v>
      </c>
      <c r="D54" s="89"/>
      <c r="E54" s="89"/>
      <c r="F54" s="89">
        <f t="shared" si="0"/>
        <v>0</v>
      </c>
      <c r="G54" s="174">
        <v>5.4699999999999999E-2</v>
      </c>
      <c r="H54" s="948">
        <v>2.1</v>
      </c>
      <c r="I54" s="897">
        <f>H54*Assumptions!$C$32</f>
        <v>23076923.07692308</v>
      </c>
      <c r="J54" s="156">
        <f t="shared" si="8"/>
        <v>1.9450000000000001</v>
      </c>
      <c r="K54" s="156">
        <v>1.9450000000000001</v>
      </c>
      <c r="L54" s="156">
        <f t="shared" si="10"/>
        <v>2.0513914999999998</v>
      </c>
      <c r="M54" s="952">
        <f t="shared" si="9"/>
        <v>0</v>
      </c>
      <c r="N54" s="70">
        <f t="shared" si="11"/>
        <v>44884615.384615391</v>
      </c>
      <c r="O54" s="70">
        <f t="shared" si="12"/>
        <v>44884615.384615391</v>
      </c>
      <c r="P54" s="70">
        <f t="shared" si="13"/>
        <v>47339803.846153848</v>
      </c>
      <c r="Q54" s="70">
        <f t="shared" si="5"/>
        <v>-2455188.4615384564</v>
      </c>
    </row>
    <row r="55" spans="1:18" s="85" customFormat="1" x14ac:dyDescent="0.6">
      <c r="C55" s="89"/>
      <c r="D55" s="89"/>
      <c r="E55" s="89"/>
      <c r="F55" s="89"/>
      <c r="G55" s="174"/>
      <c r="H55" s="948"/>
      <c r="I55" s="913"/>
      <c r="J55" s="156"/>
      <c r="K55" s="156"/>
      <c r="L55" s="156"/>
      <c r="M55" s="952"/>
      <c r="N55" s="70"/>
      <c r="O55" s="70"/>
      <c r="P55" s="70"/>
    </row>
    <row r="56" spans="1:18" s="104" customFormat="1" x14ac:dyDescent="0.6">
      <c r="B56" s="104" t="s">
        <v>42</v>
      </c>
      <c r="C56" s="942"/>
      <c r="D56" s="942">
        <f>SUMPRODUCT(D4:D54,I4:I54)/I56</f>
        <v>0</v>
      </c>
      <c r="E56" s="942"/>
      <c r="F56" s="942"/>
      <c r="G56" s="943"/>
      <c r="H56" s="1186">
        <f>SUM(H4:H55)</f>
        <v>421</v>
      </c>
      <c r="I56" s="951">
        <f>SUM(I4:I55)</f>
        <v>4626373626.3736277</v>
      </c>
      <c r="J56" s="881"/>
      <c r="K56" s="156"/>
      <c r="L56" s="881"/>
      <c r="M56" s="952"/>
      <c r="N56" s="593">
        <f>SUM(N4:N55)</f>
        <v>9961176923.0769253</v>
      </c>
      <c r="O56" s="593">
        <f>SUM(O4:O55)</f>
        <v>9961176923.0769253</v>
      </c>
      <c r="P56" s="593">
        <f>SUM(P4:P55)</f>
        <v>10622596823.626375</v>
      </c>
      <c r="Q56" s="593">
        <f>SUM(Q4:Q55)</f>
        <v>-661419900.54945028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44"/>
      <c r="G57" s="945"/>
      <c r="H57" s="953"/>
      <c r="I57" s="954"/>
      <c r="J57" s="237"/>
      <c r="K57" s="237"/>
      <c r="L57" s="237"/>
      <c r="M57" s="955"/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89"/>
      <c r="G58" s="174"/>
      <c r="H58" s="178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89"/>
      <c r="G59" s="178"/>
      <c r="H59" s="178" t="s">
        <v>1746</v>
      </c>
      <c r="I59" s="21">
        <f>LARGE($I$4:$I$54,1)</f>
        <v>341758241.75824177</v>
      </c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 t="s">
        <v>401</v>
      </c>
      <c r="D60" s="812">
        <f>Assumptions!C31/Assumptions!C8</f>
        <v>0.72799999999999998</v>
      </c>
      <c r="E60" s="89" t="s">
        <v>128</v>
      </c>
      <c r="F60" s="89"/>
      <c r="G60" s="178"/>
      <c r="H60" s="1187" t="s">
        <v>1744</v>
      </c>
      <c r="I60" s="21">
        <f>LARGE($I$4:$I$54,2)</f>
        <v>247252747.25274727</v>
      </c>
      <c r="J60" s="156"/>
      <c r="K60" s="156"/>
      <c r="L60" s="156"/>
      <c r="M60" s="156"/>
      <c r="N60" s="70"/>
      <c r="O60" s="70" t="s">
        <v>26</v>
      </c>
      <c r="P60" s="70">
        <f>N56-O56</f>
        <v>0</v>
      </c>
      <c r="Q60" s="881">
        <f>P60/$I$56</f>
        <v>0</v>
      </c>
    </row>
    <row r="61" spans="1:18" s="85" customFormat="1" x14ac:dyDescent="0.6">
      <c r="C61" s="89"/>
      <c r="D61" s="89"/>
      <c r="E61" s="89"/>
      <c r="F61" s="89"/>
      <c r="G61" s="174"/>
      <c r="H61" s="178" t="s">
        <v>1745</v>
      </c>
      <c r="I61" s="21">
        <f>LARGE($I$4:$I$54,3)</f>
        <v>232967032.96703297</v>
      </c>
      <c r="J61" s="156"/>
      <c r="K61" s="156"/>
      <c r="L61" s="156"/>
      <c r="M61" s="156"/>
      <c r="N61" s="70"/>
      <c r="O61" s="70" t="s">
        <v>654</v>
      </c>
      <c r="P61" s="70">
        <f>P56-O56</f>
        <v>661419900.54944992</v>
      </c>
      <c r="Q61" s="881">
        <f>P61/$I$56</f>
        <v>0.14296724691211385</v>
      </c>
    </row>
    <row r="62" spans="1:18" s="85" customFormat="1" x14ac:dyDescent="0.6">
      <c r="C62" s="89"/>
      <c r="D62" s="89"/>
      <c r="E62" s="89"/>
      <c r="F62" s="89"/>
      <c r="G62" s="174"/>
      <c r="H62" s="178"/>
      <c r="J62" s="156"/>
      <c r="K62" s="156"/>
      <c r="L62" s="156"/>
      <c r="M62" s="156"/>
      <c r="N62" s="70"/>
      <c r="O62" s="70" t="s">
        <v>602</v>
      </c>
      <c r="P62" s="70">
        <f>P60-P61</f>
        <v>-661419900.54944992</v>
      </c>
      <c r="Q62" s="881">
        <f>P62/$I$56</f>
        <v>-0.14296724691211385</v>
      </c>
    </row>
    <row r="63" spans="1:18" s="85" customFormat="1" x14ac:dyDescent="0.6">
      <c r="C63" s="89"/>
      <c r="D63" s="89"/>
      <c r="E63" s="89"/>
      <c r="F63" s="89"/>
      <c r="G63" s="174"/>
      <c r="H63" s="178"/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89"/>
      <c r="G64" s="174"/>
      <c r="H64" s="178"/>
      <c r="J64" s="156"/>
      <c r="K64" s="156"/>
      <c r="L64" s="156"/>
      <c r="M64" s="156"/>
      <c r="N64" s="70"/>
      <c r="O64" s="70" t="s">
        <v>686</v>
      </c>
      <c r="Q64" s="506">
        <f>O56/I56</f>
        <v>2.1531285035629453</v>
      </c>
    </row>
    <row r="65" spans="3:18" s="85" customFormat="1" x14ac:dyDescent="0.6">
      <c r="C65" s="89"/>
      <c r="D65" s="89"/>
      <c r="E65" s="89"/>
      <c r="F65" s="89"/>
      <c r="G65" s="174"/>
      <c r="H65" s="178"/>
      <c r="J65" s="156"/>
      <c r="K65" s="156"/>
      <c r="L65" s="156"/>
      <c r="M65" s="156"/>
      <c r="N65" s="70"/>
      <c r="O65" s="70" t="s">
        <v>645</v>
      </c>
      <c r="Q65" s="506">
        <f>N56/I56</f>
        <v>2.1531285035629453</v>
      </c>
    </row>
    <row r="66" spans="3:18" s="85" customFormat="1" x14ac:dyDescent="0.6">
      <c r="C66" s="89"/>
      <c r="D66" s="89"/>
      <c r="E66" s="89"/>
      <c r="F66" s="89"/>
      <c r="G66" s="174"/>
      <c r="H66" s="178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89"/>
      <c r="G67" s="174"/>
      <c r="H67" s="178"/>
      <c r="J67" s="156"/>
      <c r="K67" s="156"/>
      <c r="L67" s="156"/>
      <c r="M67" s="156"/>
      <c r="N67" s="70"/>
      <c r="O67" s="17"/>
      <c r="P67" s="826" t="s">
        <v>1743</v>
      </c>
      <c r="Q67" s="17">
        <f>SMALL($Q$4:$Q$54,1)</f>
        <v>-54817851.076923132</v>
      </c>
      <c r="R67" s="826"/>
    </row>
    <row r="68" spans="3:18" s="85" customFormat="1" x14ac:dyDescent="0.6">
      <c r="C68" s="89"/>
      <c r="D68" s="89"/>
      <c r="E68" s="89"/>
      <c r="F68" s="89"/>
      <c r="G68" s="174"/>
      <c r="H68" s="178"/>
      <c r="J68" s="156"/>
      <c r="K68" s="156"/>
      <c r="L68" s="156"/>
      <c r="M68" s="156"/>
      <c r="N68" s="70"/>
      <c r="O68" s="1"/>
      <c r="P68" s="826" t="s">
        <v>1744</v>
      </c>
      <c r="Q68" s="17">
        <f>SMALL($Q$4:$Q$54,2)</f>
        <v>-39700368.791208804</v>
      </c>
      <c r="R68" s="17"/>
    </row>
    <row r="69" spans="3:18" s="85" customFormat="1" x14ac:dyDescent="0.6">
      <c r="C69" s="89"/>
      <c r="D69" s="89"/>
      <c r="E69" s="89"/>
      <c r="F69" s="89"/>
      <c r="G69" s="174"/>
      <c r="H69" s="178"/>
      <c r="J69" s="156"/>
      <c r="K69" s="156"/>
      <c r="L69" s="156"/>
      <c r="M69" s="156"/>
      <c r="N69" s="70"/>
      <c r="O69" s="1"/>
      <c r="P69" s="826" t="s">
        <v>1745</v>
      </c>
      <c r="Q69" s="17">
        <f>SMALL($Q$4:$Q$54,3)</f>
        <v>-36591230.769230723</v>
      </c>
      <c r="R69" s="17"/>
    </row>
    <row r="70" spans="3:18" s="85" customFormat="1" x14ac:dyDescent="0.6">
      <c r="C70" s="89"/>
      <c r="D70" s="89"/>
      <c r="E70" s="89"/>
      <c r="F70" s="89"/>
      <c r="G70" s="174"/>
      <c r="H70" s="178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89"/>
      <c r="G71" s="174"/>
      <c r="H71" s="178"/>
      <c r="J71" s="156"/>
      <c r="K71" s="156"/>
      <c r="L71" s="156"/>
      <c r="M71" s="156"/>
      <c r="N71" s="70"/>
      <c r="O71" s="1"/>
      <c r="P71" s="1" t="s">
        <v>852</v>
      </c>
      <c r="Q71" s="891">
        <f>SUM(Q4:Q54)</f>
        <v>-661419900.54945028</v>
      </c>
      <c r="R71" s="929">
        <v>51</v>
      </c>
    </row>
    <row r="72" spans="3:18" s="85" customFormat="1" x14ac:dyDescent="0.6">
      <c r="C72" s="89"/>
      <c r="D72" s="89"/>
      <c r="E72" s="89"/>
      <c r="F72" s="89"/>
      <c r="G72" s="174"/>
      <c r="H72" s="178"/>
      <c r="J72" s="156"/>
      <c r="K72" s="156"/>
      <c r="L72" s="156"/>
      <c r="M72" s="156"/>
      <c r="N72" s="70"/>
      <c r="O72" s="1"/>
      <c r="P72" s="1" t="s">
        <v>853</v>
      </c>
      <c r="Q72" s="891">
        <v>0</v>
      </c>
      <c r="R72" s="929">
        <v>0</v>
      </c>
    </row>
    <row r="73" spans="3:18" s="85" customFormat="1" x14ac:dyDescent="0.6">
      <c r="C73" s="89"/>
      <c r="D73" s="89"/>
      <c r="E73" s="89"/>
      <c r="F73" s="89"/>
      <c r="G73" s="174"/>
      <c r="H73" s="178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89"/>
      <c r="G74" s="174"/>
      <c r="H74" s="178"/>
      <c r="J74" s="156"/>
      <c r="K74" s="156"/>
      <c r="L74" s="156"/>
      <c r="M74" s="156"/>
      <c r="N74" s="70"/>
      <c r="O74" s="1"/>
      <c r="P74" s="1"/>
      <c r="Q74" s="891"/>
      <c r="R74" s="17"/>
    </row>
    <row r="75" spans="3:18" s="85" customFormat="1" x14ac:dyDescent="0.6">
      <c r="C75" s="89"/>
      <c r="D75" s="89"/>
      <c r="E75" s="89"/>
      <c r="F75" s="89"/>
      <c r="G75" s="174"/>
      <c r="H75" s="178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89"/>
      <c r="G76" s="174"/>
      <c r="H76" s="178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89"/>
      <c r="G77" s="174"/>
      <c r="H77" s="178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89"/>
      <c r="G78" s="174"/>
      <c r="H78" s="178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89"/>
      <c r="G79" s="174"/>
      <c r="H79" s="178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85" customFormat="1" x14ac:dyDescent="0.6">
      <c r="C80" s="89"/>
      <c r="D80" s="89"/>
      <c r="E80" s="89"/>
      <c r="F80" s="89"/>
      <c r="G80" s="174"/>
      <c r="H80" s="178"/>
      <c r="J80" s="156"/>
      <c r="K80" s="156"/>
      <c r="L80" s="156"/>
      <c r="M80" s="156"/>
      <c r="N80" s="70"/>
      <c r="O80" s="17"/>
      <c r="P80" s="17"/>
      <c r="Q80" s="70"/>
      <c r="R80" s="1"/>
    </row>
    <row r="81" spans="3:16" s="85" customFormat="1" x14ac:dyDescent="0.6">
      <c r="C81" s="89"/>
      <c r="D81" s="89"/>
      <c r="E81" s="89"/>
      <c r="F81" s="89"/>
      <c r="G81" s="174"/>
      <c r="H81" s="178"/>
      <c r="J81" s="156"/>
      <c r="K81" s="156"/>
      <c r="L81" s="156"/>
      <c r="M81" s="156"/>
      <c r="N81" s="70"/>
      <c r="O81" s="70"/>
      <c r="P81" s="70"/>
    </row>
    <row r="82" spans="3:16" s="85" customFormat="1" x14ac:dyDescent="0.6">
      <c r="C82" s="89"/>
      <c r="D82" s="89"/>
      <c r="E82" s="89"/>
      <c r="F82" s="89"/>
      <c r="G82" s="174"/>
      <c r="H82" s="178"/>
      <c r="J82" s="156"/>
      <c r="K82" s="156"/>
      <c r="L82" s="156"/>
      <c r="M82" s="156"/>
      <c r="N82" s="70"/>
      <c r="O82" s="70"/>
      <c r="P82" s="70"/>
    </row>
    <row r="83" spans="3:16" s="85" customFormat="1" x14ac:dyDescent="0.6">
      <c r="C83" s="89"/>
      <c r="D83" s="89"/>
      <c r="E83" s="89"/>
      <c r="F83" s="89"/>
      <c r="G83" s="174"/>
      <c r="H83" s="178"/>
      <c r="J83" s="156"/>
      <c r="K83" s="156"/>
      <c r="L83" s="156"/>
      <c r="M83" s="156"/>
      <c r="N83" s="70"/>
      <c r="O83" s="70"/>
      <c r="P83" s="70"/>
    </row>
    <row r="84" spans="3:16" s="85" customFormat="1" x14ac:dyDescent="0.6">
      <c r="C84" s="89"/>
      <c r="D84" s="89"/>
      <c r="E84" s="89"/>
      <c r="F84" s="89"/>
      <c r="G84" s="174"/>
      <c r="H84" s="178"/>
      <c r="J84" s="156"/>
      <c r="K84" s="156"/>
      <c r="L84" s="156"/>
      <c r="M84" s="156"/>
      <c r="N84" s="70"/>
      <c r="O84" s="70"/>
      <c r="P84" s="70"/>
    </row>
    <row r="85" spans="3:16" s="85" customFormat="1" x14ac:dyDescent="0.6">
      <c r="C85" s="89"/>
      <c r="D85" s="89"/>
      <c r="E85" s="89"/>
      <c r="F85" s="89"/>
      <c r="G85" s="174"/>
      <c r="H85" s="178"/>
      <c r="J85" s="156"/>
      <c r="K85" s="156"/>
      <c r="L85" s="156"/>
      <c r="M85" s="156"/>
      <c r="N85" s="70"/>
      <c r="O85" s="70"/>
      <c r="P85" s="70"/>
    </row>
    <row r="86" spans="3:16" s="85" customFormat="1" x14ac:dyDescent="0.6">
      <c r="C86" s="89"/>
      <c r="D86" s="89"/>
      <c r="E86" s="89"/>
      <c r="F86" s="89"/>
      <c r="G86" s="174"/>
      <c r="H86" s="178"/>
      <c r="J86" s="156"/>
      <c r="K86" s="156"/>
      <c r="L86" s="156"/>
      <c r="M86" s="156"/>
      <c r="N86" s="70"/>
      <c r="O86" s="70"/>
      <c r="P86" s="70"/>
    </row>
  </sheetData>
  <sortState xmlns:xlrd2="http://schemas.microsoft.com/office/spreadsheetml/2017/richdata2" ref="B4:L54">
    <sortCondition ref="B4:B54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0.5" style="12" customWidth="1"/>
    <col min="7" max="7" width="10.84765625" style="7" bestFit="1" customWidth="1"/>
    <col min="8" max="8" width="11.09765625" style="1" bestFit="1" customWidth="1"/>
    <col min="9" max="9" width="11.09765625" style="10" bestFit="1" customWidth="1"/>
    <col min="10" max="10" width="12.5" style="5" bestFit="1" customWidth="1"/>
    <col min="11" max="11" width="13" style="10" bestFit="1" customWidth="1"/>
    <col min="12" max="12" width="9.5" style="28" customWidth="1"/>
    <col min="13" max="13" width="9.5" style="331" customWidth="1"/>
    <col min="14" max="15" width="10.34765625" style="10" customWidth="1"/>
    <col min="16" max="16" width="15" style="271" customWidth="1"/>
    <col min="17" max="17" width="9.5" style="271" customWidth="1"/>
    <col min="18" max="18" width="15.84765625" style="271" customWidth="1"/>
    <col min="19" max="19" width="9.5" style="10" customWidth="1"/>
    <col min="20" max="20" width="16" style="70" customWidth="1"/>
    <col min="21" max="21" width="19.59765625" style="57" customWidth="1"/>
    <col min="22" max="22" width="15" style="17" bestFit="1" customWidth="1"/>
    <col min="23" max="23" width="17.5" style="17" bestFit="1" customWidth="1"/>
    <col min="24" max="24" width="10.59765625" style="10" bestFit="1" customWidth="1"/>
    <col min="25" max="25" width="18.5" style="17" bestFit="1" customWidth="1"/>
    <col min="26" max="26" width="17.5" style="10" bestFit="1" customWidth="1"/>
    <col min="27" max="16384" width="10.84765625" style="1"/>
  </cols>
  <sheetData>
    <row r="1" spans="1:26" x14ac:dyDescent="0.6">
      <c r="A1" s="24" t="s">
        <v>97</v>
      </c>
      <c r="C1" s="19" t="s">
        <v>855</v>
      </c>
      <c r="E1" s="107"/>
      <c r="F1" s="1177"/>
      <c r="K1" s="54"/>
    </row>
    <row r="2" spans="1:26" s="2" customFormat="1" x14ac:dyDescent="0.6">
      <c r="A2" s="24" t="s">
        <v>196</v>
      </c>
      <c r="C2" s="14" t="s">
        <v>24</v>
      </c>
      <c r="D2" s="14"/>
      <c r="E2" s="56"/>
      <c r="F2" s="115" t="s">
        <v>25</v>
      </c>
      <c r="G2" s="8" t="s">
        <v>87</v>
      </c>
      <c r="H2" s="11" t="s">
        <v>638</v>
      </c>
      <c r="I2" s="11" t="s">
        <v>638</v>
      </c>
      <c r="J2" s="6" t="s">
        <v>627</v>
      </c>
      <c r="K2" s="11" t="s">
        <v>627</v>
      </c>
      <c r="L2" s="71" t="s">
        <v>194</v>
      </c>
      <c r="M2" s="332" t="s">
        <v>194</v>
      </c>
      <c r="N2" s="11" t="s">
        <v>194</v>
      </c>
      <c r="O2" s="11" t="s">
        <v>650</v>
      </c>
      <c r="P2" s="272" t="s">
        <v>397</v>
      </c>
      <c r="Q2" s="272" t="s">
        <v>881</v>
      </c>
      <c r="R2" s="272" t="s">
        <v>1749</v>
      </c>
      <c r="S2" s="11" t="s">
        <v>881</v>
      </c>
      <c r="T2" s="114"/>
      <c r="U2" s="58" t="s">
        <v>622</v>
      </c>
      <c r="V2" s="18" t="s">
        <v>42</v>
      </c>
      <c r="W2" s="18"/>
      <c r="X2" s="11" t="s">
        <v>645</v>
      </c>
      <c r="Y2" s="18"/>
      <c r="Z2" s="11"/>
    </row>
    <row r="3" spans="1:26" s="2" customFormat="1" x14ac:dyDescent="0.6">
      <c r="C3" s="14" t="s">
        <v>93</v>
      </c>
      <c r="D3" s="14" t="s">
        <v>25</v>
      </c>
      <c r="E3" s="56" t="s">
        <v>41</v>
      </c>
      <c r="F3" s="115" t="s">
        <v>1132</v>
      </c>
      <c r="G3" s="8" t="s">
        <v>22</v>
      </c>
      <c r="H3" s="11" t="s">
        <v>649</v>
      </c>
      <c r="I3" s="11" t="s">
        <v>639</v>
      </c>
      <c r="J3" s="6" t="s">
        <v>661</v>
      </c>
      <c r="K3" s="11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272" t="s">
        <v>79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707</v>
      </c>
      <c r="V3" s="18" t="s">
        <v>77</v>
      </c>
      <c r="W3" s="18" t="s">
        <v>34</v>
      </c>
      <c r="X3" s="11" t="s">
        <v>639</v>
      </c>
      <c r="Y3" s="18" t="s">
        <v>642</v>
      </c>
      <c r="Z3" s="11"/>
    </row>
    <row r="4" spans="1:26" x14ac:dyDescent="0.6">
      <c r="A4" s="61">
        <v>1</v>
      </c>
      <c r="B4" s="44" t="s">
        <v>37</v>
      </c>
      <c r="C4" s="290">
        <v>4874</v>
      </c>
      <c r="D4" s="345">
        <f>C4*Assumptions!$C$30</f>
        <v>2374612800</v>
      </c>
      <c r="E4" s="399">
        <v>1</v>
      </c>
      <c r="F4" s="1178"/>
      <c r="G4" s="297">
        <f>Assumptions!$C$115</f>
        <v>3.7854100000000002</v>
      </c>
      <c r="H4" s="389"/>
      <c r="I4" s="301">
        <f>'State LPG - Comm'!Q64</f>
        <v>2.3854687142857154</v>
      </c>
      <c r="J4" s="87"/>
      <c r="K4" s="306"/>
      <c r="L4" s="329"/>
      <c r="M4" s="329">
        <f>L4*I4</f>
        <v>0</v>
      </c>
      <c r="N4" s="329">
        <f>M4*J4</f>
        <v>0</v>
      </c>
      <c r="O4" s="313"/>
      <c r="P4" s="314">
        <f>'State LPG - Comm'!Q61*D4</f>
        <v>361989872.09033388</v>
      </c>
      <c r="Q4" s="1053">
        <f>'State LPG - Comm'!Q60</f>
        <v>0.15244164104999935</v>
      </c>
      <c r="R4" s="1047">
        <f>Q4*D4</f>
        <v>361989872.09033388</v>
      </c>
      <c r="S4" s="310">
        <f>'State LPG - Comm'!Q62</f>
        <v>0</v>
      </c>
      <c r="T4" s="366">
        <f>S4*D4</f>
        <v>0</v>
      </c>
      <c r="U4" s="336">
        <f>-'OECD LPG subsidies'!E2</f>
        <v>0</v>
      </c>
      <c r="V4" s="342">
        <f>U4*E4</f>
        <v>0</v>
      </c>
      <c r="W4" s="111">
        <f>T4+V4</f>
        <v>0</v>
      </c>
      <c r="X4" s="320">
        <f>'State LPG - Comm'!Q65</f>
        <v>2.5379103553357147</v>
      </c>
      <c r="Y4" s="342">
        <f>X4*D4+V4</f>
        <v>6026554415.0327368</v>
      </c>
    </row>
    <row r="5" spans="1:26" s="2" customFormat="1" x14ac:dyDescent="0.6">
      <c r="A5" s="40" t="s">
        <v>640</v>
      </c>
      <c r="B5" s="40"/>
      <c r="C5" s="356"/>
      <c r="D5" s="346"/>
      <c r="E5" s="418"/>
      <c r="F5" s="966"/>
      <c r="G5" s="298"/>
      <c r="H5" s="385"/>
      <c r="I5" s="302"/>
      <c r="J5" s="426"/>
      <c r="K5" s="307"/>
      <c r="L5" s="358"/>
      <c r="M5" s="333"/>
      <c r="N5" s="316"/>
      <c r="O5" s="316"/>
      <c r="P5" s="317"/>
      <c r="Q5" s="1051"/>
      <c r="R5" s="1052"/>
      <c r="S5" s="311"/>
      <c r="T5" s="367"/>
      <c r="U5" s="338"/>
      <c r="V5" s="343"/>
      <c r="W5" s="165"/>
      <c r="X5" s="316"/>
      <c r="Y5" s="343"/>
      <c r="Z5" s="11"/>
    </row>
    <row r="6" spans="1:26" x14ac:dyDescent="0.6">
      <c r="A6" s="46">
        <f>A4+1</f>
        <v>2</v>
      </c>
      <c r="B6" s="44" t="s">
        <v>0</v>
      </c>
      <c r="C6" s="290">
        <v>44</v>
      </c>
      <c r="D6" s="345">
        <f>C6*Assumptions!$C$30</f>
        <v>21436800</v>
      </c>
      <c r="E6" s="391">
        <f>Assumptions!$H$3</f>
        <v>1.1863330000000001</v>
      </c>
      <c r="F6" s="1178">
        <f>Assumptions!C29</f>
        <v>487.2</v>
      </c>
      <c r="G6" s="297">
        <f>Assumptions!$C$115</f>
        <v>3.7854100000000002</v>
      </c>
      <c r="H6" s="422"/>
      <c r="I6" s="301">
        <f>'LPG Res'!I6</f>
        <v>1.8397279077416202</v>
      </c>
      <c r="J6" s="427">
        <v>44.3996</v>
      </c>
      <c r="K6" s="286">
        <f>J6/F6*E6</f>
        <v>0.10811311713218391</v>
      </c>
      <c r="L6" s="322">
        <v>0.21</v>
      </c>
      <c r="M6" s="329">
        <f t="shared" ref="M6:M26" si="0">L6*I6</f>
        <v>0.38634286062574025</v>
      </c>
      <c r="N6" s="281">
        <f t="shared" ref="N6:N26" si="1">L6*K6</f>
        <v>2.270375459775862E-2</v>
      </c>
      <c r="O6" s="281">
        <f t="shared" ref="O6:O26" si="2">N6+M6</f>
        <v>0.40904661522349889</v>
      </c>
      <c r="P6" s="314">
        <f t="shared" ref="P6:P26" si="3">M6*D6</f>
        <v>8281954.6346618682</v>
      </c>
      <c r="Q6" s="1053">
        <f t="shared" ref="Q6:Q39" si="4">K6+O6</f>
        <v>0.5171597323556828</v>
      </c>
      <c r="R6" s="1047">
        <f t="shared" ref="R6:R39" si="5">Q6*D6</f>
        <v>11086249.750562301</v>
      </c>
      <c r="S6" s="268">
        <f t="shared" ref="S6:S26" si="6">N6+K6</f>
        <v>0.13081687172994252</v>
      </c>
      <c r="T6" s="366">
        <f t="shared" ref="T6:T26" si="7">D6*S6</f>
        <v>2804295.1159004318</v>
      </c>
      <c r="U6" s="336">
        <f>-'OECD LPG subsidies'!E11</f>
        <v>-1412000</v>
      </c>
      <c r="V6" s="342">
        <f t="shared" ref="V6:V26" si="8">U6*E6</f>
        <v>-1675102.1960000002</v>
      </c>
      <c r="W6" s="111">
        <f t="shared" ref="W6:W26" si="9">T6+V6</f>
        <v>1129192.9199004315</v>
      </c>
      <c r="X6" s="281">
        <f t="shared" ref="X6:X26" si="10">(I6+K6)*(1+L6)</f>
        <v>2.3568876400973027</v>
      </c>
      <c r="Y6" s="342">
        <f t="shared" ref="Y6:Y26" si="11">X6*D6+V6</f>
        <v>48849026.767237857</v>
      </c>
    </row>
    <row r="7" spans="1:26" x14ac:dyDescent="0.6">
      <c r="A7" s="46">
        <f t="shared" ref="A7:A26" si="12">A6+1</f>
        <v>3</v>
      </c>
      <c r="B7" s="44" t="s">
        <v>1</v>
      </c>
      <c r="C7" s="290">
        <v>6</v>
      </c>
      <c r="D7" s="345">
        <f>C7*Assumptions!$C$30</f>
        <v>2923200</v>
      </c>
      <c r="E7" s="391">
        <f>Assumptions!$H$15</f>
        <v>4.5997000000000003E-2</v>
      </c>
      <c r="F7" s="1178">
        <f>F6</f>
        <v>487.2</v>
      </c>
      <c r="G7" s="297">
        <f>Assumptions!$C$115</f>
        <v>3.7854100000000002</v>
      </c>
      <c r="H7" s="386"/>
      <c r="I7" s="301">
        <f>'LPG Res'!I7</f>
        <v>1.9180456861166002</v>
      </c>
      <c r="J7" s="428">
        <v>1290</v>
      </c>
      <c r="K7" s="286">
        <f>J7/F7*E7</f>
        <v>0.12179008620689656</v>
      </c>
      <c r="L7" s="322">
        <v>0.21</v>
      </c>
      <c r="M7" s="329">
        <f t="shared" si="0"/>
        <v>0.402789594084486</v>
      </c>
      <c r="N7" s="281">
        <f t="shared" si="1"/>
        <v>2.5575918103448277E-2</v>
      </c>
      <c r="O7" s="281">
        <f t="shared" si="2"/>
        <v>0.42836551218793428</v>
      </c>
      <c r="P7" s="314">
        <f t="shared" si="3"/>
        <v>1177434.5414277695</v>
      </c>
      <c r="Q7" s="1053">
        <f t="shared" si="4"/>
        <v>0.55015559839483086</v>
      </c>
      <c r="R7" s="1047">
        <f t="shared" si="5"/>
        <v>1608214.8452277696</v>
      </c>
      <c r="S7" s="268">
        <f t="shared" si="6"/>
        <v>0.14736600431034483</v>
      </c>
      <c r="T7" s="366">
        <f t="shared" si="7"/>
        <v>430780.30379999999</v>
      </c>
      <c r="U7" s="336">
        <f>-'OECD LPG subsidies'!E16</f>
        <v>0</v>
      </c>
      <c r="V7" s="342">
        <f t="shared" si="8"/>
        <v>0</v>
      </c>
      <c r="W7" s="111">
        <f t="shared" si="9"/>
        <v>430780.30379999999</v>
      </c>
      <c r="X7" s="281">
        <f t="shared" si="10"/>
        <v>2.4682012845114309</v>
      </c>
      <c r="Y7" s="342">
        <f t="shared" si="11"/>
        <v>7215045.9948838148</v>
      </c>
    </row>
    <row r="8" spans="1:26" x14ac:dyDescent="0.6">
      <c r="A8" s="46">
        <f t="shared" si="12"/>
        <v>4</v>
      </c>
      <c r="B8" s="44" t="s">
        <v>2</v>
      </c>
      <c r="C8" s="290">
        <v>8</v>
      </c>
      <c r="D8" s="345">
        <f>C8*Assumptions!$C$30</f>
        <v>3897600</v>
      </c>
      <c r="E8" s="391">
        <f>Assumptions!$H$16</f>
        <v>0.15934999999999999</v>
      </c>
      <c r="F8" s="1178">
        <f t="shared" ref="F8:F26" si="13">F7</f>
        <v>487.2</v>
      </c>
      <c r="G8" s="297">
        <f>Assumptions!$C$115</f>
        <v>3.7854100000000002</v>
      </c>
      <c r="H8" s="423"/>
      <c r="I8" s="1077">
        <f>'LPG Res'!I8</f>
        <v>2.25</v>
      </c>
      <c r="J8" s="437">
        <v>715</v>
      </c>
      <c r="K8" s="286">
        <f t="shared" ref="K8:K26" si="14">J8/F8*E8</f>
        <v>0.23385724548440068</v>
      </c>
      <c r="L8" s="322">
        <v>0.25</v>
      </c>
      <c r="M8" s="329">
        <f t="shared" si="0"/>
        <v>0.5625</v>
      </c>
      <c r="N8" s="281">
        <f t="shared" si="1"/>
        <v>5.8464311371100169E-2</v>
      </c>
      <c r="O8" s="281">
        <f t="shared" si="2"/>
        <v>0.6209643113711002</v>
      </c>
      <c r="P8" s="314">
        <f t="shared" si="3"/>
        <v>2192400</v>
      </c>
      <c r="Q8" s="1053">
        <f t="shared" si="4"/>
        <v>0.85482155685550087</v>
      </c>
      <c r="R8" s="1047">
        <f t="shared" si="5"/>
        <v>3331752.5</v>
      </c>
      <c r="S8" s="268">
        <f t="shared" si="6"/>
        <v>0.29232155685550087</v>
      </c>
      <c r="T8" s="366">
        <f t="shared" si="7"/>
        <v>1139352.5000000002</v>
      </c>
      <c r="U8" s="336">
        <f>-'OECD LPG subsidies'!E18</f>
        <v>0</v>
      </c>
      <c r="V8" s="342">
        <f t="shared" si="8"/>
        <v>0</v>
      </c>
      <c r="W8" s="111">
        <f t="shared" si="9"/>
        <v>1139352.5000000002</v>
      </c>
      <c r="X8" s="281">
        <f t="shared" si="10"/>
        <v>3.1048215568555011</v>
      </c>
      <c r="Y8" s="342">
        <f t="shared" si="11"/>
        <v>12101352.500000002</v>
      </c>
    </row>
    <row r="9" spans="1:26" x14ac:dyDescent="0.6">
      <c r="A9" s="46">
        <f t="shared" si="12"/>
        <v>5</v>
      </c>
      <c r="B9" s="44" t="s">
        <v>3</v>
      </c>
      <c r="C9" s="290">
        <v>309</v>
      </c>
      <c r="D9" s="345">
        <f>C9*Assumptions!$C$30</f>
        <v>150544800</v>
      </c>
      <c r="E9" s="391">
        <f>Assumptions!$H$3</f>
        <v>1.1863330000000001</v>
      </c>
      <c r="F9" s="1178">
        <f t="shared" si="13"/>
        <v>487.2</v>
      </c>
      <c r="G9" s="297">
        <f>Assumptions!$C$115</f>
        <v>3.7854100000000002</v>
      </c>
      <c r="H9" s="422"/>
      <c r="I9" s="301">
        <f>'LPG Res'!I9</f>
        <v>1.9250522869706903</v>
      </c>
      <c r="J9" s="434">
        <v>180.32</v>
      </c>
      <c r="K9" s="286">
        <f t="shared" si="14"/>
        <v>0.43907957011494253</v>
      </c>
      <c r="L9" s="322">
        <v>0.19</v>
      </c>
      <c r="M9" s="329">
        <f t="shared" si="0"/>
        <v>0.36575993452443117</v>
      </c>
      <c r="N9" s="281">
        <f t="shared" si="1"/>
        <v>8.3425118321839076E-2</v>
      </c>
      <c r="O9" s="281">
        <f t="shared" si="2"/>
        <v>0.44918505284627025</v>
      </c>
      <c r="P9" s="314">
        <f t="shared" si="3"/>
        <v>55063256.190993585</v>
      </c>
      <c r="Q9" s="1053">
        <f t="shared" si="4"/>
        <v>0.88826462296121278</v>
      </c>
      <c r="R9" s="1047">
        <f t="shared" si="5"/>
        <v>133723620.01077119</v>
      </c>
      <c r="S9" s="268">
        <f t="shared" si="6"/>
        <v>0.52250468843678166</v>
      </c>
      <c r="T9" s="366">
        <f t="shared" si="7"/>
        <v>78660363.819777608</v>
      </c>
      <c r="U9" s="336">
        <f>-'OECD LPG subsidies'!E20</f>
        <v>0</v>
      </c>
      <c r="V9" s="342">
        <f t="shared" si="8"/>
        <v>0</v>
      </c>
      <c r="W9" s="111">
        <f t="shared" si="9"/>
        <v>78660363.819777608</v>
      </c>
      <c r="X9" s="281">
        <f t="shared" si="10"/>
        <v>2.8133169099319026</v>
      </c>
      <c r="Y9" s="342">
        <f t="shared" si="11"/>
        <v>423530231.54231632</v>
      </c>
    </row>
    <row r="10" spans="1:26" x14ac:dyDescent="0.6">
      <c r="A10" s="46">
        <f t="shared" si="12"/>
        <v>6</v>
      </c>
      <c r="B10" s="44" t="s">
        <v>4</v>
      </c>
      <c r="C10" s="290">
        <v>1</v>
      </c>
      <c r="D10" s="345">
        <f>C10*Assumptions!$C$30</f>
        <v>487200</v>
      </c>
      <c r="E10" s="391">
        <f>Assumptions!$H$3</f>
        <v>1.1863330000000001</v>
      </c>
      <c r="F10" s="1178">
        <f t="shared" si="13"/>
        <v>487.2</v>
      </c>
      <c r="G10" s="297">
        <f>Assumptions!$C$115</f>
        <v>3.7854100000000002</v>
      </c>
      <c r="H10" s="422"/>
      <c r="I10" s="301">
        <f>'LPG Res'!I10</f>
        <v>1.9475060709783401</v>
      </c>
      <c r="J10" s="434">
        <v>125.26</v>
      </c>
      <c r="K10" s="286">
        <f t="shared" si="14"/>
        <v>0.30500835710180624</v>
      </c>
      <c r="L10" s="322">
        <v>0.2</v>
      </c>
      <c r="M10" s="329">
        <f t="shared" si="0"/>
        <v>0.38950121419566802</v>
      </c>
      <c r="N10" s="281">
        <f t="shared" si="1"/>
        <v>6.1001671420361253E-2</v>
      </c>
      <c r="O10" s="281">
        <f t="shared" si="2"/>
        <v>0.45050288561602925</v>
      </c>
      <c r="P10" s="314">
        <f t="shared" si="3"/>
        <v>189764.99155612945</v>
      </c>
      <c r="Q10" s="1053">
        <f t="shared" si="4"/>
        <v>0.75551124271783543</v>
      </c>
      <c r="R10" s="1047">
        <f t="shared" si="5"/>
        <v>368085.07745212939</v>
      </c>
      <c r="S10" s="268">
        <f t="shared" si="6"/>
        <v>0.36601002852216746</v>
      </c>
      <c r="T10" s="366">
        <f t="shared" si="7"/>
        <v>178320.08589599998</v>
      </c>
      <c r="U10" s="336">
        <f>-'OECD LPG subsidies'!E26</f>
        <v>0</v>
      </c>
      <c r="V10" s="342">
        <f t="shared" si="8"/>
        <v>0</v>
      </c>
      <c r="W10" s="111">
        <f t="shared" si="9"/>
        <v>178320.08589599998</v>
      </c>
      <c r="X10" s="281">
        <f t="shared" si="10"/>
        <v>2.7030173136961753</v>
      </c>
      <c r="Y10" s="342">
        <f t="shared" si="11"/>
        <v>1316910.0352327765</v>
      </c>
    </row>
    <row r="11" spans="1:26" x14ac:dyDescent="0.6">
      <c r="A11" s="46">
        <f t="shared" si="12"/>
        <v>7</v>
      </c>
      <c r="B11" s="44" t="s">
        <v>5</v>
      </c>
      <c r="C11" s="290">
        <v>43</v>
      </c>
      <c r="D11" s="345">
        <f>C11*Assumptions!$C$30</f>
        <v>20949600</v>
      </c>
      <c r="E11" s="391">
        <f>Assumptions!$H$3</f>
        <v>1.1863330000000001</v>
      </c>
      <c r="F11" s="1178">
        <f t="shared" si="13"/>
        <v>487.2</v>
      </c>
      <c r="G11" s="297">
        <f>Assumptions!$C$115</f>
        <v>3.7854100000000002</v>
      </c>
      <c r="H11" s="422"/>
      <c r="I11" s="1077">
        <f>'LPG Res'!I11</f>
        <v>2.25</v>
      </c>
      <c r="J11" s="434">
        <v>120</v>
      </c>
      <c r="K11" s="286">
        <f t="shared" si="14"/>
        <v>0.29220024630541874</v>
      </c>
      <c r="L11" s="322">
        <v>0.23</v>
      </c>
      <c r="M11" s="329">
        <f t="shared" si="0"/>
        <v>0.51750000000000007</v>
      </c>
      <c r="N11" s="281">
        <f t="shared" si="1"/>
        <v>6.7206056650246315E-2</v>
      </c>
      <c r="O11" s="281">
        <f t="shared" si="2"/>
        <v>0.58470605665024644</v>
      </c>
      <c r="P11" s="314">
        <f t="shared" si="3"/>
        <v>10841418.000000002</v>
      </c>
      <c r="Q11" s="1053">
        <f t="shared" si="4"/>
        <v>0.87690630295566518</v>
      </c>
      <c r="R11" s="1047">
        <f t="shared" si="5"/>
        <v>18370836.284400005</v>
      </c>
      <c r="S11" s="268">
        <f t="shared" si="6"/>
        <v>0.35940630295566506</v>
      </c>
      <c r="T11" s="366">
        <f t="shared" si="7"/>
        <v>7529418.2844000002</v>
      </c>
      <c r="U11" s="336">
        <f>-'OECD LPG subsidies'!E28</f>
        <v>-2220242</v>
      </c>
      <c r="V11" s="342">
        <f t="shared" si="8"/>
        <v>-2633946.3525860002</v>
      </c>
      <c r="W11" s="111">
        <f t="shared" si="9"/>
        <v>4895471.931814</v>
      </c>
      <c r="X11" s="281">
        <f t="shared" si="10"/>
        <v>3.1269063029556654</v>
      </c>
      <c r="Y11" s="342">
        <f t="shared" si="11"/>
        <v>62873489.931814007</v>
      </c>
    </row>
    <row r="12" spans="1:26" x14ac:dyDescent="0.6">
      <c r="A12" s="46">
        <f t="shared" si="12"/>
        <v>8</v>
      </c>
      <c r="B12" s="44" t="s">
        <v>6</v>
      </c>
      <c r="C12" s="290">
        <v>165</v>
      </c>
      <c r="D12" s="345">
        <f>C12*Assumptions!$C$30</f>
        <v>80388000</v>
      </c>
      <c r="E12" s="391">
        <f>Assumptions!$H$3</f>
        <v>1.1863330000000001</v>
      </c>
      <c r="F12" s="1178">
        <f t="shared" si="13"/>
        <v>487.2</v>
      </c>
      <c r="G12" s="297">
        <f>Assumptions!$C$115</f>
        <v>3.7854100000000002</v>
      </c>
      <c r="H12" s="422"/>
      <c r="I12" s="301">
        <f>'LPG Res'!I12</f>
        <v>2.3157481287038002</v>
      </c>
      <c r="J12" s="434">
        <v>57.47</v>
      </c>
      <c r="K12" s="286">
        <f t="shared" si="14"/>
        <v>0.13993956795977014</v>
      </c>
      <c r="L12" s="322">
        <v>0.21</v>
      </c>
      <c r="M12" s="329">
        <f t="shared" si="0"/>
        <v>0.486307107027798</v>
      </c>
      <c r="N12" s="281">
        <f t="shared" si="1"/>
        <v>2.9387309271551729E-2</v>
      </c>
      <c r="O12" s="281">
        <f t="shared" si="2"/>
        <v>0.51569441629934976</v>
      </c>
      <c r="P12" s="314">
        <f t="shared" si="3"/>
        <v>39093255.719750628</v>
      </c>
      <c r="Q12" s="1053">
        <f t="shared" si="4"/>
        <v>0.6556339842591199</v>
      </c>
      <c r="R12" s="1047">
        <f t="shared" si="5"/>
        <v>52705104.726622127</v>
      </c>
      <c r="S12" s="268">
        <f t="shared" si="6"/>
        <v>0.16932687723132187</v>
      </c>
      <c r="T12" s="366">
        <f t="shared" si="7"/>
        <v>13611849.006871503</v>
      </c>
      <c r="U12" s="336">
        <f>-'OECD LPG subsidies'!E30</f>
        <v>0</v>
      </c>
      <c r="V12" s="342">
        <f t="shared" si="8"/>
        <v>0</v>
      </c>
      <c r="W12" s="111">
        <f t="shared" si="9"/>
        <v>13611849.006871503</v>
      </c>
      <c r="X12" s="281">
        <f t="shared" si="10"/>
        <v>2.9713821129629201</v>
      </c>
      <c r="Y12" s="342">
        <f t="shared" si="11"/>
        <v>238863465.29686323</v>
      </c>
    </row>
    <row r="13" spans="1:26" x14ac:dyDescent="0.6">
      <c r="A13" s="46">
        <f t="shared" si="12"/>
        <v>9</v>
      </c>
      <c r="B13" s="44" t="s">
        <v>7</v>
      </c>
      <c r="C13" s="290">
        <v>322</v>
      </c>
      <c r="D13" s="345">
        <f>C13*Assumptions!$C$30</f>
        <v>156878400</v>
      </c>
      <c r="E13" s="391">
        <f>Assumptions!$H$3</f>
        <v>1.1863330000000001</v>
      </c>
      <c r="F13" s="1178">
        <f t="shared" si="13"/>
        <v>487.2</v>
      </c>
      <c r="G13" s="297">
        <f>Assumptions!$C$115</f>
        <v>3.7854100000000002</v>
      </c>
      <c r="H13" s="422"/>
      <c r="I13" s="301">
        <f>'LPG Res'!I13</f>
        <v>2.7333885112460905</v>
      </c>
      <c r="J13" s="434">
        <v>69.2</v>
      </c>
      <c r="K13" s="286">
        <f t="shared" si="14"/>
        <v>0.16850214203612482</v>
      </c>
      <c r="L13" s="322">
        <v>0.2</v>
      </c>
      <c r="M13" s="329">
        <f t="shared" si="0"/>
        <v>0.54667770224921808</v>
      </c>
      <c r="N13" s="281">
        <f t="shared" si="1"/>
        <v>3.3700428407224967E-2</v>
      </c>
      <c r="O13" s="281">
        <f t="shared" si="2"/>
        <v>0.58037813065644306</v>
      </c>
      <c r="P13" s="314">
        <f t="shared" si="3"/>
        <v>85761923.244533733</v>
      </c>
      <c r="Q13" s="1053">
        <f t="shared" si="4"/>
        <v>0.74888027269256785</v>
      </c>
      <c r="R13" s="1047">
        <f t="shared" si="5"/>
        <v>117483138.97157374</v>
      </c>
      <c r="S13" s="268">
        <f t="shared" si="6"/>
        <v>0.20220257044334977</v>
      </c>
      <c r="T13" s="366">
        <f t="shared" si="7"/>
        <v>31721215.727040004</v>
      </c>
      <c r="U13" s="336">
        <f>-'OECD LPG subsidies'!E32</f>
        <v>0</v>
      </c>
      <c r="V13" s="342">
        <f t="shared" si="8"/>
        <v>0</v>
      </c>
      <c r="W13" s="111">
        <f t="shared" si="9"/>
        <v>31721215.727040004</v>
      </c>
      <c r="X13" s="281">
        <f t="shared" si="10"/>
        <v>3.4822687839386584</v>
      </c>
      <c r="Y13" s="342">
        <f t="shared" si="11"/>
        <v>546292755.19424248</v>
      </c>
    </row>
    <row r="14" spans="1:26" x14ac:dyDescent="0.6">
      <c r="A14" s="46">
        <f t="shared" si="12"/>
        <v>10</v>
      </c>
      <c r="B14" s="44" t="s">
        <v>8</v>
      </c>
      <c r="C14" s="290">
        <v>10</v>
      </c>
      <c r="D14" s="345">
        <f>C14*Assumptions!$C$30</f>
        <v>4872000</v>
      </c>
      <c r="E14" s="391">
        <f>Assumptions!$H$3</f>
        <v>1.1863330000000001</v>
      </c>
      <c r="F14" s="1178">
        <f t="shared" si="13"/>
        <v>487.2</v>
      </c>
      <c r="G14" s="297">
        <f>Assumptions!$C$115</f>
        <v>3.7854100000000002</v>
      </c>
      <c r="H14" s="422"/>
      <c r="I14" s="1077">
        <f>'LPG Res'!I14</f>
        <v>2.25</v>
      </c>
      <c r="J14" s="434">
        <v>60.07</v>
      </c>
      <c r="K14" s="286">
        <f t="shared" si="14"/>
        <v>0.14627057329638754</v>
      </c>
      <c r="L14" s="322">
        <v>0.23</v>
      </c>
      <c r="M14" s="329">
        <f t="shared" si="0"/>
        <v>0.51750000000000007</v>
      </c>
      <c r="N14" s="281">
        <f t="shared" si="1"/>
        <v>3.3642231858169135E-2</v>
      </c>
      <c r="O14" s="281">
        <f t="shared" si="2"/>
        <v>0.55114223185816924</v>
      </c>
      <c r="P14" s="314">
        <f t="shared" si="3"/>
        <v>2521260.0000000005</v>
      </c>
      <c r="Q14" s="1053">
        <f t="shared" si="4"/>
        <v>0.69741280515455673</v>
      </c>
      <c r="R14" s="1047">
        <f t="shared" si="5"/>
        <v>3397795.1867130003</v>
      </c>
      <c r="S14" s="268">
        <f t="shared" si="6"/>
        <v>0.17991280515455668</v>
      </c>
      <c r="T14" s="366">
        <f t="shared" si="7"/>
        <v>876535.18671300018</v>
      </c>
      <c r="U14" s="336">
        <f>'OECD LPG subsidies'!E40</f>
        <v>0</v>
      </c>
      <c r="V14" s="342">
        <f t="shared" si="8"/>
        <v>0</v>
      </c>
      <c r="W14" s="111">
        <f t="shared" si="9"/>
        <v>876535.18671300018</v>
      </c>
      <c r="X14" s="281">
        <f t="shared" si="10"/>
        <v>2.9474128051545567</v>
      </c>
      <c r="Y14" s="342">
        <f t="shared" si="11"/>
        <v>14359795.186713001</v>
      </c>
    </row>
    <row r="15" spans="1:26" x14ac:dyDescent="0.6">
      <c r="A15" s="46">
        <f t="shared" si="12"/>
        <v>11</v>
      </c>
      <c r="B15" s="44" t="s">
        <v>9</v>
      </c>
      <c r="C15" s="290">
        <v>374</v>
      </c>
      <c r="D15" s="345">
        <f>C15*Assumptions!$C$30</f>
        <v>182212800</v>
      </c>
      <c r="E15" s="391">
        <f>Assumptions!$H$3</f>
        <v>1.1863330000000001</v>
      </c>
      <c r="F15" s="1178">
        <f t="shared" si="13"/>
        <v>487.2</v>
      </c>
      <c r="G15" s="297">
        <f>Assumptions!$C$115</f>
        <v>3.7854100000000002</v>
      </c>
      <c r="H15" s="422"/>
      <c r="I15" s="301">
        <f>'LPG Res'!I15</f>
        <v>1.7813480693217303</v>
      </c>
      <c r="J15" s="434">
        <v>80.33</v>
      </c>
      <c r="K15" s="286">
        <f t="shared" si="14"/>
        <v>0.19560371488095238</v>
      </c>
      <c r="L15" s="322">
        <v>0.22</v>
      </c>
      <c r="M15" s="329">
        <f t="shared" si="0"/>
        <v>0.39189657525078064</v>
      </c>
      <c r="N15" s="281">
        <f t="shared" si="1"/>
        <v>4.3032817273809525E-2</v>
      </c>
      <c r="O15" s="281">
        <f t="shared" si="2"/>
        <v>0.43492939252459017</v>
      </c>
      <c r="P15" s="314">
        <f t="shared" si="3"/>
        <v>71408572.286855444</v>
      </c>
      <c r="Q15" s="1053">
        <f t="shared" si="4"/>
        <v>0.63053310740554258</v>
      </c>
      <c r="R15" s="1047">
        <f t="shared" si="5"/>
        <v>114891202.99306464</v>
      </c>
      <c r="S15" s="268">
        <f t="shared" si="6"/>
        <v>0.23863653215476191</v>
      </c>
      <c r="T15" s="366">
        <f t="shared" si="7"/>
        <v>43482630.706209198</v>
      </c>
      <c r="U15" s="336">
        <f>-'OECD LPG subsidies'!E46</f>
        <v>0</v>
      </c>
      <c r="V15" s="342">
        <f t="shared" si="8"/>
        <v>0</v>
      </c>
      <c r="W15" s="111">
        <f t="shared" si="9"/>
        <v>43482630.706209198</v>
      </c>
      <c r="X15" s="281">
        <f t="shared" si="10"/>
        <v>2.411881176727273</v>
      </c>
      <c r="Y15" s="342">
        <f t="shared" si="11"/>
        <v>439475622.47877127</v>
      </c>
    </row>
    <row r="16" spans="1:26" x14ac:dyDescent="0.6">
      <c r="A16" s="46">
        <f t="shared" si="12"/>
        <v>12</v>
      </c>
      <c r="B16" s="44" t="s">
        <v>10</v>
      </c>
      <c r="C16" s="290">
        <v>7</v>
      </c>
      <c r="D16" s="345">
        <f>C16*Assumptions!$C$30</f>
        <v>3410400</v>
      </c>
      <c r="E16" s="391">
        <f>Assumptions!$H$3</f>
        <v>1.1863330000000001</v>
      </c>
      <c r="F16" s="1178">
        <f t="shared" si="13"/>
        <v>487.2</v>
      </c>
      <c r="G16" s="297">
        <f>Assumptions!$C$115</f>
        <v>3.7854100000000002</v>
      </c>
      <c r="H16" s="422"/>
      <c r="I16" s="301">
        <f>'LPG Res'!I16</f>
        <v>1.7858388261232603</v>
      </c>
      <c r="J16" s="434">
        <v>37.183999999999997</v>
      </c>
      <c r="K16" s="286">
        <f t="shared" si="14"/>
        <v>9.0543116321839076E-2</v>
      </c>
      <c r="L16" s="322">
        <v>0.17</v>
      </c>
      <c r="M16" s="329">
        <f t="shared" si="0"/>
        <v>0.30359260044095426</v>
      </c>
      <c r="N16" s="281">
        <f t="shared" si="1"/>
        <v>1.5392329774712644E-2</v>
      </c>
      <c r="O16" s="281">
        <f t="shared" si="2"/>
        <v>0.31898493021566693</v>
      </c>
      <c r="P16" s="314">
        <f t="shared" si="3"/>
        <v>1035372.2045438305</v>
      </c>
      <c r="Q16" s="1053">
        <f t="shared" si="4"/>
        <v>0.40952804653750602</v>
      </c>
      <c r="R16" s="1047">
        <f t="shared" si="5"/>
        <v>1396654.4499115106</v>
      </c>
      <c r="S16" s="268">
        <f t="shared" si="6"/>
        <v>0.10593544609655173</v>
      </c>
      <c r="T16" s="366">
        <f t="shared" si="7"/>
        <v>361282.24536768004</v>
      </c>
      <c r="U16" s="336">
        <f>-'OECD LPG subsidies'!E57</f>
        <v>0</v>
      </c>
      <c r="V16" s="342">
        <f t="shared" si="8"/>
        <v>0</v>
      </c>
      <c r="W16" s="111">
        <f t="shared" si="9"/>
        <v>361282.24536768004</v>
      </c>
      <c r="X16" s="281">
        <f t="shared" si="10"/>
        <v>2.1953668726607662</v>
      </c>
      <c r="Y16" s="342">
        <f t="shared" si="11"/>
        <v>7487079.1825222773</v>
      </c>
    </row>
    <row r="17" spans="1:26" x14ac:dyDescent="0.6">
      <c r="A17" s="46">
        <f t="shared" si="12"/>
        <v>13</v>
      </c>
      <c r="B17" s="44" t="s">
        <v>11</v>
      </c>
      <c r="C17" s="290">
        <v>14</v>
      </c>
      <c r="D17" s="345">
        <f>C17*Assumptions!$C$30</f>
        <v>6820800</v>
      </c>
      <c r="E17" s="391">
        <f>Assumptions!$H$17</f>
        <v>3.8049999999999998E-3</v>
      </c>
      <c r="F17" s="1178">
        <f t="shared" si="13"/>
        <v>487.2</v>
      </c>
      <c r="G17" s="297">
        <f>Assumptions!$C$115</f>
        <v>3.7854100000000002</v>
      </c>
      <c r="H17" s="459"/>
      <c r="I17" s="301">
        <f>'LPG Res'!I17</f>
        <v>2.2214049987935001</v>
      </c>
      <c r="J17" s="430">
        <v>12725</v>
      </c>
      <c r="K17" s="286">
        <f t="shared" si="14"/>
        <v>9.9381414203612475E-2</v>
      </c>
      <c r="L17" s="322">
        <v>0.27</v>
      </c>
      <c r="M17" s="329">
        <f t="shared" si="0"/>
        <v>0.59977934967424507</v>
      </c>
      <c r="N17" s="281">
        <f t="shared" si="1"/>
        <v>2.6832981834975369E-2</v>
      </c>
      <c r="O17" s="281">
        <f t="shared" si="2"/>
        <v>0.62661233150922047</v>
      </c>
      <c r="P17" s="314">
        <f t="shared" si="3"/>
        <v>4090974.9882580908</v>
      </c>
      <c r="Q17" s="1053">
        <f t="shared" si="4"/>
        <v>0.72599374571283293</v>
      </c>
      <c r="R17" s="1047">
        <f t="shared" si="5"/>
        <v>4951858.1407580907</v>
      </c>
      <c r="S17" s="268">
        <f t="shared" si="6"/>
        <v>0.12621439603858783</v>
      </c>
      <c r="T17" s="366">
        <f t="shared" si="7"/>
        <v>860883.15249999985</v>
      </c>
      <c r="U17" s="336">
        <f>-'OECD LPG subsidies'!E60</f>
        <v>0</v>
      </c>
      <c r="V17" s="342">
        <f t="shared" si="8"/>
        <v>0</v>
      </c>
      <c r="W17" s="111">
        <f t="shared" si="9"/>
        <v>860883.15249999985</v>
      </c>
      <c r="X17" s="281">
        <f t="shared" si="10"/>
        <v>2.9473987445063328</v>
      </c>
      <c r="Y17" s="342">
        <f t="shared" si="11"/>
        <v>20103617.356528796</v>
      </c>
      <c r="Z17" s="1"/>
    </row>
    <row r="18" spans="1:26" x14ac:dyDescent="0.6">
      <c r="A18" s="46">
        <f t="shared" si="12"/>
        <v>14</v>
      </c>
      <c r="B18" s="44" t="s">
        <v>12</v>
      </c>
      <c r="C18" s="290">
        <v>52</v>
      </c>
      <c r="D18" s="345">
        <f>C18*Assumptions!$C$30</f>
        <v>25334400</v>
      </c>
      <c r="E18" s="391">
        <f>Assumptions!$H$3</f>
        <v>1.1863330000000001</v>
      </c>
      <c r="F18" s="1178">
        <f t="shared" si="13"/>
        <v>487.2</v>
      </c>
      <c r="G18" s="297">
        <f>Assumptions!$C$115</f>
        <v>3.7854100000000002</v>
      </c>
      <c r="H18" s="422"/>
      <c r="I18" s="301">
        <f>'LPG Res'!I18</f>
        <v>1.6196808244666501</v>
      </c>
      <c r="J18" s="434">
        <v>334.67</v>
      </c>
      <c r="K18" s="286">
        <f t="shared" si="14"/>
        <v>0.81492213692528748</v>
      </c>
      <c r="L18" s="322">
        <v>0.21</v>
      </c>
      <c r="M18" s="329">
        <f t="shared" si="0"/>
        <v>0.34013297313799651</v>
      </c>
      <c r="N18" s="281">
        <f t="shared" si="1"/>
        <v>0.17113364875431036</v>
      </c>
      <c r="O18" s="281">
        <f t="shared" si="2"/>
        <v>0.51126662189230687</v>
      </c>
      <c r="P18" s="314">
        <f t="shared" si="3"/>
        <v>8617064.7946672589</v>
      </c>
      <c r="Q18" s="1053">
        <f t="shared" si="4"/>
        <v>1.3261887588175942</v>
      </c>
      <c r="R18" s="1047">
        <f t="shared" si="5"/>
        <v>33598196.491388462</v>
      </c>
      <c r="S18" s="268">
        <f t="shared" si="6"/>
        <v>0.98605578567959784</v>
      </c>
      <c r="T18" s="366">
        <f t="shared" si="7"/>
        <v>24981131.696721204</v>
      </c>
      <c r="U18" s="336">
        <f>-'OECD LPG subsidies'!E62</f>
        <v>0</v>
      </c>
      <c r="V18" s="342">
        <f t="shared" si="8"/>
        <v>0</v>
      </c>
      <c r="W18" s="111">
        <f t="shared" si="9"/>
        <v>24981131.696721204</v>
      </c>
      <c r="X18" s="281">
        <f t="shared" si="10"/>
        <v>2.9458695832842445</v>
      </c>
      <c r="Y18" s="342">
        <f t="shared" si="11"/>
        <v>74631838.370756358</v>
      </c>
      <c r="Z18" s="1"/>
    </row>
    <row r="19" spans="1:26" x14ac:dyDescent="0.6">
      <c r="A19" s="46">
        <f t="shared" si="12"/>
        <v>15</v>
      </c>
      <c r="B19" s="44" t="s">
        <v>13</v>
      </c>
      <c r="C19" s="290">
        <v>9</v>
      </c>
      <c r="D19" s="345">
        <f>C19*Assumptions!$C$30</f>
        <v>4384800</v>
      </c>
      <c r="E19" s="391">
        <f>Assumptions!$H$3</f>
        <v>1.1863330000000001</v>
      </c>
      <c r="F19" s="1178">
        <f t="shared" si="13"/>
        <v>487.2</v>
      </c>
      <c r="G19" s="297">
        <f>Assumptions!$C$115</f>
        <v>3.7854100000000002</v>
      </c>
      <c r="H19" s="422"/>
      <c r="I19" s="301">
        <f>'LPG Res'!I19</f>
        <v>0.25</v>
      </c>
      <c r="J19" s="434">
        <v>261</v>
      </c>
      <c r="K19" s="286">
        <f t="shared" si="14"/>
        <v>0.63553553571428578</v>
      </c>
      <c r="L19" s="322">
        <v>0.2</v>
      </c>
      <c r="M19" s="329">
        <f t="shared" si="0"/>
        <v>0.05</v>
      </c>
      <c r="N19" s="281">
        <f t="shared" si="1"/>
        <v>0.12710710714285717</v>
      </c>
      <c r="O19" s="281">
        <f t="shared" si="2"/>
        <v>0.17710710714285716</v>
      </c>
      <c r="P19" s="314">
        <f t="shared" si="3"/>
        <v>219240</v>
      </c>
      <c r="Q19" s="1053">
        <f t="shared" si="4"/>
        <v>0.81264264285714294</v>
      </c>
      <c r="R19" s="1047">
        <f t="shared" si="5"/>
        <v>3563275.4604000002</v>
      </c>
      <c r="S19" s="268">
        <f t="shared" si="6"/>
        <v>0.76264264285714289</v>
      </c>
      <c r="T19" s="366">
        <f t="shared" si="7"/>
        <v>3344035.4604000002</v>
      </c>
      <c r="U19" s="336">
        <f>-'OECD LPG subsidies'!E64</f>
        <v>0</v>
      </c>
      <c r="V19" s="342">
        <f t="shared" si="8"/>
        <v>0</v>
      </c>
      <c r="W19" s="111">
        <f t="shared" si="9"/>
        <v>3344035.4604000002</v>
      </c>
      <c r="X19" s="281">
        <f t="shared" si="10"/>
        <v>1.0626426428571429</v>
      </c>
      <c r="Y19" s="342">
        <f t="shared" si="11"/>
        <v>4659475.4604000002</v>
      </c>
      <c r="Z19" s="1"/>
    </row>
    <row r="20" spans="1:26" x14ac:dyDescent="0.6">
      <c r="A20" s="46">
        <f t="shared" si="12"/>
        <v>16</v>
      </c>
      <c r="B20" s="44" t="s">
        <v>14</v>
      </c>
      <c r="C20" s="290">
        <v>65</v>
      </c>
      <c r="D20" s="345">
        <f>C20*Assumptions!$C$30</f>
        <v>31668000</v>
      </c>
      <c r="E20" s="391">
        <f>Assumptions!$H$18</f>
        <v>0.28262100000000001</v>
      </c>
      <c r="F20" s="1178">
        <f t="shared" si="13"/>
        <v>487.2</v>
      </c>
      <c r="G20" s="297">
        <f>Assumptions!$C$115</f>
        <v>3.7854100000000002</v>
      </c>
      <c r="H20" s="424"/>
      <c r="I20" s="301">
        <f>'LPG Res'!I20</f>
        <v>1.3861662139058202</v>
      </c>
      <c r="J20" s="431">
        <v>829.71</v>
      </c>
      <c r="K20" s="286">
        <f t="shared" si="14"/>
        <v>0.48130843577586213</v>
      </c>
      <c r="L20" s="322">
        <v>0.23</v>
      </c>
      <c r="M20" s="329">
        <f t="shared" si="0"/>
        <v>0.31881822919833863</v>
      </c>
      <c r="N20" s="281">
        <f t="shared" si="1"/>
        <v>0.1107009402284483</v>
      </c>
      <c r="O20" s="281">
        <f t="shared" si="2"/>
        <v>0.42951916942678692</v>
      </c>
      <c r="P20" s="314">
        <f t="shared" si="3"/>
        <v>10096335.682252988</v>
      </c>
      <c r="Q20" s="1053">
        <f t="shared" si="4"/>
        <v>0.91082760520264905</v>
      </c>
      <c r="R20" s="1047">
        <f t="shared" si="5"/>
        <v>28844088.601557489</v>
      </c>
      <c r="S20" s="268">
        <f t="shared" si="6"/>
        <v>0.59200937600431047</v>
      </c>
      <c r="T20" s="366">
        <f t="shared" si="7"/>
        <v>18747752.919304505</v>
      </c>
      <c r="U20" s="336">
        <f>-'OECD LPG subsidies'!E67</f>
        <v>0</v>
      </c>
      <c r="V20" s="342">
        <f t="shared" si="8"/>
        <v>0</v>
      </c>
      <c r="W20" s="111">
        <f t="shared" si="9"/>
        <v>18747752.919304505</v>
      </c>
      <c r="X20" s="281">
        <f t="shared" si="10"/>
        <v>2.2969938191084691</v>
      </c>
      <c r="Y20" s="342">
        <f t="shared" si="11"/>
        <v>72741200.263527006</v>
      </c>
      <c r="Z20" s="1"/>
    </row>
    <row r="21" spans="1:26" x14ac:dyDescent="0.6">
      <c r="A21" s="46">
        <f t="shared" si="12"/>
        <v>17</v>
      </c>
      <c r="B21" s="44" t="s">
        <v>15</v>
      </c>
      <c r="C21" s="290">
        <v>74</v>
      </c>
      <c r="D21" s="345">
        <f>C21*Assumptions!$C$30</f>
        <v>36052800</v>
      </c>
      <c r="E21" s="391">
        <f>Assumptions!$H$3</f>
        <v>1.1863330000000001</v>
      </c>
      <c r="F21" s="1178">
        <f t="shared" si="13"/>
        <v>487.2</v>
      </c>
      <c r="G21" s="297">
        <f>Assumptions!$C$115</f>
        <v>3.7854100000000002</v>
      </c>
      <c r="H21" s="422"/>
      <c r="I21" s="301">
        <f>'LPG Res'!I21</f>
        <v>1.7499127717110203</v>
      </c>
      <c r="J21" s="434">
        <v>265.64999999999998</v>
      </c>
      <c r="K21" s="286">
        <f t="shared" si="14"/>
        <v>0.64685829525862071</v>
      </c>
      <c r="L21" s="322">
        <v>0.23</v>
      </c>
      <c r="M21" s="329">
        <f t="shared" si="0"/>
        <v>0.40247993749353467</v>
      </c>
      <c r="N21" s="281">
        <f t="shared" si="1"/>
        <v>0.14877740790948277</v>
      </c>
      <c r="O21" s="281">
        <f t="shared" si="2"/>
        <v>0.55125734540301741</v>
      </c>
      <c r="P21" s="314">
        <f t="shared" si="3"/>
        <v>14510528.690466907</v>
      </c>
      <c r="Q21" s="1053">
        <f t="shared" si="4"/>
        <v>1.198115640661638</v>
      </c>
      <c r="R21" s="1047">
        <f t="shared" si="5"/>
        <v>43195423.569645904</v>
      </c>
      <c r="S21" s="268">
        <f t="shared" si="6"/>
        <v>0.7956357031681035</v>
      </c>
      <c r="T21" s="366">
        <f t="shared" si="7"/>
        <v>28684894.879179001</v>
      </c>
      <c r="U21" s="336">
        <f>-'OECD LPG subsidies'!E69</f>
        <v>0</v>
      </c>
      <c r="V21" s="342">
        <f t="shared" si="8"/>
        <v>0</v>
      </c>
      <c r="W21" s="111">
        <f t="shared" si="9"/>
        <v>28684894.879179001</v>
      </c>
      <c r="X21" s="281">
        <f t="shared" si="10"/>
        <v>2.9480284123726586</v>
      </c>
      <c r="Y21" s="342">
        <f t="shared" si="11"/>
        <v>106284678.74558899</v>
      </c>
      <c r="Z21" s="1"/>
    </row>
    <row r="22" spans="1:26" x14ac:dyDescent="0.6">
      <c r="A22" s="46">
        <f t="shared" si="12"/>
        <v>18</v>
      </c>
      <c r="B22" s="44" t="s">
        <v>16</v>
      </c>
      <c r="C22" s="290">
        <v>0</v>
      </c>
      <c r="D22" s="345">
        <f>C22*Assumptions!$C$30</f>
        <v>0</v>
      </c>
      <c r="E22" s="391">
        <f>Assumptions!$H$3</f>
        <v>1.1863330000000001</v>
      </c>
      <c r="F22" s="1178">
        <f t="shared" si="13"/>
        <v>487.2</v>
      </c>
      <c r="G22" s="297">
        <f>Assumptions!$C$115</f>
        <v>3.7854100000000002</v>
      </c>
      <c r="H22" s="422"/>
      <c r="I22" s="301">
        <f>IF(D22=0,0,Assumptions!$C$94+Assumptions!$C$35)</f>
        <v>0</v>
      </c>
      <c r="J22" s="434">
        <v>63.75</v>
      </c>
      <c r="K22" s="286">
        <f t="shared" si="14"/>
        <v>0.15523138084975371</v>
      </c>
      <c r="L22" s="322">
        <v>0.22</v>
      </c>
      <c r="M22" s="329">
        <f t="shared" si="0"/>
        <v>0</v>
      </c>
      <c r="N22" s="281">
        <f t="shared" si="1"/>
        <v>3.4150903786945817E-2</v>
      </c>
      <c r="O22" s="281">
        <f t="shared" si="2"/>
        <v>3.4150903786945817E-2</v>
      </c>
      <c r="P22" s="314">
        <f t="shared" si="3"/>
        <v>0</v>
      </c>
      <c r="Q22" s="1053">
        <f t="shared" si="4"/>
        <v>0.18938228463669954</v>
      </c>
      <c r="R22" s="1047">
        <f t="shared" si="5"/>
        <v>0</v>
      </c>
      <c r="S22" s="268">
        <f t="shared" si="6"/>
        <v>0.18938228463669954</v>
      </c>
      <c r="T22" s="366">
        <f t="shared" si="7"/>
        <v>0</v>
      </c>
      <c r="U22" s="336">
        <f>-'OECD LPG subsidies'!E71</f>
        <v>0</v>
      </c>
      <c r="V22" s="342">
        <f t="shared" si="8"/>
        <v>0</v>
      </c>
      <c r="W22" s="111">
        <f t="shared" si="9"/>
        <v>0</v>
      </c>
      <c r="X22" s="281">
        <f t="shared" si="10"/>
        <v>0.18938228463669954</v>
      </c>
      <c r="Y22" s="342">
        <f t="shared" si="11"/>
        <v>0</v>
      </c>
      <c r="Z22" s="1"/>
    </row>
    <row r="23" spans="1:26" x14ac:dyDescent="0.6">
      <c r="A23" s="46">
        <f t="shared" si="12"/>
        <v>19</v>
      </c>
      <c r="B23" s="44" t="s">
        <v>17</v>
      </c>
      <c r="C23" s="290">
        <v>7</v>
      </c>
      <c r="D23" s="345">
        <f>C23*Assumptions!$C$30</f>
        <v>3410400</v>
      </c>
      <c r="E23" s="391">
        <f>Assumptions!$H$3</f>
        <v>1.1863330000000001</v>
      </c>
      <c r="F23" s="1178">
        <f t="shared" si="13"/>
        <v>487.2</v>
      </c>
      <c r="G23" s="297">
        <f>Assumptions!$C$115</f>
        <v>3.7854100000000002</v>
      </c>
      <c r="H23" s="422"/>
      <c r="I23" s="301">
        <f>'LPG Res'!I23</f>
        <v>1.3188001187641401</v>
      </c>
      <c r="J23" s="434">
        <v>182</v>
      </c>
      <c r="K23" s="286">
        <f t="shared" si="14"/>
        <v>0.44317037356321842</v>
      </c>
      <c r="L23" s="322">
        <v>0.2</v>
      </c>
      <c r="M23" s="329">
        <f t="shared" si="0"/>
        <v>0.26376002375282803</v>
      </c>
      <c r="N23" s="281">
        <f t="shared" si="1"/>
        <v>8.8634074712643687E-2</v>
      </c>
      <c r="O23" s="281">
        <f t="shared" si="2"/>
        <v>0.35239409846547171</v>
      </c>
      <c r="P23" s="314">
        <f t="shared" si="3"/>
        <v>899527.18500664469</v>
      </c>
      <c r="Q23" s="1053">
        <f t="shared" si="4"/>
        <v>0.79556447202869007</v>
      </c>
      <c r="R23" s="1047">
        <f t="shared" si="5"/>
        <v>2713193.0754066445</v>
      </c>
      <c r="S23" s="268">
        <f t="shared" si="6"/>
        <v>0.53180444827586215</v>
      </c>
      <c r="T23" s="366">
        <f t="shared" si="7"/>
        <v>1813665.8904000004</v>
      </c>
      <c r="U23" s="336">
        <f>-'OECD LPG subsidies'!E73</f>
        <v>0</v>
      </c>
      <c r="V23" s="342">
        <f t="shared" si="8"/>
        <v>0</v>
      </c>
      <c r="W23" s="111">
        <f t="shared" si="9"/>
        <v>1813665.8904000004</v>
      </c>
      <c r="X23" s="281">
        <f t="shared" si="10"/>
        <v>2.1143645907928299</v>
      </c>
      <c r="Y23" s="342">
        <f t="shared" si="11"/>
        <v>7210829.0004398674</v>
      </c>
      <c r="Z23" s="1"/>
    </row>
    <row r="24" spans="1:26" x14ac:dyDescent="0.6">
      <c r="A24" s="46">
        <f t="shared" si="12"/>
        <v>20</v>
      </c>
      <c r="B24" s="44" t="s">
        <v>18</v>
      </c>
      <c r="C24" s="290">
        <v>0</v>
      </c>
      <c r="D24" s="345">
        <f>C24*Assumptions!$C$30</f>
        <v>0</v>
      </c>
      <c r="E24" s="391">
        <f>Assumptions!$H$3</f>
        <v>1.1863330000000001</v>
      </c>
      <c r="F24" s="1178">
        <f t="shared" si="13"/>
        <v>487.2</v>
      </c>
      <c r="G24" s="297">
        <f>Assumptions!$C$115</f>
        <v>3.7854100000000002</v>
      </c>
      <c r="H24" s="422"/>
      <c r="I24" s="1077">
        <f>IF(D24=0,0,Assumptions!$C$94+Assumptions!$C$35)</f>
        <v>0</v>
      </c>
      <c r="J24" s="427">
        <v>0</v>
      </c>
      <c r="K24" s="286">
        <f t="shared" si="14"/>
        <v>0</v>
      </c>
      <c r="L24" s="322">
        <v>0.24</v>
      </c>
      <c r="M24" s="329">
        <f t="shared" si="0"/>
        <v>0</v>
      </c>
      <c r="N24" s="281">
        <f t="shared" si="1"/>
        <v>0</v>
      </c>
      <c r="O24" s="281">
        <f t="shared" si="2"/>
        <v>0</v>
      </c>
      <c r="P24" s="314">
        <f t="shared" si="3"/>
        <v>0</v>
      </c>
      <c r="Q24" s="1053">
        <f t="shared" si="4"/>
        <v>0</v>
      </c>
      <c r="R24" s="1047">
        <f t="shared" si="5"/>
        <v>0</v>
      </c>
      <c r="S24" s="268">
        <f t="shared" si="6"/>
        <v>0</v>
      </c>
      <c r="T24" s="366">
        <f t="shared" si="7"/>
        <v>0</v>
      </c>
      <c r="U24" s="336">
        <f>-'OECD LPG subsidies'!E75</f>
        <v>0</v>
      </c>
      <c r="V24" s="342">
        <f t="shared" si="8"/>
        <v>0</v>
      </c>
      <c r="W24" s="111">
        <f t="shared" si="9"/>
        <v>0</v>
      </c>
      <c r="X24" s="281">
        <f t="shared" si="10"/>
        <v>0</v>
      </c>
      <c r="Y24" s="342">
        <f t="shared" si="11"/>
        <v>0</v>
      </c>
      <c r="Z24" s="1"/>
    </row>
    <row r="25" spans="1:26" x14ac:dyDescent="0.6">
      <c r="A25" s="46">
        <f t="shared" si="12"/>
        <v>21</v>
      </c>
      <c r="B25" s="44" t="s">
        <v>19</v>
      </c>
      <c r="C25" s="290">
        <v>5</v>
      </c>
      <c r="D25" s="345">
        <f>C25*Assumptions!$C$30</f>
        <v>2436000</v>
      </c>
      <c r="E25" s="391">
        <f>Assumptions!$H$19</f>
        <v>0.119739</v>
      </c>
      <c r="F25" s="1178">
        <f t="shared" si="13"/>
        <v>487.2</v>
      </c>
      <c r="G25" s="297">
        <f>Assumptions!$C$115</f>
        <v>3.7854100000000002</v>
      </c>
      <c r="H25" s="425"/>
      <c r="I25" s="1077">
        <f>IF(D25=0,0,Assumptions!$C$94+Assumptions!$C$35)</f>
        <v>2.25</v>
      </c>
      <c r="J25" s="1184">
        <v>2358.6</v>
      </c>
      <c r="K25" s="286">
        <f t="shared" si="14"/>
        <v>0.57967242487684734</v>
      </c>
      <c r="L25" s="322">
        <v>0.25</v>
      </c>
      <c r="M25" s="329">
        <f t="shared" si="0"/>
        <v>0.5625</v>
      </c>
      <c r="N25" s="281">
        <f t="shared" si="1"/>
        <v>0.14491810621921183</v>
      </c>
      <c r="O25" s="281">
        <f t="shared" si="2"/>
        <v>0.70741810621921186</v>
      </c>
      <c r="P25" s="314">
        <f t="shared" si="3"/>
        <v>1370250</v>
      </c>
      <c r="Q25" s="1053">
        <f t="shared" si="4"/>
        <v>1.2870905310960592</v>
      </c>
      <c r="R25" s="1047">
        <f t="shared" si="5"/>
        <v>3135352.5337500004</v>
      </c>
      <c r="S25" s="268">
        <f t="shared" si="6"/>
        <v>0.7245905310960592</v>
      </c>
      <c r="T25" s="366">
        <f t="shared" si="7"/>
        <v>1765102.5337500002</v>
      </c>
      <c r="U25" s="336">
        <f>-'OECD LPG subsidies'!E77</f>
        <v>0</v>
      </c>
      <c r="V25" s="342">
        <f t="shared" si="8"/>
        <v>0</v>
      </c>
      <c r="W25" s="111">
        <f t="shared" si="9"/>
        <v>1765102.5337500002</v>
      </c>
      <c r="X25" s="281">
        <f t="shared" si="10"/>
        <v>3.5370905310960592</v>
      </c>
      <c r="Y25" s="342">
        <f t="shared" si="11"/>
        <v>8616352.5337499995</v>
      </c>
      <c r="Z25" s="1"/>
    </row>
    <row r="26" spans="1:26" ht="15.9" thickBot="1" x14ac:dyDescent="0.65">
      <c r="A26" s="15">
        <f t="shared" si="12"/>
        <v>22</v>
      </c>
      <c r="B26" s="47" t="s">
        <v>20</v>
      </c>
      <c r="C26" s="291">
        <v>223</v>
      </c>
      <c r="D26" s="347">
        <f>C26*Assumptions!$C$30</f>
        <v>108645600</v>
      </c>
      <c r="E26" s="419">
        <f>Assumptions!$H$20</f>
        <v>1.337591</v>
      </c>
      <c r="F26" s="1179">
        <f t="shared" si="13"/>
        <v>487.2</v>
      </c>
      <c r="G26" s="299">
        <f>Assumptions!$C$115</f>
        <v>3.7854100000000002</v>
      </c>
      <c r="H26" s="421"/>
      <c r="I26" s="1055">
        <f>IF(D26=0,0,Assumptions!$C$94+Assumptions!$C$35)</f>
        <v>2.25</v>
      </c>
      <c r="J26" s="433">
        <v>0</v>
      </c>
      <c r="K26" s="308">
        <f t="shared" si="14"/>
        <v>0</v>
      </c>
      <c r="L26" s="359">
        <v>0.05</v>
      </c>
      <c r="M26" s="334">
        <f t="shared" si="0"/>
        <v>0.1125</v>
      </c>
      <c r="N26" s="318">
        <f t="shared" si="1"/>
        <v>0</v>
      </c>
      <c r="O26" s="318">
        <f t="shared" si="2"/>
        <v>0.1125</v>
      </c>
      <c r="P26" s="319">
        <f t="shared" si="3"/>
        <v>12222630</v>
      </c>
      <c r="Q26" s="1054">
        <f t="shared" si="4"/>
        <v>0.1125</v>
      </c>
      <c r="R26" s="1048">
        <f t="shared" si="5"/>
        <v>12222630</v>
      </c>
      <c r="S26" s="269">
        <f t="shared" si="6"/>
        <v>0</v>
      </c>
      <c r="T26" s="368">
        <f t="shared" si="7"/>
        <v>0</v>
      </c>
      <c r="U26" s="340">
        <f>-'OECD LPG subsidies'!E86</f>
        <v>0</v>
      </c>
      <c r="V26" s="344">
        <f t="shared" si="8"/>
        <v>0</v>
      </c>
      <c r="W26" s="163">
        <f t="shared" si="9"/>
        <v>0</v>
      </c>
      <c r="X26" s="318">
        <f t="shared" si="10"/>
        <v>2.3625000000000003</v>
      </c>
      <c r="Y26" s="344">
        <f t="shared" si="11"/>
        <v>256675230.00000003</v>
      </c>
      <c r="Z26" s="1"/>
    </row>
    <row r="27" spans="1:26" ht="15.9" thickTop="1" x14ac:dyDescent="0.6">
      <c r="A27" s="48" t="s">
        <v>882</v>
      </c>
      <c r="B27" s="44"/>
      <c r="C27" s="290"/>
      <c r="D27" s="345"/>
      <c r="E27" s="399"/>
      <c r="F27" s="1178"/>
      <c r="G27" s="297"/>
      <c r="H27" s="383"/>
      <c r="I27" s="301"/>
      <c r="J27" s="393"/>
      <c r="K27" s="306">
        <f t="shared" ref="K27:K34" si="15">J27*G27*E27</f>
        <v>0</v>
      </c>
      <c r="L27" s="322"/>
      <c r="M27" s="329"/>
      <c r="N27" s="320"/>
      <c r="O27" s="320"/>
      <c r="P27" s="314"/>
      <c r="Q27" s="1053"/>
      <c r="R27" s="1047"/>
      <c r="S27" s="310"/>
      <c r="T27" s="366"/>
      <c r="U27" s="336"/>
      <c r="V27" s="342"/>
      <c r="W27" s="111"/>
      <c r="X27" s="320"/>
      <c r="Y27" s="342"/>
      <c r="Z27" s="1"/>
    </row>
    <row r="28" spans="1:26" x14ac:dyDescent="0.6">
      <c r="A28" s="61">
        <f>A26+1</f>
        <v>23</v>
      </c>
      <c r="B28" s="44" t="s">
        <v>38</v>
      </c>
      <c r="C28" s="290">
        <v>678</v>
      </c>
      <c r="D28" s="345">
        <f>C28*Assumptions!$C$30</f>
        <v>330321600</v>
      </c>
      <c r="E28" s="399">
        <f>Assumptions!$H$4</f>
        <v>0.78824099999999997</v>
      </c>
      <c r="F28" s="1178"/>
      <c r="G28" s="297">
        <f>Assumptions!$C$115</f>
        <v>3.7854100000000002</v>
      </c>
      <c r="H28" s="441"/>
      <c r="I28" s="301">
        <f>'LPG Res'!I28</f>
        <v>2.0880302641069601</v>
      </c>
      <c r="J28" s="447"/>
      <c r="K28" s="306">
        <f t="shared" si="15"/>
        <v>0</v>
      </c>
      <c r="L28" s="322">
        <v>9.0499999999999997E-2</v>
      </c>
      <c r="M28" s="329">
        <f t="shared" ref="M28:M34" si="16">L28*I28</f>
        <v>0.18896673890167989</v>
      </c>
      <c r="N28" s="320">
        <f t="shared" ref="N28:N34" si="17">L28*K28</f>
        <v>0</v>
      </c>
      <c r="O28" s="320">
        <f t="shared" ref="O28:O34" si="18">N28+M28</f>
        <v>0.18896673890167989</v>
      </c>
      <c r="P28" s="314">
        <f t="shared" ref="P28:P34" si="19">M28*D28</f>
        <v>62419795.540785141</v>
      </c>
      <c r="Q28" s="1053">
        <f t="shared" si="4"/>
        <v>0.18896673890167989</v>
      </c>
      <c r="R28" s="1047">
        <f t="shared" si="5"/>
        <v>62419795.540785141</v>
      </c>
      <c r="S28" s="310">
        <f t="shared" ref="S28:S34" si="20">N28+K28</f>
        <v>0</v>
      </c>
      <c r="T28" s="366">
        <f t="shared" ref="T28:T34" si="21">D28*S28</f>
        <v>0</v>
      </c>
      <c r="U28" s="336">
        <f>-'OECD LPG subsidies'!E88</f>
        <v>0</v>
      </c>
      <c r="V28" s="342">
        <f t="shared" ref="V28:V34" si="22">U28*E28</f>
        <v>0</v>
      </c>
      <c r="W28" s="111">
        <f t="shared" ref="W28:W34" si="23">T28+V28</f>
        <v>0</v>
      </c>
      <c r="X28" s="320">
        <f t="shared" ref="X28:X38" si="24">(I28+K28)*(1+L28)</f>
        <v>2.2769970030086402</v>
      </c>
      <c r="Y28" s="342">
        <f t="shared" ref="Y28:Y34" si="25">X28*D28+V28</f>
        <v>752141293.22901881</v>
      </c>
      <c r="Z28" s="1"/>
    </row>
    <row r="29" spans="1:26" x14ac:dyDescent="0.6">
      <c r="A29" s="61">
        <f t="shared" ref="A29:A34" si="26">A28+1</f>
        <v>24</v>
      </c>
      <c r="B29" s="44" t="s">
        <v>39</v>
      </c>
      <c r="C29" s="290">
        <v>8</v>
      </c>
      <c r="D29" s="345">
        <f>C29*Assumptions!$C$30</f>
        <v>3897600</v>
      </c>
      <c r="E29" s="399">
        <f>Assumptions!$H$5</f>
        <v>0.12035</v>
      </c>
      <c r="F29" s="1178"/>
      <c r="G29" s="297">
        <f>Assumptions!$C$115</f>
        <v>3.7854100000000002</v>
      </c>
      <c r="H29" s="442"/>
      <c r="I29" s="1077">
        <f>IF(D29=0,0,Assumptions!$C$94+Assumptions!$C$35)</f>
        <v>2.25</v>
      </c>
      <c r="J29" s="448">
        <f>(1.01*Assumptions!$C$29/1000/G29)+1.59</f>
        <v>1.7199917314108644</v>
      </c>
      <c r="K29" s="306">
        <f t="shared" si="15"/>
        <v>0.78358367386499994</v>
      </c>
      <c r="L29" s="322">
        <v>0.25</v>
      </c>
      <c r="M29" s="329">
        <f t="shared" si="16"/>
        <v>0.5625</v>
      </c>
      <c r="N29" s="320">
        <f t="shared" si="17"/>
        <v>0.19589591846624999</v>
      </c>
      <c r="O29" s="320">
        <f t="shared" si="18"/>
        <v>0.75839591846624999</v>
      </c>
      <c r="P29" s="314">
        <f t="shared" si="19"/>
        <v>2192400</v>
      </c>
      <c r="Q29" s="1053">
        <f t="shared" si="4"/>
        <v>1.5419795923312498</v>
      </c>
      <c r="R29" s="1047">
        <f t="shared" si="5"/>
        <v>6010019.6590702794</v>
      </c>
      <c r="S29" s="310">
        <f t="shared" si="20"/>
        <v>0.97947959233124993</v>
      </c>
      <c r="T29" s="366">
        <f t="shared" si="21"/>
        <v>3817619.6590702799</v>
      </c>
      <c r="U29" s="336">
        <f>-'OECD LPG subsidies'!E97</f>
        <v>-13809934.5</v>
      </c>
      <c r="V29" s="342">
        <f t="shared" si="22"/>
        <v>-1662025.617075</v>
      </c>
      <c r="W29" s="111">
        <f t="shared" si="23"/>
        <v>2155594.04199528</v>
      </c>
      <c r="X29" s="320">
        <f t="shared" si="24"/>
        <v>3.7919795923312498</v>
      </c>
      <c r="Y29" s="342">
        <f t="shared" si="25"/>
        <v>13117594.041995279</v>
      </c>
      <c r="Z29" s="1"/>
    </row>
    <row r="30" spans="1:26" x14ac:dyDescent="0.6">
      <c r="A30" s="61">
        <f t="shared" si="26"/>
        <v>25</v>
      </c>
      <c r="B30" s="44" t="s">
        <v>40</v>
      </c>
      <c r="C30" s="290">
        <v>0</v>
      </c>
      <c r="D30" s="345">
        <f>C30*Assumptions!$C$30</f>
        <v>0</v>
      </c>
      <c r="E30" s="399">
        <f>Assumptions!$H$6</f>
        <v>1.010632</v>
      </c>
      <c r="F30" s="1178"/>
      <c r="G30" s="297">
        <f>Assumptions!$C$115</f>
        <v>3.7854100000000002</v>
      </c>
      <c r="H30" s="443"/>
      <c r="I30" s="1077">
        <f>IF(D30=0,0,Assumptions!$C$94+Assumptions!$C$35)</f>
        <v>0</v>
      </c>
      <c r="J30" s="449"/>
      <c r="K30" s="306">
        <f t="shared" si="15"/>
        <v>0</v>
      </c>
      <c r="L30" s="322">
        <v>0.08</v>
      </c>
      <c r="M30" s="329">
        <f t="shared" si="16"/>
        <v>0</v>
      </c>
      <c r="N30" s="320">
        <f t="shared" si="17"/>
        <v>0</v>
      </c>
      <c r="O30" s="320">
        <f t="shared" si="18"/>
        <v>0</v>
      </c>
      <c r="P30" s="314">
        <f t="shared" si="19"/>
        <v>0</v>
      </c>
      <c r="Q30" s="1053">
        <f t="shared" si="4"/>
        <v>0</v>
      </c>
      <c r="R30" s="1047">
        <f t="shared" si="5"/>
        <v>0</v>
      </c>
      <c r="S30" s="310">
        <f t="shared" si="20"/>
        <v>0</v>
      </c>
      <c r="T30" s="366">
        <f t="shared" si="21"/>
        <v>0</v>
      </c>
      <c r="U30" s="336">
        <f>-'OECD LPG subsidies'!E99</f>
        <v>0</v>
      </c>
      <c r="V30" s="342">
        <f t="shared" si="22"/>
        <v>0</v>
      </c>
      <c r="W30" s="111">
        <f t="shared" si="23"/>
        <v>0</v>
      </c>
      <c r="X30" s="320">
        <f t="shared" si="24"/>
        <v>0</v>
      </c>
      <c r="Y30" s="342">
        <f t="shared" si="25"/>
        <v>0</v>
      </c>
      <c r="Z30" s="1"/>
    </row>
    <row r="31" spans="1:26" x14ac:dyDescent="0.6">
      <c r="A31" s="46">
        <f t="shared" si="26"/>
        <v>26</v>
      </c>
      <c r="B31" s="44" t="s">
        <v>31</v>
      </c>
      <c r="C31" s="290">
        <v>1141</v>
      </c>
      <c r="D31" s="345">
        <f>C31*Assumptions!$C$30</f>
        <v>555895200</v>
      </c>
      <c r="E31" s="399">
        <f>Assumptions!$H$7</f>
        <v>8.829E-3</v>
      </c>
      <c r="F31" s="1178">
        <f>F26</f>
        <v>487.2</v>
      </c>
      <c r="G31" s="297">
        <f>Assumptions!$C$115</f>
        <v>3.7854100000000002</v>
      </c>
      <c r="H31" s="484"/>
      <c r="I31" s="301">
        <f>'LPG Res'!I31</f>
        <v>2.532680587987</v>
      </c>
      <c r="J31" s="469">
        <v>1080</v>
      </c>
      <c r="K31" s="306">
        <f>J31*E31/F31</f>
        <v>1.9571674876847293E-2</v>
      </c>
      <c r="L31" s="322">
        <v>0.08</v>
      </c>
      <c r="M31" s="329">
        <f t="shared" si="16"/>
        <v>0.20261444703896</v>
      </c>
      <c r="N31" s="320">
        <f t="shared" si="17"/>
        <v>1.5657339901477836E-3</v>
      </c>
      <c r="O31" s="320">
        <f t="shared" si="18"/>
        <v>0.20418018102910779</v>
      </c>
      <c r="P31" s="314">
        <f t="shared" si="19"/>
        <v>112632398.55961208</v>
      </c>
      <c r="Q31" s="1053">
        <f t="shared" si="4"/>
        <v>0.22375185590595509</v>
      </c>
      <c r="R31" s="1047">
        <f t="shared" si="5"/>
        <v>124382582.68921208</v>
      </c>
      <c r="S31" s="310">
        <f t="shared" si="20"/>
        <v>2.1137408866995076E-2</v>
      </c>
      <c r="T31" s="366">
        <f t="shared" si="21"/>
        <v>11750184.129600001</v>
      </c>
      <c r="U31" s="336">
        <f>-'OECD LPG subsidies'!E101</f>
        <v>-4551175000</v>
      </c>
      <c r="V31" s="342">
        <f t="shared" si="22"/>
        <v>-40182324.075000003</v>
      </c>
      <c r="W31" s="111">
        <f t="shared" si="23"/>
        <v>-28432139.9454</v>
      </c>
      <c r="X31" s="320">
        <f t="shared" si="24"/>
        <v>2.7564324438929555</v>
      </c>
      <c r="Y31" s="342">
        <f t="shared" si="25"/>
        <v>1492105240.6093633</v>
      </c>
      <c r="Z31" s="1"/>
    </row>
    <row r="32" spans="1:26" x14ac:dyDescent="0.6">
      <c r="A32" s="46">
        <f t="shared" si="26"/>
        <v>27</v>
      </c>
      <c r="B32" s="44" t="s">
        <v>47</v>
      </c>
      <c r="C32" s="290">
        <v>992</v>
      </c>
      <c r="D32" s="345">
        <f>C32*Assumptions!$C$30</f>
        <v>483302400</v>
      </c>
      <c r="E32" s="399">
        <f>Assumptions!$H$8</f>
        <v>9.3000000000000005E-4</v>
      </c>
      <c r="F32" s="1178"/>
      <c r="G32" s="297">
        <f>Assumptions!$C$115</f>
        <v>3.7854100000000002</v>
      </c>
      <c r="H32" s="446"/>
      <c r="I32" s="301">
        <f>'LPG Res'!I32</f>
        <v>2.0355979596729998</v>
      </c>
      <c r="J32" s="470"/>
      <c r="K32" s="306">
        <f t="shared" si="15"/>
        <v>0</v>
      </c>
      <c r="L32" s="322">
        <v>0.1</v>
      </c>
      <c r="M32" s="329">
        <f t="shared" si="16"/>
        <v>0.20355979596730001</v>
      </c>
      <c r="N32" s="320">
        <f t="shared" si="17"/>
        <v>0</v>
      </c>
      <c r="O32" s="320">
        <f t="shared" si="18"/>
        <v>0.20355979596730001</v>
      </c>
      <c r="P32" s="314">
        <f t="shared" si="19"/>
        <v>98380937.934506416</v>
      </c>
      <c r="Q32" s="1053">
        <f t="shared" si="4"/>
        <v>0.20355979596730001</v>
      </c>
      <c r="R32" s="1047">
        <f t="shared" si="5"/>
        <v>98380937.934506416</v>
      </c>
      <c r="S32" s="310">
        <f t="shared" si="20"/>
        <v>0</v>
      </c>
      <c r="T32" s="366">
        <f t="shared" si="21"/>
        <v>0</v>
      </c>
      <c r="U32" s="336">
        <f>-'OECD LPG subsidies'!E112</f>
        <v>0</v>
      </c>
      <c r="V32" s="342">
        <f t="shared" si="22"/>
        <v>0</v>
      </c>
      <c r="W32" s="111">
        <f t="shared" si="23"/>
        <v>0</v>
      </c>
      <c r="X32" s="320">
        <f t="shared" si="24"/>
        <v>2.2391577556403002</v>
      </c>
      <c r="Y32" s="342">
        <f t="shared" si="25"/>
        <v>1082190317.2795706</v>
      </c>
      <c r="Z32" s="1"/>
    </row>
    <row r="33" spans="1:27" x14ac:dyDescent="0.6">
      <c r="A33" s="46">
        <f t="shared" si="26"/>
        <v>28</v>
      </c>
      <c r="B33" s="44" t="s">
        <v>32</v>
      </c>
      <c r="C33" s="290">
        <v>74</v>
      </c>
      <c r="D33" s="345">
        <f>C33*Assumptions!$C$30</f>
        <v>36052800</v>
      </c>
      <c r="E33" s="399">
        <f>Assumptions!$H$9</f>
        <v>0.77382200000000001</v>
      </c>
      <c r="F33" s="1178"/>
      <c r="G33" s="297">
        <f>Assumptions!$C$115</f>
        <v>3.7854100000000002</v>
      </c>
      <c r="H33" s="389"/>
      <c r="I33" s="301">
        <f>'LPG Res'!I33</f>
        <v>1.3865426123637601</v>
      </c>
      <c r="J33" s="452"/>
      <c r="K33" s="306">
        <f t="shared" si="15"/>
        <v>0</v>
      </c>
      <c r="L33" s="322">
        <v>0.1</v>
      </c>
      <c r="M33" s="329">
        <f t="shared" si="16"/>
        <v>0.138654261236376</v>
      </c>
      <c r="N33" s="320">
        <f t="shared" si="17"/>
        <v>0</v>
      </c>
      <c r="O33" s="320">
        <f t="shared" si="18"/>
        <v>0.138654261236376</v>
      </c>
      <c r="P33" s="314">
        <f t="shared" si="19"/>
        <v>4998874.3495028168</v>
      </c>
      <c r="Q33" s="1053">
        <f t="shared" si="4"/>
        <v>0.138654261236376</v>
      </c>
      <c r="R33" s="1047">
        <f t="shared" si="5"/>
        <v>4998874.3495028168</v>
      </c>
      <c r="S33" s="310">
        <f t="shared" si="20"/>
        <v>0</v>
      </c>
      <c r="T33" s="366">
        <f t="shared" si="21"/>
        <v>0</v>
      </c>
      <c r="U33" s="336">
        <f>-'OECD LPG subsidies'!E117</f>
        <v>-57240495</v>
      </c>
      <c r="V33" s="342">
        <f t="shared" si="22"/>
        <v>-44293954.321890004</v>
      </c>
      <c r="W33" s="111">
        <f t="shared" si="23"/>
        <v>-44293954.321890004</v>
      </c>
      <c r="X33" s="320">
        <f t="shared" si="24"/>
        <v>1.5251968736001362</v>
      </c>
      <c r="Y33" s="342">
        <f t="shared" si="25"/>
        <v>10693663.522640988</v>
      </c>
    </row>
    <row r="34" spans="1:27" ht="15.9" thickBot="1" x14ac:dyDescent="0.65">
      <c r="A34" s="15">
        <f t="shared" si="26"/>
        <v>29</v>
      </c>
      <c r="B34" s="47" t="s">
        <v>33</v>
      </c>
      <c r="C34" s="291">
        <v>27</v>
      </c>
      <c r="D34" s="347">
        <f>C34*Assumptions!$C$30</f>
        <v>13154400</v>
      </c>
      <c r="E34" s="417">
        <f>Assumptions!$H$10</f>
        <v>0.70460400000000001</v>
      </c>
      <c r="F34" s="1179"/>
      <c r="G34" s="299">
        <f>Assumptions!$C$115</f>
        <v>3.7854100000000002</v>
      </c>
      <c r="H34" s="445"/>
      <c r="I34" s="1055">
        <f>IF(C34=0,0,'LPG transport'!I34-Assumptions!$C$34+Assumptions!$C$35)</f>
        <v>1.3865426123637601</v>
      </c>
      <c r="J34" s="453"/>
      <c r="K34" s="309">
        <f t="shared" si="15"/>
        <v>0</v>
      </c>
      <c r="L34" s="359">
        <v>0.15</v>
      </c>
      <c r="M34" s="334">
        <f t="shared" si="16"/>
        <v>0.20798139185456402</v>
      </c>
      <c r="N34" s="321">
        <f t="shared" si="17"/>
        <v>0</v>
      </c>
      <c r="O34" s="321">
        <f t="shared" si="18"/>
        <v>0.20798139185456402</v>
      </c>
      <c r="P34" s="319">
        <f t="shared" si="19"/>
        <v>2735870.421011677</v>
      </c>
      <c r="Q34" s="1054">
        <f t="shared" si="4"/>
        <v>0.20798139185456402</v>
      </c>
      <c r="R34" s="1048">
        <f t="shared" si="5"/>
        <v>2735870.421011677</v>
      </c>
      <c r="S34" s="312">
        <f t="shared" si="20"/>
        <v>0</v>
      </c>
      <c r="T34" s="368">
        <f t="shared" si="21"/>
        <v>0</v>
      </c>
      <c r="U34" s="340">
        <f>-'OECD LPG subsidies'!E123</f>
        <v>0</v>
      </c>
      <c r="V34" s="344">
        <f t="shared" si="22"/>
        <v>0</v>
      </c>
      <c r="W34" s="163">
        <f t="shared" si="23"/>
        <v>0</v>
      </c>
      <c r="X34" s="321">
        <f t="shared" si="24"/>
        <v>1.594524004218324</v>
      </c>
      <c r="Y34" s="344">
        <f t="shared" si="25"/>
        <v>20975006.561089519</v>
      </c>
    </row>
    <row r="35" spans="1:27" ht="15.9" thickTop="1" x14ac:dyDescent="0.6">
      <c r="A35" s="49" t="s">
        <v>883</v>
      </c>
      <c r="B35" s="50"/>
      <c r="C35" s="290"/>
      <c r="D35" s="345"/>
      <c r="E35" s="391"/>
      <c r="F35" s="1178"/>
      <c r="G35" s="297"/>
      <c r="H35" s="295"/>
      <c r="I35" s="304"/>
      <c r="J35" s="393"/>
      <c r="K35" s="306"/>
      <c r="L35" s="322"/>
      <c r="M35" s="329"/>
      <c r="N35" s="320"/>
      <c r="O35" s="320"/>
      <c r="P35" s="314"/>
      <c r="Q35" s="1053"/>
      <c r="R35" s="1047"/>
      <c r="S35" s="310"/>
      <c r="T35" s="366"/>
      <c r="U35" s="336"/>
      <c r="V35" s="342"/>
      <c r="W35" s="111"/>
      <c r="X35" s="320"/>
      <c r="Y35" s="342"/>
    </row>
    <row r="36" spans="1:27" x14ac:dyDescent="0.6">
      <c r="A36" s="72">
        <f>A34+1</f>
        <v>30</v>
      </c>
      <c r="B36" s="50" t="s">
        <v>46</v>
      </c>
      <c r="C36" s="290">
        <v>1754</v>
      </c>
      <c r="D36" s="348">
        <f>C36*Assumptions!$C$30</f>
        <v>854548800</v>
      </c>
      <c r="E36" s="399">
        <f>Assumptions!$H$11</f>
        <v>0.152529</v>
      </c>
      <c r="F36" s="1178"/>
      <c r="G36" s="297">
        <f>Assumptions!$C$115</f>
        <v>3.7854100000000002</v>
      </c>
      <c r="H36" s="295"/>
      <c r="I36" s="1163">
        <f>IF(D36=0,0,Assumptions!$C$94+Assumptions!$C$35)</f>
        <v>2.25</v>
      </c>
      <c r="J36" s="1058"/>
      <c r="K36" s="306">
        <f>J36*G36*E36</f>
        <v>0</v>
      </c>
      <c r="L36" s="322">
        <v>0.17</v>
      </c>
      <c r="M36" s="329">
        <f t="shared" ref="M36:M39" si="27">L36*I36</f>
        <v>0.38250000000000001</v>
      </c>
      <c r="N36" s="320">
        <f t="shared" ref="N36:N39" si="28">L36*K36</f>
        <v>0</v>
      </c>
      <c r="O36" s="320">
        <f t="shared" ref="O36:O39" si="29">N36+M36</f>
        <v>0.38250000000000001</v>
      </c>
      <c r="P36" s="314">
        <f t="shared" ref="P36:P39" si="30">M36*D36</f>
        <v>326864916</v>
      </c>
      <c r="Q36" s="1053">
        <f t="shared" si="4"/>
        <v>0.38250000000000001</v>
      </c>
      <c r="R36" s="1047">
        <f t="shared" si="5"/>
        <v>326864916</v>
      </c>
      <c r="S36" s="310">
        <f t="shared" ref="S36:S39" si="31">N36+K36</f>
        <v>0</v>
      </c>
      <c r="T36" s="366">
        <f t="shared" ref="T36:T39" si="32">D36*S36</f>
        <v>0</v>
      </c>
      <c r="U36" s="336">
        <f>-'OECD LPG subsidies'!E125</f>
        <v>0</v>
      </c>
      <c r="V36" s="342">
        <f>U36*E36</f>
        <v>0</v>
      </c>
      <c r="W36" s="111">
        <f>T36+V36</f>
        <v>0</v>
      </c>
      <c r="X36" s="320">
        <f t="shared" si="24"/>
        <v>2.6324999999999998</v>
      </c>
      <c r="Y36" s="342">
        <f>X36*D36+V36</f>
        <v>2249599716</v>
      </c>
    </row>
    <row r="37" spans="1:27" x14ac:dyDescent="0.6">
      <c r="A37" s="46">
        <f>A36+1</f>
        <v>31</v>
      </c>
      <c r="B37" s="50" t="s">
        <v>49</v>
      </c>
      <c r="C37" s="290">
        <v>1464</v>
      </c>
      <c r="D37" s="348">
        <f>C37*Assumptions!$C$30</f>
        <v>713260800</v>
      </c>
      <c r="E37" s="399">
        <f>Assumptions!$H$12</f>
        <v>1.5587E-2</v>
      </c>
      <c r="F37" s="1178"/>
      <c r="G37" s="297">
        <f>Assumptions!$C$115</f>
        <v>3.7854100000000002</v>
      </c>
      <c r="H37" s="1057"/>
      <c r="I37" s="1163">
        <f>IF(D37=0,0,Assumptions!$C$94+Assumptions!$C$35)</f>
        <v>2.25</v>
      </c>
      <c r="J37" s="1056"/>
      <c r="K37" s="306">
        <f>I37*1.05*1.08*1.08-I37</f>
        <v>0.5056200000000004</v>
      </c>
      <c r="L37" s="322">
        <v>0.25</v>
      </c>
      <c r="M37" s="329">
        <f t="shared" si="27"/>
        <v>0.5625</v>
      </c>
      <c r="N37" s="320">
        <f t="shared" si="28"/>
        <v>0.1264050000000001</v>
      </c>
      <c r="O37" s="320">
        <f t="shared" si="29"/>
        <v>0.6889050000000001</v>
      </c>
      <c r="P37" s="314">
        <f t="shared" si="30"/>
        <v>401209200</v>
      </c>
      <c r="Q37" s="1053">
        <f t="shared" si="4"/>
        <v>1.1945250000000005</v>
      </c>
      <c r="R37" s="1047">
        <f t="shared" si="5"/>
        <v>852007857.12000036</v>
      </c>
      <c r="S37" s="310">
        <f t="shared" si="31"/>
        <v>0.6320250000000005</v>
      </c>
      <c r="T37" s="366">
        <f t="shared" si="32"/>
        <v>450798657.12000036</v>
      </c>
      <c r="U37" s="336">
        <f>-'OECD LPG subsidies'!E129</f>
        <v>-11036475000</v>
      </c>
      <c r="V37" s="342">
        <f>U37*E37</f>
        <v>-172025535.82499999</v>
      </c>
      <c r="W37" s="111">
        <f>T37+V37</f>
        <v>278773121.29500037</v>
      </c>
      <c r="X37" s="320">
        <f t="shared" si="24"/>
        <v>3.4445250000000005</v>
      </c>
      <c r="Y37" s="342">
        <f>X37*D37+V37</f>
        <v>2284819121.2950006</v>
      </c>
    </row>
    <row r="38" spans="1:27" x14ac:dyDescent="0.6">
      <c r="A38" s="46">
        <f>A37+1</f>
        <v>32</v>
      </c>
      <c r="B38" s="44" t="s">
        <v>50</v>
      </c>
      <c r="C38" s="290">
        <v>588</v>
      </c>
      <c r="D38" s="348">
        <f>C38*Assumptions!$C$30</f>
        <v>286473600</v>
      </c>
      <c r="E38" s="399">
        <f>Assumptions!$H$13</f>
        <v>0.30204900000000001</v>
      </c>
      <c r="F38" s="1178"/>
      <c r="G38" s="297">
        <f>Assumptions!$C$115</f>
        <v>3.7854100000000002</v>
      </c>
      <c r="H38" s="1045"/>
      <c r="I38" s="1077">
        <f>IF(D38=0,0,Assumptions!$C$94+Assumptions!$C$35)</f>
        <v>2.25</v>
      </c>
      <c r="J38" s="1044"/>
      <c r="K38" s="306">
        <f>J38*G38*E38</f>
        <v>0</v>
      </c>
      <c r="L38" s="322">
        <v>0.19</v>
      </c>
      <c r="M38" s="329">
        <f t="shared" si="27"/>
        <v>0.42749999999999999</v>
      </c>
      <c r="N38" s="320">
        <f t="shared" si="28"/>
        <v>0</v>
      </c>
      <c r="O38" s="320">
        <f t="shared" si="29"/>
        <v>0.42749999999999999</v>
      </c>
      <c r="P38" s="314">
        <f t="shared" si="30"/>
        <v>122467464</v>
      </c>
      <c r="Q38" s="1053">
        <f t="shared" si="4"/>
        <v>0.42749999999999999</v>
      </c>
      <c r="R38" s="1047">
        <f t="shared" si="5"/>
        <v>122467464</v>
      </c>
      <c r="S38" s="310">
        <f t="shared" si="31"/>
        <v>0</v>
      </c>
      <c r="T38" s="366">
        <f t="shared" si="32"/>
        <v>0</v>
      </c>
      <c r="U38" s="336">
        <f>-'OECD LPG subsidies'!E135</f>
        <v>0</v>
      </c>
      <c r="V38" s="342">
        <f>U38*E38</f>
        <v>0</v>
      </c>
      <c r="W38" s="111">
        <f t="shared" ref="W38" si="33">T38+V38</f>
        <v>0</v>
      </c>
      <c r="X38" s="320">
        <f t="shared" si="24"/>
        <v>2.6774999999999998</v>
      </c>
      <c r="Y38" s="342">
        <f>X38*D38+V38</f>
        <v>767033063.99999988</v>
      </c>
    </row>
    <row r="39" spans="1:27" ht="15.9" thickBot="1" x14ac:dyDescent="0.65">
      <c r="A39" s="15">
        <f>A38+1</f>
        <v>33</v>
      </c>
      <c r="B39" s="47" t="s">
        <v>51</v>
      </c>
      <c r="C39" s="291">
        <v>390</v>
      </c>
      <c r="D39" s="349">
        <f>C39*Assumptions!$C$30</f>
        <v>190008000</v>
      </c>
      <c r="E39" s="417">
        <f>Assumptions!$H$14</f>
        <v>1.7344999999999999E-2</v>
      </c>
      <c r="F39" s="1179"/>
      <c r="G39" s="299">
        <f>Assumptions!$C$115</f>
        <v>3.7854100000000002</v>
      </c>
      <c r="H39" s="296"/>
      <c r="I39" s="1055">
        <f>IF(D39=0,0,Assumptions!$C$94+Assumptions!$C$35)</f>
        <v>2.25</v>
      </c>
      <c r="J39" s="1076"/>
      <c r="K39" s="309">
        <f>J39*G39/E39/1000</f>
        <v>0</v>
      </c>
      <c r="L39" s="359">
        <v>0.18</v>
      </c>
      <c r="M39" s="334">
        <f t="shared" si="27"/>
        <v>0.40499999999999997</v>
      </c>
      <c r="N39" s="321">
        <f t="shared" si="28"/>
        <v>0</v>
      </c>
      <c r="O39" s="321">
        <f t="shared" si="29"/>
        <v>0.40499999999999997</v>
      </c>
      <c r="P39" s="319">
        <f t="shared" si="30"/>
        <v>76953240</v>
      </c>
      <c r="Q39" s="1054">
        <f t="shared" si="4"/>
        <v>0.40499999999999997</v>
      </c>
      <c r="R39" s="1048">
        <f t="shared" si="5"/>
        <v>76953240</v>
      </c>
      <c r="S39" s="312">
        <f t="shared" si="31"/>
        <v>0</v>
      </c>
      <c r="T39" s="368">
        <f t="shared" si="32"/>
        <v>0</v>
      </c>
      <c r="U39" s="340">
        <f>-'OECD LPG subsidies'!E137</f>
        <v>0</v>
      </c>
      <c r="V39" s="344">
        <f>U39*E39</f>
        <v>0</v>
      </c>
      <c r="W39" s="163">
        <f>T39+V39</f>
        <v>0</v>
      </c>
      <c r="X39" s="321">
        <f>0.31*G39</f>
        <v>1.1734770999999999</v>
      </c>
      <c r="Y39" s="344">
        <f>X39*D39+V39</f>
        <v>222970036.8168</v>
      </c>
    </row>
    <row r="40" spans="1:27" ht="15.9" thickTop="1" x14ac:dyDescent="0.6">
      <c r="A40" s="48" t="s">
        <v>52</v>
      </c>
      <c r="B40" s="44"/>
      <c r="C40" s="290"/>
      <c r="D40" s="348"/>
      <c r="E40" s="391"/>
      <c r="F40" s="1178"/>
      <c r="G40" s="390"/>
      <c r="H40" s="293"/>
      <c r="I40" s="301">
        <f>IF(D40=0,0,Assumptions!$C$94+Assumptions!$C$35)</f>
        <v>0</v>
      </c>
      <c r="J40" s="393"/>
      <c r="K40" s="394"/>
      <c r="L40" s="322"/>
      <c r="M40" s="329"/>
      <c r="N40" s="320"/>
      <c r="O40" s="320"/>
      <c r="P40" s="314"/>
      <c r="Q40" s="1046"/>
      <c r="R40" s="1047"/>
      <c r="S40" s="395"/>
      <c r="T40" s="396"/>
      <c r="U40" s="542"/>
      <c r="V40" s="543"/>
      <c r="W40" s="573"/>
      <c r="X40" s="571"/>
      <c r="Y40" s="548"/>
      <c r="AA40" s="55"/>
    </row>
    <row r="41" spans="1:27" x14ac:dyDescent="0.6">
      <c r="A41" s="61">
        <f>A39+1</f>
        <v>34</v>
      </c>
      <c r="B41" s="44" t="s">
        <v>48</v>
      </c>
      <c r="C41" s="290">
        <v>1315</v>
      </c>
      <c r="D41" s="348">
        <f>C41*Assumptions!$C$30</f>
        <v>640668000</v>
      </c>
      <c r="E41" s="399"/>
      <c r="F41" s="1178"/>
      <c r="G41" s="390">
        <f>Assumptions!$C$115</f>
        <v>3.7854100000000002</v>
      </c>
      <c r="H41" s="1128"/>
      <c r="I41" s="1163">
        <f>IF(D41=0,0,Assumptions!$C$94+Assumptions!$C$35)</f>
        <v>2.25</v>
      </c>
      <c r="J41" s="382"/>
      <c r="K41" s="394"/>
      <c r="L41" s="322"/>
      <c r="M41" s="329"/>
      <c r="N41" s="320"/>
      <c r="O41" s="320"/>
      <c r="P41" s="314"/>
      <c r="Q41" s="1046"/>
      <c r="R41" s="1047"/>
      <c r="S41" s="395"/>
      <c r="T41" s="396"/>
      <c r="U41" s="336"/>
      <c r="V41" s="342"/>
      <c r="W41" s="574"/>
      <c r="X41" s="1043">
        <f t="shared" ref="X41" si="34">I41</f>
        <v>2.25</v>
      </c>
      <c r="Y41" s="342">
        <f t="shared" ref="Y41:Y65" si="35">X41*D41</f>
        <v>1441503000</v>
      </c>
    </row>
    <row r="42" spans="1:27" x14ac:dyDescent="0.6">
      <c r="A42" s="46">
        <f>A41+1</f>
        <v>35</v>
      </c>
      <c r="B42" s="44" t="s">
        <v>53</v>
      </c>
      <c r="C42" s="290">
        <v>0</v>
      </c>
      <c r="D42" s="348">
        <f>C42*Assumptions!$C$30</f>
        <v>0</v>
      </c>
      <c r="E42" s="391"/>
      <c r="F42" s="1178"/>
      <c r="G42" s="390">
        <f>Assumptions!$C$115</f>
        <v>3.7854100000000002</v>
      </c>
      <c r="H42" s="1128"/>
      <c r="I42" s="1163">
        <f>IF(D42=0,0,Assumptions!$C$94+Assumptions!$C$35)</f>
        <v>0</v>
      </c>
      <c r="J42" s="382"/>
      <c r="K42" s="394"/>
      <c r="L42" s="322"/>
      <c r="M42" s="329"/>
      <c r="N42" s="320"/>
      <c r="O42" s="320"/>
      <c r="P42" s="314"/>
      <c r="Q42" s="1046"/>
      <c r="R42" s="1047"/>
      <c r="S42" s="395"/>
      <c r="T42" s="394"/>
      <c r="U42" s="336"/>
      <c r="V42" s="342"/>
      <c r="W42" s="574"/>
      <c r="X42" s="363">
        <f>0.08*G42</f>
        <v>0.30283280000000001</v>
      </c>
      <c r="Y42" s="342">
        <f t="shared" si="35"/>
        <v>0</v>
      </c>
    </row>
    <row r="43" spans="1:27" x14ac:dyDescent="0.6">
      <c r="A43" s="46">
        <f t="shared" ref="A43:A65" si="36">A42+1</f>
        <v>36</v>
      </c>
      <c r="B43" s="44" t="s">
        <v>54</v>
      </c>
      <c r="C43" s="290">
        <v>13</v>
      </c>
      <c r="D43" s="348">
        <f>C43*Assumptions!$C$30</f>
        <v>6333600</v>
      </c>
      <c r="E43" s="391"/>
      <c r="F43" s="1178"/>
      <c r="G43" s="390">
        <f>Assumptions!$C$115</f>
        <v>3.7854100000000002</v>
      </c>
      <c r="H43" s="1128"/>
      <c r="I43" s="1163">
        <f>IF(D43=0,0,Assumptions!$C$94+Assumptions!$C$35)</f>
        <v>2.25</v>
      </c>
      <c r="J43" s="382"/>
      <c r="K43" s="394"/>
      <c r="L43" s="322"/>
      <c r="M43" s="329"/>
      <c r="N43" s="320"/>
      <c r="O43" s="320"/>
      <c r="P43" s="314"/>
      <c r="Q43" s="1046"/>
      <c r="R43" s="1047"/>
      <c r="S43" s="395"/>
      <c r="T43" s="396"/>
      <c r="U43" s="336"/>
      <c r="V43" s="342"/>
      <c r="W43" s="574"/>
      <c r="X43" s="363">
        <f>0.54*G43</f>
        <v>2.0441214000000003</v>
      </c>
      <c r="Y43" s="342">
        <f t="shared" si="35"/>
        <v>12946647.299040003</v>
      </c>
    </row>
    <row r="44" spans="1:27" s="85" customFormat="1" x14ac:dyDescent="0.6">
      <c r="A44" s="61">
        <f t="shared" si="36"/>
        <v>37</v>
      </c>
      <c r="B44" s="86" t="s">
        <v>55</v>
      </c>
      <c r="C44" s="290">
        <v>2</v>
      </c>
      <c r="D44" s="348">
        <f>C44*Assumptions!$C$30</f>
        <v>974400</v>
      </c>
      <c r="E44" s="1005"/>
      <c r="F44" s="1180"/>
      <c r="G44" s="1006">
        <f>Assumptions!$C$115</f>
        <v>3.7854100000000002</v>
      </c>
      <c r="H44" s="1128"/>
      <c r="I44" s="1163">
        <f>IF(D44=0,0,Assumptions!$C$94+Assumptions!$C$35)</f>
        <v>2.25</v>
      </c>
      <c r="J44" s="393"/>
      <c r="K44" s="394"/>
      <c r="L44" s="322"/>
      <c r="M44" s="329"/>
      <c r="N44" s="320"/>
      <c r="O44" s="320"/>
      <c r="P44" s="314"/>
      <c r="Q44" s="1046"/>
      <c r="R44" s="1047"/>
      <c r="S44" s="395"/>
      <c r="T44" s="396"/>
      <c r="U44" s="1007"/>
      <c r="V44" s="847"/>
      <c r="W44" s="1008"/>
      <c r="X44" s="363">
        <f>0.23*G44</f>
        <v>0.87064430000000004</v>
      </c>
      <c r="Y44" s="847">
        <f t="shared" si="35"/>
        <v>848355.80592000007</v>
      </c>
      <c r="Z44" s="506"/>
    </row>
    <row r="45" spans="1:27" s="85" customFormat="1" x14ac:dyDescent="0.6">
      <c r="A45" s="61">
        <f t="shared" si="36"/>
        <v>38</v>
      </c>
      <c r="B45" s="86" t="s">
        <v>56</v>
      </c>
      <c r="C45" s="290">
        <v>0</v>
      </c>
      <c r="D45" s="348">
        <f>C45*Assumptions!$C$30</f>
        <v>0</v>
      </c>
      <c r="E45" s="1005"/>
      <c r="F45" s="1180"/>
      <c r="G45" s="1006">
        <f>Assumptions!$C$115</f>
        <v>3.7854100000000002</v>
      </c>
      <c r="H45" s="1128"/>
      <c r="I45" s="1163">
        <f>IF(D45=0,0,Assumptions!$C$94+Assumptions!$C$35)</f>
        <v>0</v>
      </c>
      <c r="J45" s="393"/>
      <c r="K45" s="394"/>
      <c r="L45" s="322"/>
      <c r="M45" s="329"/>
      <c r="N45" s="320"/>
      <c r="O45" s="320"/>
      <c r="P45" s="314"/>
      <c r="Q45" s="1046"/>
      <c r="R45" s="1047"/>
      <c r="S45" s="395"/>
      <c r="T45" s="396"/>
      <c r="U45" s="1007"/>
      <c r="V45" s="847"/>
      <c r="W45" s="1008"/>
      <c r="X45" s="1043">
        <f>I45</f>
        <v>0</v>
      </c>
      <c r="Y45" s="847">
        <f t="shared" si="35"/>
        <v>0</v>
      </c>
      <c r="Z45" s="506"/>
    </row>
    <row r="46" spans="1:27" x14ac:dyDescent="0.6">
      <c r="A46" s="46">
        <f t="shared" si="36"/>
        <v>39</v>
      </c>
      <c r="B46" s="44" t="s">
        <v>57</v>
      </c>
      <c r="C46" s="290">
        <v>0</v>
      </c>
      <c r="D46" s="348">
        <f>C46*Assumptions!$C$30</f>
        <v>0</v>
      </c>
      <c r="E46" s="391"/>
      <c r="F46" s="1178"/>
      <c r="G46" s="390">
        <f>Assumptions!$C$115</f>
        <v>3.7854100000000002</v>
      </c>
      <c r="H46" s="1128"/>
      <c r="I46" s="1163">
        <f>IF(D46=0,0,Assumptions!$C$94+Assumptions!$C$35)</f>
        <v>0</v>
      </c>
      <c r="J46" s="382"/>
      <c r="K46" s="400"/>
      <c r="L46" s="323"/>
      <c r="M46" s="329"/>
      <c r="N46" s="324"/>
      <c r="O46" s="324"/>
      <c r="P46" s="314"/>
      <c r="Q46" s="1046"/>
      <c r="R46" s="1047"/>
      <c r="S46" s="401"/>
      <c r="T46" s="396"/>
      <c r="U46" s="336"/>
      <c r="V46" s="342"/>
      <c r="W46" s="574"/>
      <c r="X46" s="1043">
        <f t="shared" ref="X46:X65" si="37">I46</f>
        <v>0</v>
      </c>
      <c r="Y46" s="342">
        <f t="shared" si="35"/>
        <v>0</v>
      </c>
    </row>
    <row r="47" spans="1:27" x14ac:dyDescent="0.6">
      <c r="A47" s="46">
        <f t="shared" si="36"/>
        <v>40</v>
      </c>
      <c r="B47" s="44" t="s">
        <v>58</v>
      </c>
      <c r="C47" s="290">
        <v>50</v>
      </c>
      <c r="D47" s="348">
        <f>C47*Assumptions!$C$30</f>
        <v>24360000</v>
      </c>
      <c r="E47" s="391"/>
      <c r="F47" s="1178"/>
      <c r="G47" s="390">
        <f>Assumptions!$C$115</f>
        <v>3.7854100000000002</v>
      </c>
      <c r="H47" s="1128"/>
      <c r="I47" s="1163">
        <f>IF(D47=0,0,Assumptions!$C$94+Assumptions!$C$35)</f>
        <v>2.25</v>
      </c>
      <c r="J47" s="382"/>
      <c r="K47" s="392"/>
      <c r="L47" s="325"/>
      <c r="M47" s="329"/>
      <c r="N47" s="281"/>
      <c r="O47" s="281"/>
      <c r="P47" s="314"/>
      <c r="Q47" s="1046"/>
      <c r="R47" s="1047"/>
      <c r="S47" s="402"/>
      <c r="T47" s="403"/>
      <c r="U47" s="336"/>
      <c r="V47" s="342"/>
      <c r="W47" s="574"/>
      <c r="X47" s="1043">
        <f t="shared" si="37"/>
        <v>2.25</v>
      </c>
      <c r="Y47" s="342">
        <f t="shared" si="35"/>
        <v>54810000</v>
      </c>
    </row>
    <row r="48" spans="1:27" x14ac:dyDescent="0.6">
      <c r="A48" s="46">
        <f t="shared" si="36"/>
        <v>41</v>
      </c>
      <c r="B48" s="44" t="s">
        <v>59</v>
      </c>
      <c r="C48" s="290">
        <v>0</v>
      </c>
      <c r="D48" s="348">
        <f>C48*Assumptions!$C$30</f>
        <v>0</v>
      </c>
      <c r="E48" s="391"/>
      <c r="F48" s="1178"/>
      <c r="G48" s="390">
        <f>Assumptions!$C$115</f>
        <v>3.7854100000000002</v>
      </c>
      <c r="H48" s="1128"/>
      <c r="I48" s="1163">
        <f>IF(D48=0,0,Assumptions!$C$94+Assumptions!$C$35)</f>
        <v>0</v>
      </c>
      <c r="J48" s="382"/>
      <c r="K48" s="392"/>
      <c r="L48" s="325"/>
      <c r="M48" s="329"/>
      <c r="N48" s="281"/>
      <c r="O48" s="281"/>
      <c r="P48" s="314"/>
      <c r="Q48" s="1046"/>
      <c r="R48" s="1047"/>
      <c r="S48" s="402"/>
      <c r="T48" s="396"/>
      <c r="U48" s="336"/>
      <c r="V48" s="342"/>
      <c r="W48" s="574"/>
      <c r="X48" s="1043">
        <f t="shared" si="37"/>
        <v>0</v>
      </c>
      <c r="Y48" s="342">
        <f t="shared" si="35"/>
        <v>0</v>
      </c>
    </row>
    <row r="49" spans="1:26" x14ac:dyDescent="0.6">
      <c r="A49" s="46">
        <f t="shared" si="36"/>
        <v>42</v>
      </c>
      <c r="B49" s="44" t="s">
        <v>60</v>
      </c>
      <c r="C49" s="290">
        <v>0</v>
      </c>
      <c r="D49" s="348">
        <f>C49*Assumptions!$C$30</f>
        <v>0</v>
      </c>
      <c r="E49" s="391"/>
      <c r="F49" s="1178"/>
      <c r="G49" s="390">
        <f>Assumptions!$C$115</f>
        <v>3.7854100000000002</v>
      </c>
      <c r="H49" s="1128"/>
      <c r="I49" s="1163">
        <f>IF(D49=0,0,Assumptions!$C$94+Assumptions!$C$35)</f>
        <v>0</v>
      </c>
      <c r="J49" s="382"/>
      <c r="K49" s="392"/>
      <c r="L49" s="325"/>
      <c r="M49" s="329"/>
      <c r="N49" s="281"/>
      <c r="O49" s="281"/>
      <c r="P49" s="314"/>
      <c r="Q49" s="1046"/>
      <c r="R49" s="1047"/>
      <c r="S49" s="402"/>
      <c r="T49" s="396"/>
      <c r="U49" s="336"/>
      <c r="V49" s="342"/>
      <c r="W49" s="574"/>
      <c r="X49" s="1043">
        <f t="shared" si="37"/>
        <v>0</v>
      </c>
      <c r="Y49" s="342">
        <f t="shared" si="35"/>
        <v>0</v>
      </c>
    </row>
    <row r="50" spans="1:26" s="85" customFormat="1" x14ac:dyDescent="0.6">
      <c r="A50" s="61">
        <f t="shared" si="36"/>
        <v>43</v>
      </c>
      <c r="B50" s="86" t="s">
        <v>61</v>
      </c>
      <c r="C50" s="290">
        <v>169</v>
      </c>
      <c r="D50" s="348">
        <f>C50*Assumptions!$C$30</f>
        <v>82336800</v>
      </c>
      <c r="E50" s="1009"/>
      <c r="F50" s="1181"/>
      <c r="G50" s="1006">
        <f>Assumptions!$C$115</f>
        <v>3.7854100000000002</v>
      </c>
      <c r="H50" s="1128"/>
      <c r="I50" s="1163">
        <f>IF(D50=0,0,Assumptions!$C$94+Assumptions!$C$35)</f>
        <v>2.25</v>
      </c>
      <c r="J50" s="393"/>
      <c r="K50" s="394"/>
      <c r="L50" s="322"/>
      <c r="M50" s="329"/>
      <c r="N50" s="320"/>
      <c r="O50" s="320"/>
      <c r="P50" s="314"/>
      <c r="Q50" s="1046"/>
      <c r="R50" s="1047"/>
      <c r="S50" s="395"/>
      <c r="T50" s="396"/>
      <c r="U50" s="1007"/>
      <c r="V50" s="847"/>
      <c r="W50" s="1008"/>
      <c r="X50" s="1043">
        <f t="shared" si="37"/>
        <v>2.25</v>
      </c>
      <c r="Y50" s="847">
        <f t="shared" si="35"/>
        <v>185257800</v>
      </c>
      <c r="Z50" s="506"/>
    </row>
    <row r="51" spans="1:26" s="85" customFormat="1" x14ac:dyDescent="0.6">
      <c r="A51" s="61">
        <f t="shared" si="36"/>
        <v>44</v>
      </c>
      <c r="B51" s="86" t="s">
        <v>62</v>
      </c>
      <c r="C51" s="290">
        <v>0</v>
      </c>
      <c r="D51" s="348">
        <f>C51*Assumptions!$C$30</f>
        <v>0</v>
      </c>
      <c r="E51" s="1005"/>
      <c r="F51" s="1180"/>
      <c r="G51" s="1006">
        <f>Assumptions!$C$115</f>
        <v>3.7854100000000002</v>
      </c>
      <c r="H51" s="1128"/>
      <c r="I51" s="1163">
        <f>IF(D51=0,0,Assumptions!$C$94+Assumptions!$C$35)</f>
        <v>0</v>
      </c>
      <c r="J51" s="393"/>
      <c r="K51" s="394"/>
      <c r="L51" s="322"/>
      <c r="M51" s="329"/>
      <c r="N51" s="320"/>
      <c r="O51" s="320"/>
      <c r="P51" s="314"/>
      <c r="Q51" s="1046"/>
      <c r="R51" s="1047"/>
      <c r="S51" s="395"/>
      <c r="T51" s="396"/>
      <c r="U51" s="1007"/>
      <c r="V51" s="847"/>
      <c r="W51" s="1008"/>
      <c r="X51" s="1043">
        <f t="shared" si="37"/>
        <v>0</v>
      </c>
      <c r="Y51" s="847">
        <f t="shared" si="35"/>
        <v>0</v>
      </c>
      <c r="Z51" s="506"/>
    </row>
    <row r="52" spans="1:26" s="85" customFormat="1" x14ac:dyDescent="0.6">
      <c r="A52" s="61">
        <f t="shared" si="36"/>
        <v>45</v>
      </c>
      <c r="B52" s="86" t="s">
        <v>63</v>
      </c>
      <c r="C52" s="290">
        <v>373</v>
      </c>
      <c r="D52" s="348">
        <f>C52*Assumptions!$C$30</f>
        <v>181725600</v>
      </c>
      <c r="E52" s="1005"/>
      <c r="F52" s="1180"/>
      <c r="G52" s="1006">
        <f>Assumptions!$C$115</f>
        <v>3.7854100000000002</v>
      </c>
      <c r="H52" s="1128"/>
      <c r="I52" s="1163">
        <f>IF(D52=0,0,Assumptions!$C$94+Assumptions!$C$35)</f>
        <v>2.25</v>
      </c>
      <c r="J52" s="393"/>
      <c r="K52" s="394"/>
      <c r="L52" s="322"/>
      <c r="M52" s="329"/>
      <c r="N52" s="320"/>
      <c r="O52" s="320"/>
      <c r="P52" s="314"/>
      <c r="Q52" s="1046"/>
      <c r="R52" s="1047"/>
      <c r="S52" s="395"/>
      <c r="T52" s="396"/>
      <c r="U52" s="1007"/>
      <c r="V52" s="847"/>
      <c r="W52" s="1008"/>
      <c r="X52" s="1043">
        <f t="shared" si="37"/>
        <v>2.25</v>
      </c>
      <c r="Y52" s="847">
        <f t="shared" si="35"/>
        <v>408882600</v>
      </c>
      <c r="Z52" s="70"/>
    </row>
    <row r="53" spans="1:26" s="85" customFormat="1" x14ac:dyDescent="0.6">
      <c r="A53" s="61">
        <f t="shared" si="36"/>
        <v>46</v>
      </c>
      <c r="B53" s="86" t="s">
        <v>64</v>
      </c>
      <c r="C53" s="290">
        <v>29</v>
      </c>
      <c r="D53" s="348">
        <f>C53*Assumptions!$C$30</f>
        <v>14128800</v>
      </c>
      <c r="E53" s="1005"/>
      <c r="F53" s="1180"/>
      <c r="G53" s="1006">
        <f>Assumptions!$C$115</f>
        <v>3.7854100000000002</v>
      </c>
      <c r="H53" s="1128"/>
      <c r="I53" s="1163">
        <f>IF(D53=0,0,Assumptions!$C$94+Assumptions!$C$35)</f>
        <v>2.25</v>
      </c>
      <c r="J53" s="393"/>
      <c r="K53" s="394"/>
      <c r="L53" s="322"/>
      <c r="M53" s="329"/>
      <c r="N53" s="320"/>
      <c r="O53" s="320"/>
      <c r="P53" s="314"/>
      <c r="Q53" s="1046"/>
      <c r="R53" s="1047"/>
      <c r="S53" s="395"/>
      <c r="T53" s="396"/>
      <c r="U53" s="1007"/>
      <c r="V53" s="847"/>
      <c r="W53" s="1008"/>
      <c r="X53" s="1043">
        <f t="shared" si="37"/>
        <v>2.25</v>
      </c>
      <c r="Y53" s="847">
        <f t="shared" si="35"/>
        <v>31789800</v>
      </c>
      <c r="Z53" s="506"/>
    </row>
    <row r="54" spans="1:26" s="85" customFormat="1" x14ac:dyDescent="0.6">
      <c r="A54" s="61">
        <f t="shared" si="36"/>
        <v>47</v>
      </c>
      <c r="B54" s="86" t="s">
        <v>65</v>
      </c>
      <c r="C54" s="290">
        <v>0</v>
      </c>
      <c r="D54" s="348">
        <f>C54*Assumptions!$C$30</f>
        <v>0</v>
      </c>
      <c r="E54" s="1005"/>
      <c r="F54" s="1180"/>
      <c r="G54" s="1006">
        <f>Assumptions!$C$115</f>
        <v>3.7854100000000002</v>
      </c>
      <c r="H54" s="1128"/>
      <c r="I54" s="1163">
        <f>IF(D54=0,0,Assumptions!$C$94+Assumptions!$C$35)</f>
        <v>0</v>
      </c>
      <c r="J54" s="393"/>
      <c r="K54" s="394"/>
      <c r="L54" s="322"/>
      <c r="M54" s="329"/>
      <c r="N54" s="320"/>
      <c r="O54" s="320"/>
      <c r="P54" s="314"/>
      <c r="Q54" s="1046"/>
      <c r="R54" s="1047"/>
      <c r="S54" s="395"/>
      <c r="T54" s="396"/>
      <c r="U54" s="1007"/>
      <c r="V54" s="1010"/>
      <c r="W54" s="1011"/>
      <c r="X54" s="1043">
        <f t="shared" si="37"/>
        <v>0</v>
      </c>
      <c r="Y54" s="847">
        <f t="shared" si="35"/>
        <v>0</v>
      </c>
      <c r="Z54" s="70"/>
    </row>
    <row r="55" spans="1:26" s="85" customFormat="1" x14ac:dyDescent="0.6">
      <c r="A55" s="61">
        <f t="shared" si="36"/>
        <v>48</v>
      </c>
      <c r="B55" s="86" t="s">
        <v>66</v>
      </c>
      <c r="C55" s="290">
        <v>0</v>
      </c>
      <c r="D55" s="348">
        <f>C55*Assumptions!$C$30</f>
        <v>0</v>
      </c>
      <c r="E55" s="1005"/>
      <c r="F55" s="1180"/>
      <c r="G55" s="1006">
        <f>Assumptions!$C$115</f>
        <v>3.7854100000000002</v>
      </c>
      <c r="H55" s="1128"/>
      <c r="I55" s="1163">
        <f>IF(D55=0,0,Assumptions!$C$94+Assumptions!$C$35)</f>
        <v>0</v>
      </c>
      <c r="J55" s="393"/>
      <c r="K55" s="394"/>
      <c r="L55" s="322"/>
      <c r="M55" s="329"/>
      <c r="N55" s="320"/>
      <c r="O55" s="320"/>
      <c r="P55" s="314"/>
      <c r="Q55" s="1046"/>
      <c r="R55" s="1047"/>
      <c r="S55" s="395"/>
      <c r="T55" s="396"/>
      <c r="U55" s="1007"/>
      <c r="V55" s="1010"/>
      <c r="W55" s="1011"/>
      <c r="X55" s="1043">
        <f t="shared" si="37"/>
        <v>0</v>
      </c>
      <c r="Y55" s="847">
        <f t="shared" si="35"/>
        <v>0</v>
      </c>
      <c r="Z55" s="506"/>
    </row>
    <row r="56" spans="1:26" s="85" customFormat="1" x14ac:dyDescent="0.6">
      <c r="A56" s="61">
        <f t="shared" si="36"/>
        <v>49</v>
      </c>
      <c r="B56" s="86" t="s">
        <v>67</v>
      </c>
      <c r="C56" s="290">
        <v>576</v>
      </c>
      <c r="D56" s="348">
        <f>C56*Assumptions!$C$30</f>
        <v>280627200</v>
      </c>
      <c r="E56" s="1005"/>
      <c r="F56" s="1180"/>
      <c r="G56" s="1006">
        <f>Assumptions!$C$115</f>
        <v>3.7854100000000002</v>
      </c>
      <c r="H56" s="1128"/>
      <c r="I56" s="1163">
        <f>IF(D56=0,0,Assumptions!$C$94+Assumptions!$C$35)</f>
        <v>2.25</v>
      </c>
      <c r="J56" s="393"/>
      <c r="K56" s="394"/>
      <c r="L56" s="322"/>
      <c r="M56" s="329"/>
      <c r="N56" s="320"/>
      <c r="O56" s="320"/>
      <c r="P56" s="314"/>
      <c r="Q56" s="1046"/>
      <c r="R56" s="1047"/>
      <c r="S56" s="395"/>
      <c r="T56" s="396"/>
      <c r="U56" s="1007"/>
      <c r="V56" s="1010"/>
      <c r="W56" s="1011"/>
      <c r="X56" s="1043">
        <f t="shared" si="37"/>
        <v>2.25</v>
      </c>
      <c r="Y56" s="847">
        <f t="shared" si="35"/>
        <v>631411200</v>
      </c>
      <c r="Z56" s="506"/>
    </row>
    <row r="57" spans="1:26" s="85" customFormat="1" x14ac:dyDescent="0.6">
      <c r="A57" s="61">
        <f t="shared" si="36"/>
        <v>50</v>
      </c>
      <c r="B57" s="86" t="s">
        <v>68</v>
      </c>
      <c r="C57" s="290">
        <v>0</v>
      </c>
      <c r="D57" s="348">
        <f>C57*Assumptions!$C$30</f>
        <v>0</v>
      </c>
      <c r="E57" s="1005"/>
      <c r="F57" s="1180"/>
      <c r="G57" s="1006">
        <f>Assumptions!$C$115</f>
        <v>3.7854100000000002</v>
      </c>
      <c r="H57" s="1128"/>
      <c r="I57" s="1163">
        <f>IF(D57=0,0,Assumptions!$C$94+Assumptions!$C$35)</f>
        <v>0</v>
      </c>
      <c r="J57" s="393"/>
      <c r="K57" s="394"/>
      <c r="L57" s="322"/>
      <c r="M57" s="329"/>
      <c r="N57" s="320"/>
      <c r="O57" s="320"/>
      <c r="P57" s="314"/>
      <c r="Q57" s="1046"/>
      <c r="R57" s="1047"/>
      <c r="S57" s="395"/>
      <c r="T57" s="396"/>
      <c r="U57" s="1007"/>
      <c r="V57" s="1010"/>
      <c r="W57" s="1011"/>
      <c r="X57" s="1043">
        <f t="shared" si="37"/>
        <v>0</v>
      </c>
      <c r="Y57" s="847">
        <f t="shared" si="35"/>
        <v>0</v>
      </c>
      <c r="Z57" s="506"/>
    </row>
    <row r="58" spans="1:26" s="85" customFormat="1" x14ac:dyDescent="0.6">
      <c r="A58" s="61">
        <f t="shared" si="36"/>
        <v>51</v>
      </c>
      <c r="B58" s="86" t="s">
        <v>695</v>
      </c>
      <c r="C58" s="290">
        <v>0</v>
      </c>
      <c r="D58" s="348">
        <f>C58*Assumptions!$C$30</f>
        <v>0</v>
      </c>
      <c r="E58" s="1005"/>
      <c r="F58" s="1180"/>
      <c r="G58" s="1006">
        <f>Assumptions!$C$115</f>
        <v>3.7854100000000002</v>
      </c>
      <c r="H58" s="1128"/>
      <c r="I58" s="1163">
        <f>IF(D58=0,0,Assumptions!$C$94+Assumptions!$C$35)</f>
        <v>0</v>
      </c>
      <c r="J58" s="393"/>
      <c r="K58" s="394"/>
      <c r="L58" s="322"/>
      <c r="M58" s="329"/>
      <c r="N58" s="320"/>
      <c r="O58" s="320"/>
      <c r="P58" s="314"/>
      <c r="Q58" s="1046"/>
      <c r="R58" s="1047"/>
      <c r="S58" s="395"/>
      <c r="T58" s="396"/>
      <c r="U58" s="1007"/>
      <c r="V58" s="1010"/>
      <c r="W58" s="1011"/>
      <c r="X58" s="1043">
        <f t="shared" si="37"/>
        <v>0</v>
      </c>
      <c r="Y58" s="847">
        <f t="shared" si="35"/>
        <v>0</v>
      </c>
      <c r="Z58" s="506"/>
    </row>
    <row r="59" spans="1:26" s="85" customFormat="1" x14ac:dyDescent="0.6">
      <c r="A59" s="61">
        <f t="shared" si="36"/>
        <v>52</v>
      </c>
      <c r="B59" s="86" t="s">
        <v>69</v>
      </c>
      <c r="C59" s="290">
        <v>0</v>
      </c>
      <c r="D59" s="348">
        <f>C59*Assumptions!$C$30</f>
        <v>0</v>
      </c>
      <c r="E59" s="1005"/>
      <c r="F59" s="1180"/>
      <c r="G59" s="1006">
        <f>Assumptions!$C$115</f>
        <v>3.7854100000000002</v>
      </c>
      <c r="H59" s="1128"/>
      <c r="I59" s="1163">
        <f>IF(D59=0,0,Assumptions!$C$94+Assumptions!$C$35)</f>
        <v>0</v>
      </c>
      <c r="J59" s="393"/>
      <c r="K59" s="394"/>
      <c r="L59" s="322"/>
      <c r="M59" s="329"/>
      <c r="N59" s="320"/>
      <c r="O59" s="320"/>
      <c r="P59" s="314"/>
      <c r="Q59" s="1046"/>
      <c r="R59" s="1047"/>
      <c r="S59" s="395"/>
      <c r="T59" s="396"/>
      <c r="U59" s="1007"/>
      <c r="V59" s="1010"/>
      <c r="W59" s="1011"/>
      <c r="X59" s="1043">
        <f t="shared" si="37"/>
        <v>0</v>
      </c>
      <c r="Y59" s="847">
        <f t="shared" si="35"/>
        <v>0</v>
      </c>
      <c r="Z59" s="70"/>
    </row>
    <row r="60" spans="1:26" s="85" customFormat="1" x14ac:dyDescent="0.6">
      <c r="A60" s="61">
        <f t="shared" si="36"/>
        <v>53</v>
      </c>
      <c r="B60" s="86" t="s">
        <v>70</v>
      </c>
      <c r="C60" s="290">
        <v>0</v>
      </c>
      <c r="D60" s="348">
        <f>C60*Assumptions!$C$30</f>
        <v>0</v>
      </c>
      <c r="E60" s="1005"/>
      <c r="F60" s="1180"/>
      <c r="G60" s="1006">
        <f>Assumptions!$C$115</f>
        <v>3.7854100000000002</v>
      </c>
      <c r="H60" s="1128"/>
      <c r="I60" s="1163">
        <f>IF(D60=0,0,Assumptions!$C$94+Assumptions!$C$35)</f>
        <v>0</v>
      </c>
      <c r="J60" s="393"/>
      <c r="K60" s="394"/>
      <c r="L60" s="322"/>
      <c r="M60" s="329"/>
      <c r="N60" s="320"/>
      <c r="O60" s="320"/>
      <c r="P60" s="314"/>
      <c r="Q60" s="1046"/>
      <c r="R60" s="1047"/>
      <c r="S60" s="395"/>
      <c r="T60" s="396"/>
      <c r="U60" s="1007"/>
      <c r="V60" s="1010"/>
      <c r="W60" s="1011"/>
      <c r="X60" s="1043">
        <f t="shared" si="37"/>
        <v>0</v>
      </c>
      <c r="Y60" s="847">
        <f t="shared" si="35"/>
        <v>0</v>
      </c>
      <c r="Z60" s="70"/>
    </row>
    <row r="61" spans="1:26" s="85" customFormat="1" x14ac:dyDescent="0.6">
      <c r="A61" s="61">
        <f t="shared" si="36"/>
        <v>54</v>
      </c>
      <c r="B61" s="86" t="s">
        <v>71</v>
      </c>
      <c r="C61" s="290">
        <v>0</v>
      </c>
      <c r="D61" s="348">
        <f>C61*Assumptions!$C$30</f>
        <v>0</v>
      </c>
      <c r="E61" s="1005"/>
      <c r="F61" s="1180"/>
      <c r="G61" s="1006">
        <f>Assumptions!$C$115</f>
        <v>3.7854100000000002</v>
      </c>
      <c r="H61" s="1128"/>
      <c r="I61" s="1163">
        <f>IF(D61=0,0,Assumptions!$C$94+Assumptions!$C$35)</f>
        <v>0</v>
      </c>
      <c r="J61" s="393"/>
      <c r="K61" s="394"/>
      <c r="L61" s="322"/>
      <c r="M61" s="329"/>
      <c r="N61" s="320"/>
      <c r="O61" s="320"/>
      <c r="P61" s="314"/>
      <c r="Q61" s="1046"/>
      <c r="R61" s="1047"/>
      <c r="S61" s="395"/>
      <c r="T61" s="396"/>
      <c r="U61" s="1007"/>
      <c r="V61" s="1010"/>
      <c r="W61" s="1011"/>
      <c r="X61" s="1043">
        <f t="shared" si="37"/>
        <v>0</v>
      </c>
      <c r="Y61" s="847">
        <f t="shared" si="35"/>
        <v>0</v>
      </c>
      <c r="Z61" s="506"/>
    </row>
    <row r="62" spans="1:26" s="85" customFormat="1" x14ac:dyDescent="0.6">
      <c r="A62" s="61">
        <f t="shared" si="36"/>
        <v>55</v>
      </c>
      <c r="B62" s="86" t="s">
        <v>72</v>
      </c>
      <c r="C62" s="290">
        <v>0</v>
      </c>
      <c r="D62" s="348">
        <f>C62*Assumptions!$C$30</f>
        <v>0</v>
      </c>
      <c r="E62" s="1005"/>
      <c r="F62" s="1180"/>
      <c r="G62" s="1006">
        <f>Assumptions!$C$115</f>
        <v>3.7854100000000002</v>
      </c>
      <c r="H62" s="1128"/>
      <c r="I62" s="1163">
        <f>IF(D62=0,0,Assumptions!$C$94+Assumptions!$C$35)</f>
        <v>0</v>
      </c>
      <c r="J62" s="393"/>
      <c r="K62" s="394"/>
      <c r="L62" s="322"/>
      <c r="M62" s="329"/>
      <c r="N62" s="320"/>
      <c r="O62" s="320"/>
      <c r="P62" s="314"/>
      <c r="Q62" s="1046"/>
      <c r="R62" s="1047"/>
      <c r="S62" s="395"/>
      <c r="T62" s="396"/>
      <c r="U62" s="1007"/>
      <c r="V62" s="1010"/>
      <c r="W62" s="1011"/>
      <c r="X62" s="1043">
        <f t="shared" si="37"/>
        <v>0</v>
      </c>
      <c r="Y62" s="847">
        <f t="shared" si="35"/>
        <v>0</v>
      </c>
      <c r="Z62" s="506"/>
    </row>
    <row r="63" spans="1:26" s="85" customFormat="1" x14ac:dyDescent="0.6">
      <c r="A63" s="61">
        <f t="shared" si="36"/>
        <v>56</v>
      </c>
      <c r="B63" s="86" t="s">
        <v>73</v>
      </c>
      <c r="C63" s="290">
        <v>0</v>
      </c>
      <c r="D63" s="348">
        <f>C63*Assumptions!$C$30</f>
        <v>0</v>
      </c>
      <c r="E63" s="1005"/>
      <c r="F63" s="1180"/>
      <c r="G63" s="1006">
        <f>Assumptions!$C$115</f>
        <v>3.7854100000000002</v>
      </c>
      <c r="H63" s="1128"/>
      <c r="I63" s="1163">
        <f>IF(D63=0,0,Assumptions!$C$94+Assumptions!$C$35)</f>
        <v>0</v>
      </c>
      <c r="J63" s="393"/>
      <c r="K63" s="394"/>
      <c r="L63" s="322"/>
      <c r="M63" s="329"/>
      <c r="N63" s="320"/>
      <c r="O63" s="320"/>
      <c r="P63" s="314"/>
      <c r="Q63" s="1046"/>
      <c r="R63" s="1047"/>
      <c r="S63" s="395"/>
      <c r="T63" s="396"/>
      <c r="U63" s="1007"/>
      <c r="V63" s="1010"/>
      <c r="W63" s="1011"/>
      <c r="X63" s="1043">
        <f t="shared" si="37"/>
        <v>0</v>
      </c>
      <c r="Y63" s="847">
        <f t="shared" si="35"/>
        <v>0</v>
      </c>
      <c r="Z63" s="70"/>
    </row>
    <row r="64" spans="1:26" s="85" customFormat="1" x14ac:dyDescent="0.6">
      <c r="A64" s="61">
        <f t="shared" si="36"/>
        <v>57</v>
      </c>
      <c r="B64" s="86" t="s">
        <v>74</v>
      </c>
      <c r="C64" s="290">
        <v>0</v>
      </c>
      <c r="D64" s="348">
        <f>C64*Assumptions!$C$30</f>
        <v>0</v>
      </c>
      <c r="E64" s="1005"/>
      <c r="F64" s="1180"/>
      <c r="G64" s="1006">
        <f>Assumptions!$C$115</f>
        <v>3.7854100000000002</v>
      </c>
      <c r="H64" s="1128"/>
      <c r="I64" s="1163">
        <f>IF(D64=0,0,Assumptions!$C$94+Assumptions!$C$35)</f>
        <v>0</v>
      </c>
      <c r="J64" s="393"/>
      <c r="K64" s="394"/>
      <c r="L64" s="322"/>
      <c r="M64" s="329"/>
      <c r="N64" s="320"/>
      <c r="O64" s="320"/>
      <c r="P64" s="314"/>
      <c r="Q64" s="1046"/>
      <c r="R64" s="1047"/>
      <c r="S64" s="395"/>
      <c r="T64" s="396"/>
      <c r="U64" s="1007"/>
      <c r="V64" s="1010"/>
      <c r="W64" s="1011"/>
      <c r="X64" s="1043">
        <f t="shared" si="37"/>
        <v>0</v>
      </c>
      <c r="Y64" s="847">
        <f t="shared" si="35"/>
        <v>0</v>
      </c>
      <c r="Z64" s="506"/>
    </row>
    <row r="65" spans="1:26" s="85" customFormat="1" x14ac:dyDescent="0.6">
      <c r="A65" s="63">
        <f t="shared" si="36"/>
        <v>58</v>
      </c>
      <c r="B65" s="90" t="s">
        <v>75</v>
      </c>
      <c r="C65" s="292">
        <v>254</v>
      </c>
      <c r="D65" s="350">
        <f>C65*Assumptions!$C$30</f>
        <v>123748800</v>
      </c>
      <c r="E65" s="1012"/>
      <c r="F65" s="1182"/>
      <c r="G65" s="1013">
        <f>Assumptions!$C$115</f>
        <v>3.7854100000000002</v>
      </c>
      <c r="H65" s="1129"/>
      <c r="I65" s="1164">
        <f>IF(D65=0,0,Assumptions!$C$94+Assumptions!$C$35)</f>
        <v>2.25</v>
      </c>
      <c r="J65" s="819"/>
      <c r="K65" s="858"/>
      <c r="L65" s="967"/>
      <c r="M65" s="335"/>
      <c r="N65" s="1014"/>
      <c r="O65" s="1014"/>
      <c r="P65" s="328"/>
      <c r="Q65" s="1049"/>
      <c r="R65" s="1050"/>
      <c r="S65" s="1015"/>
      <c r="T65" s="409"/>
      <c r="U65" s="1016"/>
      <c r="V65" s="1017"/>
      <c r="W65" s="1018"/>
      <c r="X65" s="1172">
        <f t="shared" si="37"/>
        <v>2.25</v>
      </c>
      <c r="Y65" s="1019">
        <f t="shared" si="35"/>
        <v>278434800</v>
      </c>
      <c r="Z65" s="506"/>
    </row>
    <row r="66" spans="1:26" x14ac:dyDescent="0.6">
      <c r="B66" s="1" t="s">
        <v>42</v>
      </c>
      <c r="D66" s="13">
        <f>SUM(D4:D65)</f>
        <v>8043184800</v>
      </c>
      <c r="E66" s="398"/>
      <c r="F66" s="1183"/>
      <c r="G66" s="410"/>
      <c r="H66" s="83"/>
      <c r="I66" s="278"/>
      <c r="J66" s="411"/>
      <c r="K66" s="278"/>
      <c r="L66" s="412"/>
      <c r="M66" s="413"/>
      <c r="N66" s="278"/>
      <c r="O66" s="278"/>
      <c r="P66" s="414"/>
      <c r="Q66" s="414"/>
      <c r="R66" s="414"/>
      <c r="S66" s="278"/>
      <c r="T66" s="415"/>
      <c r="U66" s="397"/>
      <c r="V66" s="83"/>
      <c r="W66" s="1"/>
    </row>
    <row r="67" spans="1:26" x14ac:dyDescent="0.6">
      <c r="B67" s="1" t="s">
        <v>357</v>
      </c>
      <c r="C67" s="13">
        <v>20656</v>
      </c>
      <c r="D67" s="13">
        <f>C67*Assumptions!$C$30</f>
        <v>10063603200</v>
      </c>
      <c r="E67" s="398"/>
      <c r="F67" s="1183"/>
      <c r="G67" s="410"/>
      <c r="H67" s="83"/>
      <c r="I67" s="278"/>
      <c r="J67" s="411"/>
      <c r="K67" s="278"/>
      <c r="L67" s="412"/>
      <c r="M67" s="413"/>
      <c r="N67" s="278"/>
      <c r="O67" s="278"/>
      <c r="P67" s="414"/>
      <c r="Q67" s="414"/>
      <c r="R67" s="414"/>
      <c r="S67" s="278"/>
      <c r="T67" s="415"/>
      <c r="U67" s="397"/>
      <c r="V67" s="83"/>
      <c r="W67" s="1"/>
    </row>
    <row r="68" spans="1:26" x14ac:dyDescent="0.6">
      <c r="C68" s="28"/>
      <c r="D68" s="28">
        <f>D66/D67</f>
        <v>0.79923508907823393</v>
      </c>
      <c r="E68" s="398"/>
      <c r="F68" s="1183"/>
      <c r="G68" s="410"/>
      <c r="H68" s="83"/>
      <c r="I68" s="278"/>
      <c r="J68" s="411"/>
      <c r="K68" s="278"/>
      <c r="L68" s="412"/>
      <c r="M68" s="413"/>
      <c r="N68" s="278"/>
      <c r="O68" s="278"/>
      <c r="P68" s="414"/>
      <c r="Q68" s="414"/>
      <c r="R68" s="414"/>
      <c r="S68" s="278"/>
      <c r="T68" s="415"/>
      <c r="U68" s="397"/>
      <c r="V68" s="83"/>
      <c r="W68" s="1"/>
    </row>
    <row r="69" spans="1:26" x14ac:dyDescent="0.6">
      <c r="A69" s="1"/>
      <c r="D69" s="1"/>
      <c r="E69" s="398"/>
      <c r="F69" s="1183"/>
      <c r="G69" s="83"/>
      <c r="H69" s="83"/>
      <c r="I69" s="278"/>
      <c r="J69" s="83"/>
      <c r="K69" s="83"/>
      <c r="L69" s="412"/>
      <c r="M69" s="413"/>
      <c r="N69" s="83"/>
      <c r="O69" s="83"/>
      <c r="P69" s="414"/>
      <c r="Q69" s="414"/>
      <c r="R69" s="414"/>
      <c r="S69" s="83"/>
      <c r="T69" s="416"/>
      <c r="U69" s="397"/>
      <c r="V69" s="83"/>
      <c r="W69" s="1"/>
    </row>
    <row r="70" spans="1:26" x14ac:dyDescent="0.6">
      <c r="D70" s="239"/>
      <c r="E70" s="398"/>
      <c r="F70" s="1183"/>
      <c r="G70" s="410"/>
      <c r="H70" s="83"/>
      <c r="I70" s="278"/>
      <c r="J70" s="411"/>
      <c r="K70" s="278"/>
      <c r="L70" s="412"/>
      <c r="M70" s="413"/>
      <c r="N70" s="278"/>
      <c r="O70" s="278"/>
      <c r="P70" s="414"/>
      <c r="Q70" s="414"/>
      <c r="R70" s="414"/>
      <c r="S70" s="278"/>
      <c r="T70" s="415"/>
      <c r="U70" s="397"/>
      <c r="V70" s="276"/>
    </row>
    <row r="71" spans="1:26" x14ac:dyDescent="0.6">
      <c r="E71" s="398"/>
      <c r="F71" s="1183"/>
      <c r="G71" s="410"/>
      <c r="H71" s="83"/>
      <c r="I71" s="278"/>
      <c r="J71" s="411"/>
      <c r="K71" s="278"/>
      <c r="L71" s="412"/>
      <c r="M71" s="413"/>
      <c r="N71" s="278"/>
      <c r="O71" s="278"/>
      <c r="P71" s="414"/>
      <c r="Q71" s="414"/>
      <c r="R71" s="414"/>
      <c r="S71" s="278"/>
      <c r="T71" s="415"/>
      <c r="U71" s="397"/>
      <c r="V71" s="276"/>
    </row>
    <row r="72" spans="1:26" x14ac:dyDescent="0.6">
      <c r="E72" s="398"/>
      <c r="F72" s="1183"/>
      <c r="G72" s="410"/>
      <c r="H72" s="83"/>
      <c r="I72" s="278"/>
      <c r="J72" s="411"/>
      <c r="K72" s="278"/>
      <c r="L72" s="412"/>
      <c r="M72" s="413"/>
      <c r="N72" s="278"/>
      <c r="O72" s="278"/>
      <c r="P72" s="414"/>
      <c r="Q72" s="414"/>
      <c r="R72" s="414"/>
      <c r="S72" s="278"/>
      <c r="T72" s="415"/>
      <c r="U72" s="397"/>
      <c r="V72" s="276"/>
    </row>
    <row r="73" spans="1:26" x14ac:dyDescent="0.6">
      <c r="E73" s="398"/>
      <c r="F73" s="1183"/>
      <c r="G73" s="410"/>
      <c r="H73" s="83"/>
      <c r="I73" s="278"/>
      <c r="J73" s="411"/>
      <c r="K73" s="278"/>
      <c r="L73" s="412"/>
      <c r="M73" s="413"/>
      <c r="N73" s="278"/>
      <c r="O73" s="278"/>
      <c r="P73" s="414"/>
      <c r="Q73" s="414"/>
      <c r="R73" s="414"/>
      <c r="S73" s="278"/>
      <c r="T73" s="415"/>
      <c r="U73" s="397"/>
      <c r="V73" s="276"/>
    </row>
    <row r="74" spans="1:26" x14ac:dyDescent="0.6">
      <c r="E74" s="398"/>
      <c r="F74" s="1183"/>
      <c r="G74" s="410"/>
      <c r="H74" s="83"/>
      <c r="I74" s="278"/>
      <c r="J74" s="411"/>
      <c r="K74" s="278"/>
      <c r="L74" s="412"/>
      <c r="M74" s="413"/>
      <c r="N74" s="278"/>
      <c r="O74" s="278"/>
      <c r="P74" s="414"/>
      <c r="Q74" s="414"/>
      <c r="R74" s="414"/>
      <c r="S74" s="278"/>
      <c r="T74" s="415"/>
      <c r="U74" s="397"/>
      <c r="V74" s="276"/>
    </row>
    <row r="75" spans="1:26" x14ac:dyDescent="0.6">
      <c r="E75" s="398"/>
      <c r="F75" s="1183"/>
      <c r="G75" s="410"/>
      <c r="H75" s="83"/>
      <c r="I75" s="278"/>
      <c r="J75" s="411"/>
      <c r="K75" s="278"/>
      <c r="L75" s="412"/>
      <c r="M75" s="413"/>
      <c r="N75" s="278"/>
      <c r="O75" s="278"/>
      <c r="P75" s="414"/>
      <c r="Q75" s="414"/>
      <c r="R75" s="414"/>
      <c r="S75" s="278"/>
      <c r="T75" s="415"/>
      <c r="U75" s="397"/>
      <c r="V75" s="276"/>
    </row>
    <row r="76" spans="1:26" x14ac:dyDescent="0.6">
      <c r="E76" s="398"/>
      <c r="F76" s="1183"/>
      <c r="G76" s="410"/>
      <c r="H76" s="83"/>
      <c r="I76" s="278"/>
      <c r="J76" s="411"/>
      <c r="K76" s="278"/>
      <c r="L76" s="412"/>
      <c r="M76" s="413"/>
      <c r="N76" s="278"/>
      <c r="O76" s="278"/>
      <c r="P76" s="414"/>
      <c r="Q76" s="414"/>
      <c r="R76" s="414"/>
      <c r="S76" s="278"/>
      <c r="T76" s="415"/>
      <c r="U76" s="397"/>
      <c r="V76" s="276"/>
    </row>
    <row r="77" spans="1:26" x14ac:dyDescent="0.6">
      <c r="E77" s="398"/>
      <c r="F77" s="1183"/>
      <c r="G77" s="410"/>
      <c r="H77" s="83"/>
      <c r="I77" s="278"/>
      <c r="J77" s="411"/>
      <c r="K77" s="278"/>
      <c r="L77" s="412"/>
      <c r="M77" s="413"/>
      <c r="N77" s="278"/>
      <c r="O77" s="278"/>
      <c r="P77" s="414"/>
      <c r="Q77" s="414"/>
      <c r="R77" s="414"/>
      <c r="S77" s="278"/>
      <c r="T77" s="415"/>
      <c r="U77" s="397"/>
      <c r="V77" s="276"/>
    </row>
    <row r="78" spans="1:26" x14ac:dyDescent="0.6">
      <c r="E78" s="398"/>
      <c r="F78" s="1183"/>
      <c r="G78" s="410"/>
      <c r="H78" s="83"/>
      <c r="I78" s="278"/>
      <c r="J78" s="411"/>
      <c r="K78" s="278"/>
      <c r="L78" s="412"/>
      <c r="M78" s="413"/>
      <c r="N78" s="278"/>
      <c r="O78" s="278"/>
      <c r="P78" s="414"/>
      <c r="Q78" s="414"/>
      <c r="R78" s="414"/>
      <c r="S78" s="278"/>
      <c r="T78" s="415"/>
      <c r="U78" s="397"/>
      <c r="V78" s="276"/>
    </row>
    <row r="79" spans="1:26" x14ac:dyDescent="0.6">
      <c r="E79" s="398"/>
      <c r="F79" s="1183"/>
      <c r="G79" s="410"/>
      <c r="H79" s="83"/>
      <c r="I79" s="278"/>
      <c r="J79" s="411"/>
      <c r="K79" s="278"/>
      <c r="L79" s="412"/>
      <c r="M79" s="413"/>
      <c r="N79" s="278"/>
      <c r="O79" s="278"/>
      <c r="P79" s="414"/>
      <c r="Q79" s="414"/>
      <c r="R79" s="414"/>
      <c r="S79" s="278"/>
      <c r="T79" s="415"/>
      <c r="U79" s="397"/>
      <c r="V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3" width="10.09765625" style="55" customWidth="1"/>
    <col min="4" max="4" width="10.09765625" style="89" customWidth="1"/>
    <col min="5" max="5" width="10.09765625" style="55" customWidth="1"/>
    <col min="6" max="6" width="9.5" style="55" customWidth="1"/>
    <col min="7" max="7" width="8.84765625" style="96" bestFit="1" customWidth="1"/>
    <col min="8" max="8" width="12" style="122" customWidth="1"/>
    <col min="9" max="9" width="16.09765625" style="1" bestFit="1" customWidth="1"/>
    <col min="10" max="10" width="8.3476562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1138</v>
      </c>
      <c r="E1" s="89"/>
      <c r="F1" s="879"/>
      <c r="I1" s="13"/>
      <c r="J1" s="95" t="s">
        <v>1091</v>
      </c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958"/>
      <c r="E2" s="56" t="s">
        <v>100</v>
      </c>
      <c r="F2" s="56"/>
      <c r="G2" s="97" t="s">
        <v>189</v>
      </c>
      <c r="H2" s="1185" t="s">
        <v>24</v>
      </c>
      <c r="I2" s="60" t="s">
        <v>24</v>
      </c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/>
      <c r="B3" s="60"/>
      <c r="C3" s="56" t="s">
        <v>136</v>
      </c>
      <c r="D3" s="958" t="s">
        <v>137</v>
      </c>
      <c r="E3" s="56" t="s">
        <v>604</v>
      </c>
      <c r="F3" s="56" t="s">
        <v>42</v>
      </c>
      <c r="G3" s="97" t="s">
        <v>79</v>
      </c>
      <c r="H3" s="157" t="s">
        <v>1139</v>
      </c>
      <c r="I3" s="2" t="s">
        <v>400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60">
        <v>1</v>
      </c>
      <c r="B4" s="85" t="s">
        <v>178</v>
      </c>
      <c r="C4" s="89"/>
      <c r="D4" s="89"/>
      <c r="E4" s="89"/>
      <c r="F4" s="89">
        <f t="shared" ref="F4:F54" si="0">D4+C4</f>
        <v>0</v>
      </c>
      <c r="G4" s="174">
        <v>8.9099999999999999E-2</v>
      </c>
      <c r="H4" s="948">
        <v>1.6</v>
      </c>
      <c r="I4" s="897">
        <f>H4*Assumptions!$C$32</f>
        <v>17582417.582417585</v>
      </c>
      <c r="J4" s="156">
        <f>K4*(1+G4)</f>
        <v>2.5027518</v>
      </c>
      <c r="K4" s="156">
        <v>2.298</v>
      </c>
      <c r="L4" s="156">
        <f t="shared" ref="L4:L54" si="1">K4*(1+G4)</f>
        <v>2.5027518</v>
      </c>
      <c r="M4" s="952">
        <f>J4-K4</f>
        <v>0.20475179999999993</v>
      </c>
      <c r="N4" s="70">
        <f t="shared" ref="N4:N54" si="2">J4*I4</f>
        <v>44004427.25274726</v>
      </c>
      <c r="O4" s="70">
        <f t="shared" ref="O4:O54" si="3">K4*I4</f>
        <v>40404395.604395613</v>
      </c>
      <c r="P4" s="70">
        <f t="shared" ref="P4:P54" si="4">L4*I4</f>
        <v>44004427.25274726</v>
      </c>
      <c r="Q4" s="70">
        <f t="shared" ref="Q4:Q54" si="5">N4-P4</f>
        <v>0</v>
      </c>
    </row>
    <row r="5" spans="1:17" s="85" customFormat="1" x14ac:dyDescent="0.6">
      <c r="A5" s="60">
        <f t="shared" ref="A5:A54" si="6">A4+1</f>
        <v>2</v>
      </c>
      <c r="B5" s="85" t="s">
        <v>188</v>
      </c>
      <c r="C5" s="89">
        <f t="shared" ref="C5:C54" si="7">C4</f>
        <v>0</v>
      </c>
      <c r="D5" s="89"/>
      <c r="E5" s="89"/>
      <c r="F5" s="89">
        <f t="shared" si="0"/>
        <v>0</v>
      </c>
      <c r="G5" s="174">
        <v>1.7600000000000001E-2</v>
      </c>
      <c r="H5" s="948">
        <v>0.6</v>
      </c>
      <c r="I5" s="897">
        <f>H5*Assumptions!$C$32</f>
        <v>6593406.5934065934</v>
      </c>
      <c r="J5" s="156">
        <f t="shared" ref="J5:J54" si="8">K5*(1+G5)</f>
        <v>2.1888576</v>
      </c>
      <c r="K5" s="156">
        <v>2.1509999999999998</v>
      </c>
      <c r="L5" s="156">
        <f t="shared" si="1"/>
        <v>2.1888576</v>
      </c>
      <c r="M5" s="952">
        <f t="shared" ref="M5:M54" si="9">J5-K5</f>
        <v>3.7857600000000158E-2</v>
      </c>
      <c r="N5" s="70">
        <f t="shared" si="2"/>
        <v>14432028.131868131</v>
      </c>
      <c r="O5" s="70">
        <f t="shared" si="3"/>
        <v>14182417.582417581</v>
      </c>
      <c r="P5" s="70">
        <f t="shared" si="4"/>
        <v>14432028.131868131</v>
      </c>
      <c r="Q5" s="70">
        <f t="shared" si="5"/>
        <v>0</v>
      </c>
    </row>
    <row r="6" spans="1:17" s="85" customFormat="1" x14ac:dyDescent="0.6">
      <c r="A6" s="60">
        <f t="shared" si="6"/>
        <v>3</v>
      </c>
      <c r="B6" s="85" t="s">
        <v>181</v>
      </c>
      <c r="C6" s="89">
        <f t="shared" si="7"/>
        <v>0</v>
      </c>
      <c r="D6" s="89"/>
      <c r="E6" s="89"/>
      <c r="F6" s="89">
        <f t="shared" si="0"/>
        <v>0</v>
      </c>
      <c r="G6" s="174">
        <v>8.1699999999999995E-2</v>
      </c>
      <c r="H6" s="948">
        <v>1.6</v>
      </c>
      <c r="I6" s="897">
        <f>H6*Assumptions!$C$32</f>
        <v>17582417.582417585</v>
      </c>
      <c r="J6" s="156">
        <f t="shared" si="8"/>
        <v>2.3267367000000001</v>
      </c>
      <c r="K6" s="156">
        <v>2.1509999999999998</v>
      </c>
      <c r="L6" s="156">
        <f t="shared" si="1"/>
        <v>2.3267367000000001</v>
      </c>
      <c r="M6" s="952">
        <f t="shared" si="9"/>
        <v>0.1757367000000003</v>
      </c>
      <c r="N6" s="70">
        <f t="shared" si="2"/>
        <v>40909656.26373627</v>
      </c>
      <c r="O6" s="70">
        <f t="shared" si="3"/>
        <v>37819780.219780222</v>
      </c>
      <c r="P6" s="70">
        <f t="shared" si="4"/>
        <v>40909656.26373627</v>
      </c>
      <c r="Q6" s="70">
        <f t="shared" si="5"/>
        <v>0</v>
      </c>
    </row>
    <row r="7" spans="1:17" s="85" customFormat="1" x14ac:dyDescent="0.6">
      <c r="A7" s="60">
        <f t="shared" si="6"/>
        <v>4</v>
      </c>
      <c r="B7" s="85" t="s">
        <v>176</v>
      </c>
      <c r="C7" s="89">
        <f t="shared" si="7"/>
        <v>0</v>
      </c>
      <c r="D7" s="89"/>
      <c r="E7" s="89"/>
      <c r="F7" s="89">
        <f t="shared" si="0"/>
        <v>0</v>
      </c>
      <c r="G7" s="174">
        <v>9.2600000000000002E-2</v>
      </c>
      <c r="H7" s="948">
        <v>1.2</v>
      </c>
      <c r="I7" s="897">
        <f>H7*Assumptions!$C$32</f>
        <v>13186813.186813187</v>
      </c>
      <c r="J7" s="156">
        <f t="shared" si="8"/>
        <v>2.5107948000000002</v>
      </c>
      <c r="K7" s="156">
        <v>2.298</v>
      </c>
      <c r="L7" s="156">
        <f t="shared" si="1"/>
        <v>2.5107948000000002</v>
      </c>
      <c r="M7" s="952">
        <f t="shared" si="9"/>
        <v>0.21279480000000017</v>
      </c>
      <c r="N7" s="70">
        <f t="shared" si="2"/>
        <v>33109381.978021979</v>
      </c>
      <c r="O7" s="70">
        <f t="shared" si="3"/>
        <v>30303296.703296702</v>
      </c>
      <c r="P7" s="70">
        <f t="shared" si="4"/>
        <v>33109381.978021979</v>
      </c>
      <c r="Q7" s="70">
        <f t="shared" si="5"/>
        <v>0</v>
      </c>
    </row>
    <row r="8" spans="1:17" s="85" customFormat="1" x14ac:dyDescent="0.6">
      <c r="A8" s="60">
        <f t="shared" si="6"/>
        <v>5</v>
      </c>
      <c r="B8" s="85" t="s">
        <v>142</v>
      </c>
      <c r="C8" s="89">
        <f t="shared" si="7"/>
        <v>0</v>
      </c>
      <c r="D8" s="89"/>
      <c r="E8" s="89"/>
      <c r="F8" s="89">
        <f t="shared" si="0"/>
        <v>0</v>
      </c>
      <c r="G8" s="174">
        <v>8.4400000000000003E-2</v>
      </c>
      <c r="H8" s="948">
        <v>7.6</v>
      </c>
      <c r="I8" s="897">
        <f>H8*Assumptions!$C$32</f>
        <v>83516483.516483516</v>
      </c>
      <c r="J8" s="156">
        <f t="shared" si="8"/>
        <v>2.3325443999999997</v>
      </c>
      <c r="K8" s="156">
        <v>2.1509999999999998</v>
      </c>
      <c r="L8" s="156">
        <f t="shared" si="1"/>
        <v>2.3325443999999997</v>
      </c>
      <c r="M8" s="952">
        <f t="shared" si="9"/>
        <v>0.18154439999999994</v>
      </c>
      <c r="N8" s="70">
        <f t="shared" si="2"/>
        <v>194805905.93406591</v>
      </c>
      <c r="O8" s="70">
        <f t="shared" si="3"/>
        <v>179643956.04395601</v>
      </c>
      <c r="P8" s="70">
        <f t="shared" si="4"/>
        <v>194805905.93406591</v>
      </c>
      <c r="Q8" s="70">
        <f t="shared" si="5"/>
        <v>0</v>
      </c>
    </row>
    <row r="9" spans="1:17" s="85" customFormat="1" x14ac:dyDescent="0.6">
      <c r="A9" s="60">
        <f t="shared" si="6"/>
        <v>6</v>
      </c>
      <c r="B9" s="85" t="s">
        <v>175</v>
      </c>
      <c r="C9" s="89">
        <f t="shared" si="7"/>
        <v>0</v>
      </c>
      <c r="D9" s="89"/>
      <c r="E9" s="89"/>
      <c r="F9" s="89">
        <f t="shared" si="0"/>
        <v>0</v>
      </c>
      <c r="G9" s="174">
        <v>7.4399999999999994E-2</v>
      </c>
      <c r="H9" s="948">
        <v>2.1</v>
      </c>
      <c r="I9" s="897">
        <f>H9*Assumptions!$C$32</f>
        <v>23076923.07692308</v>
      </c>
      <c r="J9" s="156">
        <f t="shared" si="8"/>
        <v>2.0897079999999999</v>
      </c>
      <c r="K9" s="156">
        <v>1.9450000000000001</v>
      </c>
      <c r="L9" s="156">
        <f t="shared" si="1"/>
        <v>2.0897079999999999</v>
      </c>
      <c r="M9" s="952">
        <f t="shared" si="9"/>
        <v>0.14470799999999984</v>
      </c>
      <c r="N9" s="70">
        <f t="shared" si="2"/>
        <v>48224030.769230776</v>
      </c>
      <c r="O9" s="70">
        <f t="shared" si="3"/>
        <v>44884615.384615391</v>
      </c>
      <c r="P9" s="70">
        <f t="shared" si="4"/>
        <v>48224030.769230776</v>
      </c>
      <c r="Q9" s="70">
        <f t="shared" si="5"/>
        <v>0</v>
      </c>
    </row>
    <row r="10" spans="1:17" s="85" customFormat="1" x14ac:dyDescent="0.6">
      <c r="A10" s="60">
        <f t="shared" si="6"/>
        <v>7</v>
      </c>
      <c r="B10" s="85" t="s">
        <v>143</v>
      </c>
      <c r="C10" s="89">
        <f t="shared" si="7"/>
        <v>0</v>
      </c>
      <c r="D10" s="89"/>
      <c r="E10" s="89"/>
      <c r="F10" s="89">
        <f t="shared" si="0"/>
        <v>0</v>
      </c>
      <c r="G10" s="174">
        <v>6.3500000000000001E-2</v>
      </c>
      <c r="H10" s="948">
        <v>3.2</v>
      </c>
      <c r="I10" s="897">
        <f>H10*Assumptions!$C$32</f>
        <v>35164835.16483517</v>
      </c>
      <c r="J10" s="156">
        <f t="shared" si="8"/>
        <v>3.0495862499999999</v>
      </c>
      <c r="K10" s="156">
        <v>2.8675000000000002</v>
      </c>
      <c r="L10" s="156">
        <f t="shared" si="1"/>
        <v>3.0495862499999999</v>
      </c>
      <c r="M10" s="952">
        <f t="shared" si="9"/>
        <v>0.18208624999999978</v>
      </c>
      <c r="N10" s="70">
        <f t="shared" si="2"/>
        <v>107238197.80219781</v>
      </c>
      <c r="O10" s="70">
        <f t="shared" si="3"/>
        <v>100835164.83516486</v>
      </c>
      <c r="P10" s="70">
        <f t="shared" si="4"/>
        <v>107238197.80219781</v>
      </c>
      <c r="Q10" s="70">
        <f t="shared" si="5"/>
        <v>0</v>
      </c>
    </row>
    <row r="11" spans="1:17" s="85" customFormat="1" x14ac:dyDescent="0.6">
      <c r="A11" s="60">
        <f t="shared" si="6"/>
        <v>8</v>
      </c>
      <c r="B11" s="85" t="s">
        <v>172</v>
      </c>
      <c r="C11" s="89">
        <f t="shared" si="7"/>
        <v>0</v>
      </c>
      <c r="D11" s="89"/>
      <c r="E11" s="89"/>
      <c r="F11" s="89">
        <f t="shared" si="0"/>
        <v>0</v>
      </c>
      <c r="G11" s="174">
        <v>0</v>
      </c>
      <c r="H11" s="948">
        <v>1.3</v>
      </c>
      <c r="I11" s="897">
        <f>H11*Assumptions!$C$32</f>
        <v>14285714.285714287</v>
      </c>
      <c r="J11" s="156">
        <f t="shared" si="8"/>
        <v>2.7747999999999999</v>
      </c>
      <c r="K11" s="156">
        <v>2.7747999999999999</v>
      </c>
      <c r="L11" s="156">
        <f t="shared" si="1"/>
        <v>2.7747999999999999</v>
      </c>
      <c r="M11" s="952">
        <f t="shared" si="9"/>
        <v>0</v>
      </c>
      <c r="N11" s="70">
        <f t="shared" si="2"/>
        <v>39640000</v>
      </c>
      <c r="O11" s="70">
        <f t="shared" si="3"/>
        <v>39640000</v>
      </c>
      <c r="P11" s="70">
        <f t="shared" si="4"/>
        <v>39640000</v>
      </c>
      <c r="Q11" s="70">
        <f t="shared" si="5"/>
        <v>0</v>
      </c>
    </row>
    <row r="12" spans="1:17" s="85" customFormat="1" x14ac:dyDescent="0.6">
      <c r="A12" s="60">
        <f t="shared" si="6"/>
        <v>9</v>
      </c>
      <c r="B12" s="85" t="s">
        <v>171</v>
      </c>
      <c r="C12" s="89">
        <f t="shared" si="7"/>
        <v>0</v>
      </c>
      <c r="D12" s="89"/>
      <c r="E12" s="89"/>
      <c r="F12" s="89">
        <f t="shared" si="0"/>
        <v>0</v>
      </c>
      <c r="G12" s="174">
        <v>5.7500000000000002E-2</v>
      </c>
      <c r="H12" s="948">
        <v>0</v>
      </c>
      <c r="I12" s="897">
        <f>H12*Assumptions!$C$32</f>
        <v>0</v>
      </c>
      <c r="J12" s="156">
        <f t="shared" si="8"/>
        <v>2.9345625000000002</v>
      </c>
      <c r="K12" s="156">
        <v>2.7749999999999999</v>
      </c>
      <c r="L12" s="156">
        <f t="shared" si="1"/>
        <v>2.9345625000000002</v>
      </c>
      <c r="M12" s="952">
        <f t="shared" si="9"/>
        <v>0.15956250000000027</v>
      </c>
      <c r="N12" s="70">
        <f t="shared" si="2"/>
        <v>0</v>
      </c>
      <c r="O12" s="70">
        <f t="shared" si="3"/>
        <v>0</v>
      </c>
      <c r="P12" s="70">
        <f t="shared" si="4"/>
        <v>0</v>
      </c>
      <c r="Q12" s="70">
        <f t="shared" si="5"/>
        <v>0</v>
      </c>
    </row>
    <row r="13" spans="1:17" s="85" customFormat="1" x14ac:dyDescent="0.6">
      <c r="A13" s="60">
        <f t="shared" si="6"/>
        <v>10</v>
      </c>
      <c r="B13" s="85" t="s">
        <v>144</v>
      </c>
      <c r="C13" s="89">
        <f t="shared" si="7"/>
        <v>0</v>
      </c>
      <c r="D13" s="89"/>
      <c r="E13" s="89"/>
      <c r="F13" s="89">
        <f t="shared" si="0"/>
        <v>0</v>
      </c>
      <c r="G13" s="174">
        <v>6.6500000000000004E-2</v>
      </c>
      <c r="H13" s="948">
        <v>7.2</v>
      </c>
      <c r="I13" s="897">
        <f>H13*Assumptions!$C$32</f>
        <v>79120879.120879129</v>
      </c>
      <c r="J13" s="156">
        <f t="shared" si="8"/>
        <v>3.0677872499999999</v>
      </c>
      <c r="K13" s="156">
        <v>2.8765000000000001</v>
      </c>
      <c r="L13" s="156">
        <f t="shared" si="1"/>
        <v>3.0677872499999999</v>
      </c>
      <c r="M13" s="952">
        <f t="shared" si="9"/>
        <v>0.1912872499999998</v>
      </c>
      <c r="N13" s="70">
        <f t="shared" si="2"/>
        <v>242726024.1758242</v>
      </c>
      <c r="O13" s="70">
        <f t="shared" si="3"/>
        <v>227591208.7912088</v>
      </c>
      <c r="P13" s="70">
        <f t="shared" si="4"/>
        <v>242726024.1758242</v>
      </c>
      <c r="Q13" s="70">
        <f t="shared" si="5"/>
        <v>0</v>
      </c>
    </row>
    <row r="14" spans="1:17" s="85" customFormat="1" x14ac:dyDescent="0.6">
      <c r="A14" s="60">
        <f t="shared" si="6"/>
        <v>11</v>
      </c>
      <c r="B14" s="85" t="s">
        <v>154</v>
      </c>
      <c r="C14" s="89">
        <f t="shared" si="7"/>
        <v>0</v>
      </c>
      <c r="D14" s="89"/>
      <c r="E14" s="89"/>
      <c r="F14" s="89">
        <f t="shared" si="0"/>
        <v>0</v>
      </c>
      <c r="G14" s="174">
        <v>6.9599999999999995E-2</v>
      </c>
      <c r="H14" s="948">
        <v>3</v>
      </c>
      <c r="I14" s="897">
        <f>H14*Assumptions!$C$32</f>
        <v>32967032.967032969</v>
      </c>
      <c r="J14" s="156">
        <f t="shared" si="8"/>
        <v>3.0767043999999997</v>
      </c>
      <c r="K14" s="156">
        <v>2.8765000000000001</v>
      </c>
      <c r="L14" s="156">
        <f t="shared" si="1"/>
        <v>3.0767043999999997</v>
      </c>
      <c r="M14" s="952">
        <f t="shared" si="9"/>
        <v>0.20020439999999962</v>
      </c>
      <c r="N14" s="70">
        <f t="shared" si="2"/>
        <v>101429815.38461538</v>
      </c>
      <c r="O14" s="70">
        <f t="shared" si="3"/>
        <v>94829670.32967034</v>
      </c>
      <c r="P14" s="70">
        <f t="shared" si="4"/>
        <v>101429815.38461538</v>
      </c>
      <c r="Q14" s="70">
        <f t="shared" si="5"/>
        <v>0</v>
      </c>
    </row>
    <row r="15" spans="1:17" s="85" customFormat="1" x14ac:dyDescent="0.6">
      <c r="A15" s="60">
        <f t="shared" si="6"/>
        <v>12</v>
      </c>
      <c r="B15" s="85" t="s">
        <v>141</v>
      </c>
      <c r="C15" s="89">
        <f t="shared" si="7"/>
        <v>0</v>
      </c>
      <c r="D15" s="89"/>
      <c r="E15" s="89"/>
      <c r="F15" s="89">
        <f t="shared" si="0"/>
        <v>0</v>
      </c>
      <c r="G15" s="174">
        <v>4.3499999999999997E-2</v>
      </c>
      <c r="H15" s="948">
        <v>2.2000000000000002</v>
      </c>
      <c r="I15" s="897">
        <f>H15*Assumptions!$C$32</f>
        <v>24175824.17582418</v>
      </c>
      <c r="J15" s="156">
        <f t="shared" si="8"/>
        <v>2.2445685000000002</v>
      </c>
      <c r="K15" s="156">
        <v>2.1509999999999998</v>
      </c>
      <c r="L15" s="156">
        <f t="shared" si="1"/>
        <v>2.2445685000000002</v>
      </c>
      <c r="M15" s="952">
        <f t="shared" si="9"/>
        <v>9.3568500000000387E-2</v>
      </c>
      <c r="N15" s="70">
        <f t="shared" si="2"/>
        <v>54264293.40659342</v>
      </c>
      <c r="O15" s="70">
        <f t="shared" si="3"/>
        <v>52002197.802197807</v>
      </c>
      <c r="P15" s="70">
        <f t="shared" si="4"/>
        <v>54264293.40659342</v>
      </c>
      <c r="Q15" s="70">
        <f t="shared" si="5"/>
        <v>0</v>
      </c>
    </row>
    <row r="16" spans="1:17" s="85" customFormat="1" x14ac:dyDescent="0.6">
      <c r="A16" s="60">
        <f t="shared" si="6"/>
        <v>13</v>
      </c>
      <c r="B16" s="85" t="s">
        <v>152</v>
      </c>
      <c r="C16" s="89">
        <f t="shared" si="7"/>
        <v>0</v>
      </c>
      <c r="D16" s="89"/>
      <c r="E16" s="89"/>
      <c r="F16" s="89">
        <f t="shared" si="0"/>
        <v>0</v>
      </c>
      <c r="G16" s="174">
        <v>6.0100000000000001E-2</v>
      </c>
      <c r="H16" s="948">
        <v>1.2</v>
      </c>
      <c r="I16" s="897">
        <f>H16*Assumptions!$C$32</f>
        <v>13186813.186813187</v>
      </c>
      <c r="J16" s="156">
        <f t="shared" si="8"/>
        <v>2.0618945000000002</v>
      </c>
      <c r="K16" s="156">
        <v>1.9450000000000001</v>
      </c>
      <c r="L16" s="156">
        <f t="shared" si="1"/>
        <v>2.0618945000000002</v>
      </c>
      <c r="M16" s="952">
        <f t="shared" si="9"/>
        <v>0.11689450000000012</v>
      </c>
      <c r="N16" s="70">
        <f t="shared" si="2"/>
        <v>27189817.582417585</v>
      </c>
      <c r="O16" s="70">
        <f t="shared" si="3"/>
        <v>25648351.648351651</v>
      </c>
      <c r="P16" s="70">
        <f t="shared" si="4"/>
        <v>27189817.582417585</v>
      </c>
      <c r="Q16" s="70">
        <f t="shared" si="5"/>
        <v>0</v>
      </c>
    </row>
    <row r="17" spans="1:17" s="85" customFormat="1" x14ac:dyDescent="0.6">
      <c r="A17" s="60">
        <f t="shared" si="6"/>
        <v>14</v>
      </c>
      <c r="B17" s="85" t="s">
        <v>157</v>
      </c>
      <c r="C17" s="89">
        <f t="shared" si="7"/>
        <v>0</v>
      </c>
      <c r="D17" s="89"/>
      <c r="E17" s="89"/>
      <c r="F17" s="89">
        <f t="shared" si="0"/>
        <v>0</v>
      </c>
      <c r="G17" s="174">
        <v>8.1900000000000001E-2</v>
      </c>
      <c r="H17" s="948">
        <v>2.2999999999999998</v>
      </c>
      <c r="I17" s="897">
        <f>H17*Assumptions!$C$32</f>
        <v>25274725.274725273</v>
      </c>
      <c r="J17" s="156">
        <f t="shared" si="8"/>
        <v>1.7832957700000003</v>
      </c>
      <c r="K17" s="156">
        <v>1.6483000000000001</v>
      </c>
      <c r="L17" s="156">
        <f t="shared" si="1"/>
        <v>1.7832957700000003</v>
      </c>
      <c r="M17" s="952">
        <f t="shared" si="9"/>
        <v>0.13499577000000018</v>
      </c>
      <c r="N17" s="70">
        <f t="shared" si="2"/>
        <v>45072310.670329675</v>
      </c>
      <c r="O17" s="70">
        <f t="shared" si="3"/>
        <v>41660329.670329668</v>
      </c>
      <c r="P17" s="70">
        <f t="shared" si="4"/>
        <v>45072310.670329675</v>
      </c>
      <c r="Q17" s="70">
        <f t="shared" si="5"/>
        <v>0</v>
      </c>
    </row>
    <row r="18" spans="1:17" s="85" customFormat="1" x14ac:dyDescent="0.6">
      <c r="A18" s="60">
        <f t="shared" si="6"/>
        <v>15</v>
      </c>
      <c r="B18" s="85" t="s">
        <v>160</v>
      </c>
      <c r="C18" s="89">
        <f t="shared" si="7"/>
        <v>0</v>
      </c>
      <c r="D18" s="89"/>
      <c r="E18" s="89"/>
      <c r="F18" s="89">
        <f t="shared" si="0"/>
        <v>0</v>
      </c>
      <c r="G18" s="174">
        <v>7.0000000000000007E-2</v>
      </c>
      <c r="H18" s="948">
        <v>2.2999999999999998</v>
      </c>
      <c r="I18" s="897">
        <f>H18*Assumptions!$C$32</f>
        <v>25274725.274725273</v>
      </c>
      <c r="J18" s="156">
        <f t="shared" si="8"/>
        <v>1.7636810000000003</v>
      </c>
      <c r="K18" s="156">
        <v>1.6483000000000001</v>
      </c>
      <c r="L18" s="156">
        <f t="shared" si="1"/>
        <v>1.7636810000000003</v>
      </c>
      <c r="M18" s="952">
        <f t="shared" si="9"/>
        <v>0.11538100000000018</v>
      </c>
      <c r="N18" s="70">
        <f t="shared" si="2"/>
        <v>44576552.747252755</v>
      </c>
      <c r="O18" s="70">
        <f t="shared" si="3"/>
        <v>41660329.670329668</v>
      </c>
      <c r="P18" s="70">
        <f t="shared" si="4"/>
        <v>44576552.747252755</v>
      </c>
      <c r="Q18" s="70">
        <f t="shared" si="5"/>
        <v>0</v>
      </c>
    </row>
    <row r="19" spans="1:17" s="85" customFormat="1" x14ac:dyDescent="0.6">
      <c r="A19" s="60">
        <f t="shared" si="6"/>
        <v>16</v>
      </c>
      <c r="B19" s="85" t="s">
        <v>151</v>
      </c>
      <c r="C19" s="89">
        <f t="shared" si="7"/>
        <v>0</v>
      </c>
      <c r="D19" s="89"/>
      <c r="E19" s="89"/>
      <c r="F19" s="89">
        <f t="shared" si="0"/>
        <v>0</v>
      </c>
      <c r="G19" s="174">
        <v>6.7799999999999999E-2</v>
      </c>
      <c r="H19" s="948">
        <v>1.8</v>
      </c>
      <c r="I19" s="897">
        <f>H19*Assumptions!$C$32</f>
        <v>19780219.780219782</v>
      </c>
      <c r="J19" s="156">
        <f t="shared" si="8"/>
        <v>1.7600547400000002</v>
      </c>
      <c r="K19" s="156">
        <v>1.6483000000000001</v>
      </c>
      <c r="L19" s="156">
        <f t="shared" si="1"/>
        <v>1.7600547400000002</v>
      </c>
      <c r="M19" s="952">
        <f t="shared" si="9"/>
        <v>0.11175474000000007</v>
      </c>
      <c r="N19" s="70">
        <f t="shared" si="2"/>
        <v>34814269.582417592</v>
      </c>
      <c r="O19" s="70">
        <f t="shared" si="3"/>
        <v>32603736.26373627</v>
      </c>
      <c r="P19" s="70">
        <f t="shared" si="4"/>
        <v>34814269.582417592</v>
      </c>
      <c r="Q19" s="70">
        <f t="shared" si="5"/>
        <v>0</v>
      </c>
    </row>
    <row r="20" spans="1:17" s="85" customFormat="1" x14ac:dyDescent="0.6">
      <c r="A20" s="60">
        <f t="shared" si="6"/>
        <v>17</v>
      </c>
      <c r="B20" s="85" t="s">
        <v>168</v>
      </c>
      <c r="C20" s="89">
        <f t="shared" si="7"/>
        <v>0</v>
      </c>
      <c r="D20" s="89"/>
      <c r="E20" s="89"/>
      <c r="F20" s="89">
        <f t="shared" si="0"/>
        <v>0</v>
      </c>
      <c r="G20" s="174">
        <v>8.2000000000000003E-2</v>
      </c>
      <c r="H20" s="948">
        <v>1.4</v>
      </c>
      <c r="I20" s="897">
        <f>H20*Assumptions!$C$32</f>
        <v>15384615.384615384</v>
      </c>
      <c r="J20" s="156">
        <f t="shared" si="8"/>
        <v>1.7834606000000002</v>
      </c>
      <c r="K20" s="156">
        <v>1.6483000000000001</v>
      </c>
      <c r="L20" s="156">
        <f t="shared" si="1"/>
        <v>1.7834606000000002</v>
      </c>
      <c r="M20" s="952">
        <f t="shared" si="9"/>
        <v>0.13516060000000008</v>
      </c>
      <c r="N20" s="70">
        <f t="shared" si="2"/>
        <v>27437855.384615388</v>
      </c>
      <c r="O20" s="70">
        <f t="shared" si="3"/>
        <v>25358461.53846154</v>
      </c>
      <c r="P20" s="70">
        <f t="shared" si="4"/>
        <v>27437855.384615388</v>
      </c>
      <c r="Q20" s="70">
        <f t="shared" si="5"/>
        <v>0</v>
      </c>
    </row>
    <row r="21" spans="1:17" s="85" customFormat="1" x14ac:dyDescent="0.6">
      <c r="A21" s="60">
        <f t="shared" si="6"/>
        <v>18</v>
      </c>
      <c r="B21" s="85" t="s">
        <v>167</v>
      </c>
      <c r="C21" s="89">
        <f t="shared" si="7"/>
        <v>0</v>
      </c>
      <c r="D21" s="89"/>
      <c r="E21" s="89"/>
      <c r="F21" s="89">
        <f t="shared" si="0"/>
        <v>0</v>
      </c>
      <c r="G21" s="174">
        <v>0.06</v>
      </c>
      <c r="H21" s="948">
        <v>1.3</v>
      </c>
      <c r="I21" s="897">
        <f>H21*Assumptions!$C$32</f>
        <v>14285714.285714287</v>
      </c>
      <c r="J21" s="156">
        <f t="shared" si="8"/>
        <v>1.7471980000000003</v>
      </c>
      <c r="K21" s="156">
        <v>1.6483000000000001</v>
      </c>
      <c r="L21" s="156">
        <f t="shared" si="1"/>
        <v>1.7471980000000003</v>
      </c>
      <c r="M21" s="952">
        <f t="shared" si="9"/>
        <v>9.8898000000000152E-2</v>
      </c>
      <c r="N21" s="70">
        <f t="shared" si="2"/>
        <v>24959971.428571437</v>
      </c>
      <c r="O21" s="70">
        <f t="shared" si="3"/>
        <v>23547142.857142862</v>
      </c>
      <c r="P21" s="70">
        <f t="shared" si="4"/>
        <v>24959971.428571437</v>
      </c>
      <c r="Q21" s="70">
        <f t="shared" si="5"/>
        <v>0</v>
      </c>
    </row>
    <row r="22" spans="1:17" s="85" customFormat="1" x14ac:dyDescent="0.6">
      <c r="A22" s="60">
        <f t="shared" si="6"/>
        <v>19</v>
      </c>
      <c r="B22" s="85" t="s">
        <v>179</v>
      </c>
      <c r="C22" s="89">
        <f t="shared" si="7"/>
        <v>0</v>
      </c>
      <c r="D22" s="89"/>
      <c r="E22" s="89"/>
      <c r="F22" s="89">
        <f t="shared" si="0"/>
        <v>0</v>
      </c>
      <c r="G22" s="174">
        <v>8.9099999999999999E-2</v>
      </c>
      <c r="H22" s="948">
        <v>0.7</v>
      </c>
      <c r="I22" s="897">
        <f>H22*Assumptions!$C$32</f>
        <v>7692307.692307692</v>
      </c>
      <c r="J22" s="156">
        <f t="shared" si="8"/>
        <v>2.5027518</v>
      </c>
      <c r="K22" s="156">
        <v>2.298</v>
      </c>
      <c r="L22" s="156">
        <f t="shared" si="1"/>
        <v>2.5027518</v>
      </c>
      <c r="M22" s="952">
        <f t="shared" si="9"/>
        <v>0.20475179999999993</v>
      </c>
      <c r="N22" s="70">
        <f t="shared" si="2"/>
        <v>19251936.923076924</v>
      </c>
      <c r="O22" s="70">
        <f t="shared" si="3"/>
        <v>17676923.076923076</v>
      </c>
      <c r="P22" s="70">
        <f t="shared" si="4"/>
        <v>19251936.923076924</v>
      </c>
      <c r="Q22" s="70">
        <f t="shared" si="5"/>
        <v>0</v>
      </c>
    </row>
    <row r="23" spans="1:17" s="85" customFormat="1" x14ac:dyDescent="0.6">
      <c r="A23" s="60">
        <f t="shared" si="6"/>
        <v>20</v>
      </c>
      <c r="B23" s="85" t="s">
        <v>158</v>
      </c>
      <c r="C23" s="89">
        <f t="shared" si="7"/>
        <v>0</v>
      </c>
      <c r="D23" s="89"/>
      <c r="E23" s="89"/>
      <c r="F23" s="89">
        <f t="shared" si="0"/>
        <v>0</v>
      </c>
      <c r="G23" s="174">
        <v>5.5E-2</v>
      </c>
      <c r="H23" s="948">
        <v>6.6</v>
      </c>
      <c r="I23" s="897">
        <f>H23*Assumptions!$C$32</f>
        <v>72527472.527472526</v>
      </c>
      <c r="J23" s="156">
        <f t="shared" si="8"/>
        <v>3.0252124999999999</v>
      </c>
      <c r="K23" s="156">
        <v>2.8675000000000002</v>
      </c>
      <c r="L23" s="156">
        <f t="shared" si="1"/>
        <v>3.0252124999999999</v>
      </c>
      <c r="M23" s="952">
        <f t="shared" si="9"/>
        <v>0.1577124999999997</v>
      </c>
      <c r="N23" s="70">
        <f t="shared" si="2"/>
        <v>219411016.48351645</v>
      </c>
      <c r="O23" s="70">
        <f t="shared" si="3"/>
        <v>207972527.47252747</v>
      </c>
      <c r="P23" s="70">
        <f t="shared" si="4"/>
        <v>219411016.48351645</v>
      </c>
      <c r="Q23" s="70">
        <f t="shared" si="5"/>
        <v>0</v>
      </c>
    </row>
    <row r="24" spans="1:17" s="85" customFormat="1" x14ac:dyDescent="0.6">
      <c r="A24" s="60">
        <f t="shared" si="6"/>
        <v>21</v>
      </c>
      <c r="B24" s="85" t="s">
        <v>150</v>
      </c>
      <c r="C24" s="89">
        <f t="shared" si="7"/>
        <v>0</v>
      </c>
      <c r="D24" s="89"/>
      <c r="E24" s="89"/>
      <c r="F24" s="89">
        <f t="shared" si="0"/>
        <v>0</v>
      </c>
      <c r="G24" s="174">
        <v>0.06</v>
      </c>
      <c r="H24" s="948">
        <v>2.4</v>
      </c>
      <c r="I24" s="897">
        <f>H24*Assumptions!$C$32</f>
        <v>26373626.373626374</v>
      </c>
      <c r="J24" s="156">
        <f t="shared" si="8"/>
        <v>2.9412880000000001</v>
      </c>
      <c r="K24" s="156">
        <v>2.7747999999999999</v>
      </c>
      <c r="L24" s="156">
        <f t="shared" si="1"/>
        <v>2.9412880000000001</v>
      </c>
      <c r="M24" s="952">
        <f t="shared" si="9"/>
        <v>0.16648800000000019</v>
      </c>
      <c r="N24" s="70">
        <f t="shared" si="2"/>
        <v>77572430.769230768</v>
      </c>
      <c r="O24" s="70">
        <f t="shared" si="3"/>
        <v>73181538.461538464</v>
      </c>
      <c r="P24" s="70">
        <f t="shared" si="4"/>
        <v>77572430.769230768</v>
      </c>
      <c r="Q24" s="70">
        <f t="shared" si="5"/>
        <v>0</v>
      </c>
    </row>
    <row r="25" spans="1:17" s="85" customFormat="1" x14ac:dyDescent="0.6">
      <c r="A25" s="60">
        <f t="shared" si="6"/>
        <v>22</v>
      </c>
      <c r="B25" s="85" t="s">
        <v>166</v>
      </c>
      <c r="C25" s="89">
        <f t="shared" si="7"/>
        <v>0</v>
      </c>
      <c r="D25" s="89"/>
      <c r="E25" s="89"/>
      <c r="F25" s="89">
        <f t="shared" si="0"/>
        <v>0</v>
      </c>
      <c r="G25" s="174">
        <v>6.25E-2</v>
      </c>
      <c r="H25" s="948">
        <v>2.7</v>
      </c>
      <c r="I25" s="897">
        <f>H25*Assumptions!$C$32</f>
        <v>29670329.670329675</v>
      </c>
      <c r="J25" s="156">
        <f t="shared" si="8"/>
        <v>3.0467187500000001</v>
      </c>
      <c r="K25" s="156">
        <v>2.8675000000000002</v>
      </c>
      <c r="L25" s="156">
        <f t="shared" si="1"/>
        <v>3.0467187500000001</v>
      </c>
      <c r="M25" s="952">
        <f t="shared" si="9"/>
        <v>0.17921874999999998</v>
      </c>
      <c r="N25" s="70">
        <f t="shared" si="2"/>
        <v>90397149.725274742</v>
      </c>
      <c r="O25" s="70">
        <f t="shared" si="3"/>
        <v>85079670.329670355</v>
      </c>
      <c r="P25" s="70">
        <f t="shared" si="4"/>
        <v>90397149.725274742</v>
      </c>
      <c r="Q25" s="70">
        <f t="shared" si="5"/>
        <v>0</v>
      </c>
    </row>
    <row r="26" spans="1:17" s="85" customFormat="1" x14ac:dyDescent="0.6">
      <c r="A26" s="60">
        <f t="shared" si="6"/>
        <v>23</v>
      </c>
      <c r="B26" s="85" t="s">
        <v>155</v>
      </c>
      <c r="C26" s="89">
        <f t="shared" si="7"/>
        <v>0</v>
      </c>
      <c r="D26" s="89"/>
      <c r="E26" s="89"/>
      <c r="F26" s="89">
        <f t="shared" si="0"/>
        <v>0</v>
      </c>
      <c r="G26" s="174">
        <v>0.06</v>
      </c>
      <c r="H26" s="948">
        <v>2.7</v>
      </c>
      <c r="I26" s="897">
        <f>H26*Assumptions!$C$32</f>
        <v>29670329.670329675</v>
      </c>
      <c r="J26" s="156">
        <f t="shared" si="8"/>
        <v>1.7471980000000003</v>
      </c>
      <c r="K26" s="156">
        <v>1.6483000000000001</v>
      </c>
      <c r="L26" s="156">
        <f t="shared" si="1"/>
        <v>1.7471980000000003</v>
      </c>
      <c r="M26" s="952">
        <f t="shared" si="9"/>
        <v>9.8898000000000152E-2</v>
      </c>
      <c r="N26" s="70">
        <f t="shared" si="2"/>
        <v>51839940.659340672</v>
      </c>
      <c r="O26" s="70">
        <f t="shared" si="3"/>
        <v>48905604.395604409</v>
      </c>
      <c r="P26" s="70">
        <f t="shared" si="4"/>
        <v>51839940.659340672</v>
      </c>
      <c r="Q26" s="70">
        <f t="shared" si="5"/>
        <v>0</v>
      </c>
    </row>
    <row r="27" spans="1:17" s="85" customFormat="1" x14ac:dyDescent="0.6">
      <c r="A27" s="60">
        <f t="shared" si="6"/>
        <v>24</v>
      </c>
      <c r="B27" s="85" t="s">
        <v>162</v>
      </c>
      <c r="C27" s="89">
        <f t="shared" si="7"/>
        <v>0</v>
      </c>
      <c r="D27" s="89"/>
      <c r="E27" s="89"/>
      <c r="F27" s="89">
        <f t="shared" si="0"/>
        <v>0</v>
      </c>
      <c r="G27" s="174">
        <v>7.1999999999999995E-2</v>
      </c>
      <c r="H27" s="948">
        <v>3.6</v>
      </c>
      <c r="I27" s="897">
        <f>H27*Assumptions!$C$32</f>
        <v>39560439.560439564</v>
      </c>
      <c r="J27" s="156">
        <f t="shared" si="8"/>
        <v>1.7669776000000001</v>
      </c>
      <c r="K27" s="156">
        <v>1.6483000000000001</v>
      </c>
      <c r="L27" s="156">
        <f t="shared" si="1"/>
        <v>1.7669776000000001</v>
      </c>
      <c r="M27" s="952">
        <f t="shared" si="9"/>
        <v>0.11867760000000005</v>
      </c>
      <c r="N27" s="70">
        <f t="shared" si="2"/>
        <v>69902410.549450561</v>
      </c>
      <c r="O27" s="70">
        <f t="shared" si="3"/>
        <v>65207472.527472541</v>
      </c>
      <c r="P27" s="70">
        <f t="shared" si="4"/>
        <v>69902410.549450561</v>
      </c>
      <c r="Q27" s="70">
        <f t="shared" si="5"/>
        <v>0</v>
      </c>
    </row>
    <row r="28" spans="1:17" s="85" customFormat="1" x14ac:dyDescent="0.6">
      <c r="A28" s="60">
        <f t="shared" si="6"/>
        <v>25</v>
      </c>
      <c r="B28" s="85" t="s">
        <v>183</v>
      </c>
      <c r="C28" s="89">
        <f t="shared" si="7"/>
        <v>0</v>
      </c>
      <c r="D28" s="89"/>
      <c r="E28" s="89"/>
      <c r="F28" s="89">
        <f t="shared" si="0"/>
        <v>0</v>
      </c>
      <c r="G28" s="174">
        <v>7.0699999999999999E-2</v>
      </c>
      <c r="H28" s="948">
        <v>1.8</v>
      </c>
      <c r="I28" s="897">
        <f>H28*Assumptions!$C$32</f>
        <v>19780219.780219782</v>
      </c>
      <c r="J28" s="156">
        <f t="shared" si="8"/>
        <v>2.4604686</v>
      </c>
      <c r="K28" s="156">
        <v>2.298</v>
      </c>
      <c r="L28" s="156">
        <f t="shared" si="1"/>
        <v>2.4604686</v>
      </c>
      <c r="M28" s="952">
        <f t="shared" si="9"/>
        <v>0.16246859999999996</v>
      </c>
      <c r="N28" s="70">
        <f t="shared" si="2"/>
        <v>48668609.670329675</v>
      </c>
      <c r="O28" s="70">
        <f t="shared" si="3"/>
        <v>45454945.054945059</v>
      </c>
      <c r="P28" s="70">
        <f t="shared" si="4"/>
        <v>48668609.670329675</v>
      </c>
      <c r="Q28" s="70">
        <f t="shared" si="5"/>
        <v>0</v>
      </c>
    </row>
    <row r="29" spans="1:17" s="85" customFormat="1" x14ac:dyDescent="0.6">
      <c r="A29" s="60">
        <f t="shared" si="6"/>
        <v>26</v>
      </c>
      <c r="B29" s="85" t="s">
        <v>184</v>
      </c>
      <c r="C29" s="89">
        <f t="shared" si="7"/>
        <v>0</v>
      </c>
      <c r="D29" s="89"/>
      <c r="E29" s="89"/>
      <c r="F29" s="89">
        <f t="shared" si="0"/>
        <v>0</v>
      </c>
      <c r="G29" s="174">
        <v>7.8100000000000003E-2</v>
      </c>
      <c r="H29" s="948">
        <v>3.4</v>
      </c>
      <c r="I29" s="897">
        <f>H29*Assumptions!$C$32</f>
        <v>37362637.362637363</v>
      </c>
      <c r="J29" s="156">
        <f t="shared" si="8"/>
        <v>1.7770322300000001</v>
      </c>
      <c r="K29" s="156">
        <v>1.6483000000000001</v>
      </c>
      <c r="L29" s="156">
        <f t="shared" si="1"/>
        <v>1.7770322300000001</v>
      </c>
      <c r="M29" s="952">
        <f t="shared" si="9"/>
        <v>0.12873223</v>
      </c>
      <c r="N29" s="70">
        <f t="shared" si="2"/>
        <v>66394610.791208796</v>
      </c>
      <c r="O29" s="70">
        <f t="shared" si="3"/>
        <v>61584835.16483517</v>
      </c>
      <c r="P29" s="70">
        <f t="shared" si="4"/>
        <v>66394610.791208796</v>
      </c>
      <c r="Q29" s="70">
        <f t="shared" si="5"/>
        <v>0</v>
      </c>
    </row>
    <row r="30" spans="1:17" s="85" customFormat="1" x14ac:dyDescent="0.6">
      <c r="A30" s="60">
        <f t="shared" si="6"/>
        <v>27</v>
      </c>
      <c r="B30" s="85" t="s">
        <v>164</v>
      </c>
      <c r="C30" s="89">
        <f t="shared" si="7"/>
        <v>0</v>
      </c>
      <c r="D30" s="89"/>
      <c r="E30" s="89"/>
      <c r="F30" s="89">
        <f t="shared" si="0"/>
        <v>0</v>
      </c>
      <c r="G30" s="174">
        <v>0</v>
      </c>
      <c r="H30" s="948">
        <v>1.4</v>
      </c>
      <c r="I30" s="897">
        <f>H30*Assumptions!$C$32</f>
        <v>15384615.384615384</v>
      </c>
      <c r="J30" s="156">
        <f t="shared" si="8"/>
        <v>1.9450000000000001</v>
      </c>
      <c r="K30" s="156">
        <v>1.9450000000000001</v>
      </c>
      <c r="L30" s="156">
        <f t="shared" si="1"/>
        <v>1.9450000000000001</v>
      </c>
      <c r="M30" s="952">
        <f t="shared" si="9"/>
        <v>0</v>
      </c>
      <c r="N30" s="70">
        <f t="shared" si="2"/>
        <v>29923076.923076924</v>
      </c>
      <c r="O30" s="70">
        <f t="shared" si="3"/>
        <v>29923076.923076924</v>
      </c>
      <c r="P30" s="70">
        <f t="shared" si="4"/>
        <v>29923076.923076924</v>
      </c>
      <c r="Q30" s="70">
        <f t="shared" si="5"/>
        <v>0</v>
      </c>
    </row>
    <row r="31" spans="1:17" s="85" customFormat="1" x14ac:dyDescent="0.6">
      <c r="A31" s="60">
        <f t="shared" si="6"/>
        <v>28</v>
      </c>
      <c r="B31" s="85" t="s">
        <v>165</v>
      </c>
      <c r="C31" s="89">
        <f t="shared" si="7"/>
        <v>0</v>
      </c>
      <c r="D31" s="89"/>
      <c r="E31" s="89"/>
      <c r="F31" s="89">
        <f t="shared" si="0"/>
        <v>0</v>
      </c>
      <c r="G31" s="174">
        <v>6.8000000000000005E-2</v>
      </c>
      <c r="H31" s="948">
        <v>0.5</v>
      </c>
      <c r="I31" s="897">
        <f>H31*Assumptions!$C$32</f>
        <v>5494505.4945054948</v>
      </c>
      <c r="J31" s="156">
        <f t="shared" si="8"/>
        <v>1.7603844000000002</v>
      </c>
      <c r="K31" s="156">
        <v>1.6483000000000001</v>
      </c>
      <c r="L31" s="156">
        <f t="shared" si="1"/>
        <v>1.7603844000000002</v>
      </c>
      <c r="M31" s="952">
        <f t="shared" si="9"/>
        <v>0.11208440000000008</v>
      </c>
      <c r="N31" s="70">
        <f t="shared" si="2"/>
        <v>9672441.7582417596</v>
      </c>
      <c r="O31" s="70">
        <f t="shared" si="3"/>
        <v>9056593.4065934084</v>
      </c>
      <c r="P31" s="70">
        <f t="shared" si="4"/>
        <v>9672441.7582417596</v>
      </c>
      <c r="Q31" s="70">
        <f t="shared" si="5"/>
        <v>0</v>
      </c>
    </row>
    <row r="32" spans="1:17" s="85" customFormat="1" x14ac:dyDescent="0.6">
      <c r="A32" s="60">
        <f t="shared" si="6"/>
        <v>29</v>
      </c>
      <c r="B32" s="85" t="s">
        <v>147</v>
      </c>
      <c r="C32" s="89">
        <f t="shared" si="7"/>
        <v>0</v>
      </c>
      <c r="D32" s="89"/>
      <c r="E32" s="89"/>
      <c r="F32" s="89">
        <f t="shared" si="0"/>
        <v>0</v>
      </c>
      <c r="G32" s="174">
        <v>7.9399999999999998E-2</v>
      </c>
      <c r="H32" s="948">
        <v>1.3</v>
      </c>
      <c r="I32" s="897">
        <f>H32*Assumptions!$C$32</f>
        <v>14285714.285714287</v>
      </c>
      <c r="J32" s="156">
        <f t="shared" si="8"/>
        <v>2.3217893999999997</v>
      </c>
      <c r="K32" s="156">
        <v>2.1509999999999998</v>
      </c>
      <c r="L32" s="156">
        <f t="shared" si="1"/>
        <v>2.3217893999999997</v>
      </c>
      <c r="M32" s="952">
        <f t="shared" si="9"/>
        <v>0.17078939999999987</v>
      </c>
      <c r="N32" s="70">
        <f t="shared" si="2"/>
        <v>33168420</v>
      </c>
      <c r="O32" s="70">
        <f t="shared" si="3"/>
        <v>30728571.428571429</v>
      </c>
      <c r="P32" s="70">
        <f t="shared" si="4"/>
        <v>33168420</v>
      </c>
      <c r="Q32" s="70">
        <f t="shared" si="5"/>
        <v>0</v>
      </c>
    </row>
    <row r="33" spans="1:17" s="85" customFormat="1" x14ac:dyDescent="0.6">
      <c r="A33" s="60">
        <f t="shared" si="6"/>
        <v>30</v>
      </c>
      <c r="B33" s="85" t="s">
        <v>170</v>
      </c>
      <c r="C33" s="89">
        <f t="shared" si="7"/>
        <v>0</v>
      </c>
      <c r="D33" s="89"/>
      <c r="E33" s="89"/>
      <c r="F33" s="89">
        <f t="shared" si="0"/>
        <v>0</v>
      </c>
      <c r="G33" s="174">
        <v>0</v>
      </c>
      <c r="H33" s="948">
        <v>6</v>
      </c>
      <c r="I33" s="897">
        <f>H33*Assumptions!$C$32</f>
        <v>65934065.934065938</v>
      </c>
      <c r="J33" s="156">
        <f t="shared" si="8"/>
        <v>2.8675000000000002</v>
      </c>
      <c r="K33" s="156">
        <v>2.8675000000000002</v>
      </c>
      <c r="L33" s="156">
        <f t="shared" si="1"/>
        <v>2.8675000000000002</v>
      </c>
      <c r="M33" s="952">
        <f t="shared" si="9"/>
        <v>0</v>
      </c>
      <c r="N33" s="70">
        <f t="shared" si="2"/>
        <v>189065934.06593409</v>
      </c>
      <c r="O33" s="70">
        <f t="shared" si="3"/>
        <v>189065934.06593409</v>
      </c>
      <c r="P33" s="70">
        <f t="shared" si="4"/>
        <v>189065934.06593409</v>
      </c>
      <c r="Q33" s="70">
        <f t="shared" si="5"/>
        <v>0</v>
      </c>
    </row>
    <row r="34" spans="1:17" s="85" customFormat="1" x14ac:dyDescent="0.6">
      <c r="A34" s="60">
        <f t="shared" si="6"/>
        <v>31</v>
      </c>
      <c r="B34" s="85" t="s">
        <v>187</v>
      </c>
      <c r="C34" s="89">
        <f t="shared" si="7"/>
        <v>0</v>
      </c>
      <c r="D34" s="89"/>
      <c r="E34" s="89"/>
      <c r="F34" s="89">
        <f t="shared" si="0"/>
        <v>0</v>
      </c>
      <c r="G34" s="174">
        <v>6.9699999999999998E-2</v>
      </c>
      <c r="H34" s="948">
        <v>1.1000000000000001</v>
      </c>
      <c r="I34" s="897">
        <f>H34*Assumptions!$C$32</f>
        <v>12087912.08791209</v>
      </c>
      <c r="J34" s="156">
        <f t="shared" si="8"/>
        <v>2.9682035600000001</v>
      </c>
      <c r="K34" s="156">
        <v>2.7747999999999999</v>
      </c>
      <c r="L34" s="156">
        <f t="shared" si="1"/>
        <v>2.9682035600000001</v>
      </c>
      <c r="M34" s="952">
        <f t="shared" si="9"/>
        <v>0.19340356000000014</v>
      </c>
      <c r="N34" s="70">
        <f t="shared" si="2"/>
        <v>35879383.692307703</v>
      </c>
      <c r="O34" s="70">
        <f t="shared" si="3"/>
        <v>33541538.461538468</v>
      </c>
      <c r="P34" s="70">
        <f t="shared" si="4"/>
        <v>35879383.692307703</v>
      </c>
      <c r="Q34" s="70">
        <f t="shared" si="5"/>
        <v>0</v>
      </c>
    </row>
    <row r="35" spans="1:17" s="85" customFormat="1" x14ac:dyDescent="0.6">
      <c r="A35" s="60">
        <f t="shared" si="6"/>
        <v>32</v>
      </c>
      <c r="B35" s="85" t="s">
        <v>182</v>
      </c>
      <c r="C35" s="89">
        <f t="shared" si="7"/>
        <v>0</v>
      </c>
      <c r="D35" s="89"/>
      <c r="E35" s="89"/>
      <c r="F35" s="89">
        <f t="shared" si="0"/>
        <v>0</v>
      </c>
      <c r="G35" s="174">
        <v>7.3499999999999996E-2</v>
      </c>
      <c r="H35" s="948">
        <v>1.1000000000000001</v>
      </c>
      <c r="I35" s="897">
        <f>H35*Assumptions!$C$32</f>
        <v>12087912.08791209</v>
      </c>
      <c r="J35" s="156">
        <f t="shared" si="8"/>
        <v>2.4669029999999998</v>
      </c>
      <c r="K35" s="156">
        <v>2.298</v>
      </c>
      <c r="L35" s="156">
        <f t="shared" si="1"/>
        <v>2.4669029999999998</v>
      </c>
      <c r="M35" s="952">
        <f t="shared" si="9"/>
        <v>0.1689029999999998</v>
      </c>
      <c r="N35" s="70">
        <f t="shared" si="2"/>
        <v>29819706.593406595</v>
      </c>
      <c r="O35" s="70">
        <f t="shared" si="3"/>
        <v>27778021.978021983</v>
      </c>
      <c r="P35" s="70">
        <f t="shared" si="4"/>
        <v>29819706.593406595</v>
      </c>
      <c r="Q35" s="70">
        <f t="shared" si="5"/>
        <v>0</v>
      </c>
    </row>
    <row r="36" spans="1:17" s="85" customFormat="1" x14ac:dyDescent="0.6">
      <c r="A36" s="60">
        <f t="shared" si="6"/>
        <v>33</v>
      </c>
      <c r="B36" s="85" t="s">
        <v>140</v>
      </c>
      <c r="C36" s="89">
        <f t="shared" si="7"/>
        <v>0</v>
      </c>
      <c r="D36" s="89"/>
      <c r="E36" s="89"/>
      <c r="F36" s="89">
        <f t="shared" si="0"/>
        <v>0</v>
      </c>
      <c r="G36" s="174">
        <v>8.48E-2</v>
      </c>
      <c r="H36" s="948">
        <v>6.9</v>
      </c>
      <c r="I36" s="897">
        <f>H36*Assumptions!$C$32</f>
        <v>75824175.824175835</v>
      </c>
      <c r="J36" s="156">
        <f t="shared" si="8"/>
        <v>3.0101030399999997</v>
      </c>
      <c r="K36" s="156">
        <v>2.7747999999999999</v>
      </c>
      <c r="L36" s="156">
        <f t="shared" si="1"/>
        <v>3.0101030399999997</v>
      </c>
      <c r="M36" s="952">
        <f t="shared" si="9"/>
        <v>0.2353030399999998</v>
      </c>
      <c r="N36" s="70">
        <f t="shared" si="2"/>
        <v>228238582.15384617</v>
      </c>
      <c r="O36" s="70">
        <f t="shared" si="3"/>
        <v>210396923.0769231</v>
      </c>
      <c r="P36" s="70">
        <f t="shared" si="4"/>
        <v>228238582.15384617</v>
      </c>
      <c r="Q36" s="70">
        <f t="shared" si="5"/>
        <v>0</v>
      </c>
    </row>
    <row r="37" spans="1:17" s="85" customFormat="1" x14ac:dyDescent="0.6">
      <c r="A37" s="60">
        <f t="shared" si="6"/>
        <v>34</v>
      </c>
      <c r="B37" s="85" t="s">
        <v>145</v>
      </c>
      <c r="C37" s="89">
        <f t="shared" si="7"/>
        <v>0</v>
      </c>
      <c r="D37" s="89"/>
      <c r="E37" s="89"/>
      <c r="F37" s="89">
        <f t="shared" si="0"/>
        <v>0</v>
      </c>
      <c r="G37" s="174">
        <v>6.9000000000000006E-2</v>
      </c>
      <c r="H37" s="948">
        <v>7.3</v>
      </c>
      <c r="I37" s="897">
        <f>H37*Assumptions!$C$32</f>
        <v>80219780.219780222</v>
      </c>
      <c r="J37" s="156">
        <f t="shared" si="8"/>
        <v>3.0749784999999998</v>
      </c>
      <c r="K37" s="156">
        <v>2.8765000000000001</v>
      </c>
      <c r="L37" s="156">
        <f t="shared" si="1"/>
        <v>3.0749784999999998</v>
      </c>
      <c r="M37" s="952">
        <f t="shared" si="9"/>
        <v>0.19847849999999978</v>
      </c>
      <c r="N37" s="70">
        <f t="shared" si="2"/>
        <v>246674099.45054945</v>
      </c>
      <c r="O37" s="70">
        <f t="shared" si="3"/>
        <v>230752197.80219781</v>
      </c>
      <c r="P37" s="70">
        <f t="shared" si="4"/>
        <v>246674099.45054945</v>
      </c>
      <c r="Q37" s="70">
        <f t="shared" si="5"/>
        <v>0</v>
      </c>
    </row>
    <row r="38" spans="1:17" s="85" customFormat="1" x14ac:dyDescent="0.6">
      <c r="A38" s="60">
        <f t="shared" si="6"/>
        <v>35</v>
      </c>
      <c r="B38" s="85" t="s">
        <v>173</v>
      </c>
      <c r="C38" s="89">
        <f t="shared" si="7"/>
        <v>0</v>
      </c>
      <c r="D38" s="89"/>
      <c r="E38" s="89"/>
      <c r="F38" s="89">
        <f t="shared" si="0"/>
        <v>0</v>
      </c>
      <c r="G38" s="174">
        <v>6.5600000000000006E-2</v>
      </c>
      <c r="H38" s="948">
        <v>2.2000000000000002</v>
      </c>
      <c r="I38" s="897">
        <f>H38*Assumptions!$C$32</f>
        <v>24175824.17582418</v>
      </c>
      <c r="J38" s="156">
        <f t="shared" si="8"/>
        <v>1.7564284800000003</v>
      </c>
      <c r="K38" s="156">
        <v>1.6483000000000001</v>
      </c>
      <c r="L38" s="156">
        <f t="shared" si="1"/>
        <v>1.7564284800000003</v>
      </c>
      <c r="M38" s="952">
        <f t="shared" si="9"/>
        <v>0.10812848000000019</v>
      </c>
      <c r="N38" s="70">
        <f t="shared" si="2"/>
        <v>42463106.109890126</v>
      </c>
      <c r="O38" s="70">
        <f t="shared" si="3"/>
        <v>39849010.989010997</v>
      </c>
      <c r="P38" s="70">
        <f t="shared" si="4"/>
        <v>42463106.109890126</v>
      </c>
      <c r="Q38" s="70">
        <f t="shared" si="5"/>
        <v>0</v>
      </c>
    </row>
    <row r="39" spans="1:17" s="85" customFormat="1" x14ac:dyDescent="0.6">
      <c r="A39" s="60">
        <f t="shared" si="6"/>
        <v>36</v>
      </c>
      <c r="B39" s="85" t="s">
        <v>163</v>
      </c>
      <c r="C39" s="89">
        <f t="shared" si="7"/>
        <v>0</v>
      </c>
      <c r="D39" s="89"/>
      <c r="E39" s="89"/>
      <c r="F39" s="89">
        <f t="shared" si="0"/>
        <v>0</v>
      </c>
      <c r="G39" s="174">
        <v>7.0999999999999994E-2</v>
      </c>
      <c r="H39" s="948">
        <v>3</v>
      </c>
      <c r="I39" s="897">
        <f>H39*Assumptions!$C$32</f>
        <v>32967032.967032969</v>
      </c>
      <c r="J39" s="156">
        <f t="shared" si="8"/>
        <v>1.7653293000000001</v>
      </c>
      <c r="K39" s="156">
        <v>1.6483000000000001</v>
      </c>
      <c r="L39" s="156">
        <f t="shared" si="1"/>
        <v>1.7653293000000001</v>
      </c>
      <c r="M39" s="952">
        <f t="shared" si="9"/>
        <v>0.1170293</v>
      </c>
      <c r="N39" s="70">
        <f t="shared" si="2"/>
        <v>58197669.230769239</v>
      </c>
      <c r="O39" s="70">
        <f t="shared" si="3"/>
        <v>54339560.439560443</v>
      </c>
      <c r="P39" s="70">
        <f t="shared" si="4"/>
        <v>58197669.230769239</v>
      </c>
      <c r="Q39" s="70">
        <f t="shared" si="5"/>
        <v>0</v>
      </c>
    </row>
    <row r="40" spans="1:17" s="85" customFormat="1" x14ac:dyDescent="0.6">
      <c r="A40" s="60">
        <f t="shared" si="6"/>
        <v>37</v>
      </c>
      <c r="B40" s="85" t="s">
        <v>185</v>
      </c>
      <c r="C40" s="89">
        <f t="shared" si="7"/>
        <v>0</v>
      </c>
      <c r="D40" s="89"/>
      <c r="E40" s="89"/>
      <c r="F40" s="89">
        <f t="shared" si="0"/>
        <v>0</v>
      </c>
      <c r="G40" s="174">
        <v>8.77E-2</v>
      </c>
      <c r="H40" s="948">
        <v>1.5</v>
      </c>
      <c r="I40" s="897">
        <f>H40*Assumptions!$C$32</f>
        <v>16483516.483516484</v>
      </c>
      <c r="J40" s="156">
        <f t="shared" si="8"/>
        <v>1.7928559099999999</v>
      </c>
      <c r="K40" s="156">
        <v>1.6483000000000001</v>
      </c>
      <c r="L40" s="156">
        <f t="shared" si="1"/>
        <v>1.7928559099999999</v>
      </c>
      <c r="M40" s="952">
        <f t="shared" si="9"/>
        <v>0.14455590999999979</v>
      </c>
      <c r="N40" s="70">
        <f t="shared" si="2"/>
        <v>29552569.945054945</v>
      </c>
      <c r="O40" s="70">
        <f t="shared" si="3"/>
        <v>27169780.219780222</v>
      </c>
      <c r="P40" s="70">
        <f t="shared" si="4"/>
        <v>29552569.945054945</v>
      </c>
      <c r="Q40" s="70">
        <f t="shared" si="5"/>
        <v>0</v>
      </c>
    </row>
    <row r="41" spans="1:17" s="85" customFormat="1" x14ac:dyDescent="0.6">
      <c r="A41" s="60">
        <f t="shared" si="6"/>
        <v>38</v>
      </c>
      <c r="B41" s="85" t="s">
        <v>153</v>
      </c>
      <c r="C41" s="89">
        <f t="shared" si="7"/>
        <v>0</v>
      </c>
      <c r="D41" s="89"/>
      <c r="E41" s="89"/>
      <c r="F41" s="89">
        <f t="shared" si="0"/>
        <v>0</v>
      </c>
      <c r="G41" s="174">
        <v>0</v>
      </c>
      <c r="H41" s="948">
        <v>1.2</v>
      </c>
      <c r="I41" s="897">
        <f>H41*Assumptions!$C$32</f>
        <v>13186813.186813187</v>
      </c>
      <c r="J41" s="156">
        <f t="shared" si="8"/>
        <v>2.1509999999999998</v>
      </c>
      <c r="K41" s="156">
        <v>2.1509999999999998</v>
      </c>
      <c r="L41" s="156">
        <f t="shared" si="1"/>
        <v>2.1509999999999998</v>
      </c>
      <c r="M41" s="952">
        <f t="shared" si="9"/>
        <v>0</v>
      </c>
      <c r="N41" s="70">
        <f t="shared" si="2"/>
        <v>28364835.164835162</v>
      </c>
      <c r="O41" s="70">
        <f t="shared" si="3"/>
        <v>28364835.164835162</v>
      </c>
      <c r="P41" s="70">
        <f t="shared" si="4"/>
        <v>28364835.164835162</v>
      </c>
      <c r="Q41" s="70">
        <f t="shared" si="5"/>
        <v>0</v>
      </c>
    </row>
    <row r="42" spans="1:17" s="85" customFormat="1" x14ac:dyDescent="0.6">
      <c r="A42" s="60">
        <f t="shared" si="6"/>
        <v>39</v>
      </c>
      <c r="B42" s="85" t="s">
        <v>138</v>
      </c>
      <c r="C42" s="89">
        <f t="shared" si="7"/>
        <v>0</v>
      </c>
      <c r="D42" s="89"/>
      <c r="E42" s="89"/>
      <c r="F42" s="89">
        <f t="shared" si="0"/>
        <v>0</v>
      </c>
      <c r="G42" s="174">
        <v>6.3399999999999998E-2</v>
      </c>
      <c r="H42" s="948">
        <v>7.4</v>
      </c>
      <c r="I42" s="897">
        <f>H42*Assumptions!$C$32</f>
        <v>81318681.318681329</v>
      </c>
      <c r="J42" s="156">
        <f t="shared" si="8"/>
        <v>2.9507223199999997</v>
      </c>
      <c r="K42" s="156">
        <v>2.7747999999999999</v>
      </c>
      <c r="L42" s="156">
        <f t="shared" si="1"/>
        <v>2.9507223199999997</v>
      </c>
      <c r="M42" s="952">
        <f t="shared" si="9"/>
        <v>0.17592231999999974</v>
      </c>
      <c r="N42" s="70">
        <f t="shared" si="2"/>
        <v>239948848</v>
      </c>
      <c r="O42" s="70">
        <f t="shared" si="3"/>
        <v>225643076.92307696</v>
      </c>
      <c r="P42" s="70">
        <f t="shared" si="4"/>
        <v>239948848</v>
      </c>
      <c r="Q42" s="70">
        <f t="shared" si="5"/>
        <v>0</v>
      </c>
    </row>
    <row r="43" spans="1:17" s="85" customFormat="1" x14ac:dyDescent="0.6">
      <c r="A43" s="60">
        <f t="shared" si="6"/>
        <v>40</v>
      </c>
      <c r="B43" s="85" t="s">
        <v>146</v>
      </c>
      <c r="C43" s="89">
        <f t="shared" si="7"/>
        <v>0</v>
      </c>
      <c r="D43" s="89"/>
      <c r="E43" s="89"/>
      <c r="F43" s="89">
        <f t="shared" si="0"/>
        <v>0</v>
      </c>
      <c r="G43" s="174">
        <v>7.0000000000000007E-2</v>
      </c>
      <c r="H43" s="948">
        <v>0.4</v>
      </c>
      <c r="I43" s="897">
        <f>H43*Assumptions!$C$32</f>
        <v>4395604.3956043962</v>
      </c>
      <c r="J43" s="156">
        <f t="shared" si="8"/>
        <v>3.0682250000000004</v>
      </c>
      <c r="K43" s="156">
        <v>2.8675000000000002</v>
      </c>
      <c r="L43" s="156">
        <f t="shared" si="1"/>
        <v>3.0682250000000004</v>
      </c>
      <c r="M43" s="952">
        <f t="shared" si="9"/>
        <v>0.20072500000000026</v>
      </c>
      <c r="N43" s="70">
        <f t="shared" si="2"/>
        <v>13486703.296703301</v>
      </c>
      <c r="O43" s="70">
        <f t="shared" si="3"/>
        <v>12604395.604395607</v>
      </c>
      <c r="P43" s="70">
        <f t="shared" si="4"/>
        <v>13486703.296703301</v>
      </c>
      <c r="Q43" s="70">
        <f t="shared" si="5"/>
        <v>0</v>
      </c>
    </row>
    <row r="44" spans="1:17" s="85" customFormat="1" x14ac:dyDescent="0.6">
      <c r="A44" s="60">
        <f t="shared" si="6"/>
        <v>41</v>
      </c>
      <c r="B44" s="85" t="s">
        <v>186</v>
      </c>
      <c r="C44" s="89">
        <f t="shared" si="7"/>
        <v>0</v>
      </c>
      <c r="D44" s="89"/>
      <c r="E44" s="89"/>
      <c r="F44" s="89">
        <f t="shared" si="0"/>
        <v>0</v>
      </c>
      <c r="G44" s="174">
        <v>7.1300000000000002E-2</v>
      </c>
      <c r="H44" s="948">
        <v>2.5</v>
      </c>
      <c r="I44" s="897">
        <f>H44*Assumptions!$C$32</f>
        <v>27472527.472527474</v>
      </c>
      <c r="J44" s="156">
        <f t="shared" si="8"/>
        <v>3.0815944499999999</v>
      </c>
      <c r="K44" s="156">
        <v>2.8765000000000001</v>
      </c>
      <c r="L44" s="156">
        <f t="shared" si="1"/>
        <v>3.0815944499999999</v>
      </c>
      <c r="M44" s="952">
        <f t="shared" si="9"/>
        <v>0.20509444999999982</v>
      </c>
      <c r="N44" s="70">
        <f t="shared" si="2"/>
        <v>84659188.186813191</v>
      </c>
      <c r="O44" s="70">
        <f t="shared" si="3"/>
        <v>79024725.274725288</v>
      </c>
      <c r="P44" s="70">
        <f t="shared" si="4"/>
        <v>84659188.186813191</v>
      </c>
      <c r="Q44" s="70">
        <f t="shared" si="5"/>
        <v>0</v>
      </c>
    </row>
    <row r="45" spans="1:17" s="85" customFormat="1" x14ac:dyDescent="0.6">
      <c r="A45" s="60">
        <f t="shared" si="6"/>
        <v>42</v>
      </c>
      <c r="B45" s="85" t="s">
        <v>159</v>
      </c>
      <c r="C45" s="89">
        <f t="shared" si="7"/>
        <v>0</v>
      </c>
      <c r="D45" s="89"/>
      <c r="E45" s="89"/>
      <c r="F45" s="89">
        <f t="shared" si="0"/>
        <v>0</v>
      </c>
      <c r="G45" s="174">
        <v>5.8299999999999998E-2</v>
      </c>
      <c r="H45" s="948">
        <v>0.7</v>
      </c>
      <c r="I45" s="897">
        <f>H45*Assumptions!$C$32</f>
        <v>7692307.692307692</v>
      </c>
      <c r="J45" s="156">
        <f t="shared" si="8"/>
        <v>1.7443958900000001</v>
      </c>
      <c r="K45" s="156">
        <v>1.6483000000000001</v>
      </c>
      <c r="L45" s="156">
        <f t="shared" si="1"/>
        <v>1.7443958900000001</v>
      </c>
      <c r="M45" s="952">
        <f t="shared" si="9"/>
        <v>9.6095889999999962E-2</v>
      </c>
      <c r="N45" s="70">
        <f t="shared" si="2"/>
        <v>13418429.923076924</v>
      </c>
      <c r="O45" s="70">
        <f t="shared" si="3"/>
        <v>12679230.76923077</v>
      </c>
      <c r="P45" s="70">
        <f t="shared" si="4"/>
        <v>13418429.923076924</v>
      </c>
      <c r="Q45" s="70">
        <f t="shared" si="5"/>
        <v>0</v>
      </c>
    </row>
    <row r="46" spans="1:17" s="85" customFormat="1" x14ac:dyDescent="0.6">
      <c r="A46" s="60">
        <f t="shared" si="6"/>
        <v>43</v>
      </c>
      <c r="B46" s="85" t="s">
        <v>177</v>
      </c>
      <c r="C46" s="89">
        <f t="shared" si="7"/>
        <v>0</v>
      </c>
      <c r="D46" s="89"/>
      <c r="E46" s="89"/>
      <c r="F46" s="89">
        <f t="shared" si="0"/>
        <v>0</v>
      </c>
      <c r="G46" s="174">
        <v>9.4500000000000001E-2</v>
      </c>
      <c r="H46" s="948">
        <v>1.4</v>
      </c>
      <c r="I46" s="897">
        <f>H46*Assumptions!$C$32</f>
        <v>15384615.384615384</v>
      </c>
      <c r="J46" s="156">
        <f t="shared" si="8"/>
        <v>1.8040643500000002</v>
      </c>
      <c r="K46" s="156">
        <v>1.6483000000000001</v>
      </c>
      <c r="L46" s="156">
        <f t="shared" si="1"/>
        <v>1.8040643500000002</v>
      </c>
      <c r="M46" s="952">
        <f t="shared" si="9"/>
        <v>0.15576435000000011</v>
      </c>
      <c r="N46" s="70">
        <f t="shared" si="2"/>
        <v>27754836.153846156</v>
      </c>
      <c r="O46" s="70">
        <f t="shared" si="3"/>
        <v>25358461.53846154</v>
      </c>
      <c r="P46" s="70">
        <f t="shared" si="4"/>
        <v>27754836.153846156</v>
      </c>
      <c r="Q46" s="70">
        <f t="shared" si="5"/>
        <v>0</v>
      </c>
    </row>
    <row r="47" spans="1:17" s="85" customFormat="1" x14ac:dyDescent="0.6">
      <c r="A47" s="60">
        <f t="shared" si="6"/>
        <v>44</v>
      </c>
      <c r="B47" s="85" t="s">
        <v>180</v>
      </c>
      <c r="C47" s="89">
        <f t="shared" si="7"/>
        <v>0</v>
      </c>
      <c r="D47" s="89"/>
      <c r="E47" s="89"/>
      <c r="F47" s="89">
        <f t="shared" si="0"/>
        <v>0</v>
      </c>
      <c r="G47" s="174">
        <v>8.0500000000000002E-2</v>
      </c>
      <c r="H47" s="948">
        <v>8.1</v>
      </c>
      <c r="I47" s="897">
        <f>H47*Assumptions!$C$32</f>
        <v>89010989.01098901</v>
      </c>
      <c r="J47" s="156">
        <f t="shared" si="8"/>
        <v>2.4829889999999999</v>
      </c>
      <c r="K47" s="156">
        <v>2.298</v>
      </c>
      <c r="L47" s="156">
        <f t="shared" si="1"/>
        <v>2.4829889999999999</v>
      </c>
      <c r="M47" s="952">
        <f t="shared" si="9"/>
        <v>0.18498899999999985</v>
      </c>
      <c r="N47" s="70">
        <f t="shared" si="2"/>
        <v>221013306.59340659</v>
      </c>
      <c r="O47" s="70">
        <f t="shared" si="3"/>
        <v>204547252.74725276</v>
      </c>
      <c r="P47" s="70">
        <f t="shared" si="4"/>
        <v>221013306.59340659</v>
      </c>
      <c r="Q47" s="70">
        <f t="shared" si="5"/>
        <v>0</v>
      </c>
    </row>
    <row r="48" spans="1:17" s="85" customFormat="1" x14ac:dyDescent="0.6">
      <c r="A48" s="60">
        <f t="shared" si="6"/>
        <v>45</v>
      </c>
      <c r="B48" s="85" t="s">
        <v>161</v>
      </c>
      <c r="C48" s="89">
        <f t="shared" si="7"/>
        <v>0</v>
      </c>
      <c r="D48" s="89"/>
      <c r="E48" s="89"/>
      <c r="F48" s="89">
        <f t="shared" si="0"/>
        <v>0</v>
      </c>
      <c r="G48" s="174">
        <v>6.6799999999999998E-2</v>
      </c>
      <c r="H48" s="948">
        <v>1.8</v>
      </c>
      <c r="I48" s="897">
        <f>H48*Assumptions!$C$32</f>
        <v>19780219.780219782</v>
      </c>
      <c r="J48" s="156">
        <f t="shared" si="8"/>
        <v>2.074926</v>
      </c>
      <c r="K48" s="156">
        <v>1.9450000000000001</v>
      </c>
      <c r="L48" s="156">
        <f t="shared" si="1"/>
        <v>2.074926</v>
      </c>
      <c r="M48" s="952">
        <f t="shared" si="9"/>
        <v>0.12992599999999999</v>
      </c>
      <c r="N48" s="70">
        <f t="shared" si="2"/>
        <v>41042492.307692312</v>
      </c>
      <c r="O48" s="70">
        <f t="shared" si="3"/>
        <v>38472527.472527474</v>
      </c>
      <c r="P48" s="70">
        <f t="shared" si="4"/>
        <v>41042492.307692312</v>
      </c>
      <c r="Q48" s="70">
        <f t="shared" si="5"/>
        <v>0</v>
      </c>
    </row>
    <row r="49" spans="1:18" s="85" customFormat="1" x14ac:dyDescent="0.6">
      <c r="A49" s="60">
        <f t="shared" si="6"/>
        <v>46</v>
      </c>
      <c r="B49" s="85" t="s">
        <v>156</v>
      </c>
      <c r="C49" s="89">
        <f t="shared" si="7"/>
        <v>0</v>
      </c>
      <c r="D49" s="89"/>
      <c r="E49" s="89"/>
      <c r="F49" s="89">
        <f t="shared" si="0"/>
        <v>0</v>
      </c>
      <c r="G49" s="174">
        <v>6.1400000000000003E-2</v>
      </c>
      <c r="H49" s="948">
        <v>4</v>
      </c>
      <c r="I49" s="897">
        <f>H49*Assumptions!$C$32</f>
        <v>43956043.956043959</v>
      </c>
      <c r="J49" s="156">
        <f t="shared" si="8"/>
        <v>3.0435645</v>
      </c>
      <c r="K49" s="156">
        <v>2.8675000000000002</v>
      </c>
      <c r="L49" s="156">
        <f t="shared" si="1"/>
        <v>3.0435645</v>
      </c>
      <c r="M49" s="952">
        <f t="shared" si="9"/>
        <v>0.17606449999999985</v>
      </c>
      <c r="N49" s="70">
        <f t="shared" si="2"/>
        <v>133783054.94505495</v>
      </c>
      <c r="O49" s="70">
        <f t="shared" si="3"/>
        <v>126043956.04395606</v>
      </c>
      <c r="P49" s="70">
        <f t="shared" si="4"/>
        <v>133783054.94505495</v>
      </c>
      <c r="Q49" s="70">
        <f t="shared" si="5"/>
        <v>0</v>
      </c>
    </row>
    <row r="50" spans="1:18" s="85" customFormat="1" x14ac:dyDescent="0.6">
      <c r="A50" s="60">
        <f t="shared" si="6"/>
        <v>47</v>
      </c>
      <c r="B50" s="85" t="s">
        <v>174</v>
      </c>
      <c r="C50" s="89">
        <f t="shared" si="7"/>
        <v>0</v>
      </c>
      <c r="D50" s="89"/>
      <c r="E50" s="89"/>
      <c r="F50" s="89">
        <f t="shared" si="0"/>
        <v>0</v>
      </c>
      <c r="G50" s="174">
        <v>5.6300000000000003E-2</v>
      </c>
      <c r="H50" s="948">
        <v>6.6</v>
      </c>
      <c r="I50" s="897">
        <f>H50*Assumptions!$C$32</f>
        <v>72527472.527472526</v>
      </c>
      <c r="J50" s="156">
        <f t="shared" si="8"/>
        <v>3.03844695</v>
      </c>
      <c r="K50" s="156">
        <v>2.8765000000000001</v>
      </c>
      <c r="L50" s="156">
        <f t="shared" si="1"/>
        <v>3.03844695</v>
      </c>
      <c r="M50" s="952">
        <f t="shared" si="9"/>
        <v>0.16194694999999992</v>
      </c>
      <c r="N50" s="70">
        <f t="shared" si="2"/>
        <v>220370877.69230768</v>
      </c>
      <c r="O50" s="70">
        <f t="shared" si="3"/>
        <v>208625274.72527471</v>
      </c>
      <c r="P50" s="70">
        <f t="shared" si="4"/>
        <v>220370877.69230768</v>
      </c>
      <c r="Q50" s="70">
        <f t="shared" si="5"/>
        <v>0</v>
      </c>
    </row>
    <row r="51" spans="1:18" s="85" customFormat="1" x14ac:dyDescent="0.6">
      <c r="A51" s="60">
        <f t="shared" si="6"/>
        <v>48</v>
      </c>
      <c r="B51" s="85" t="s">
        <v>139</v>
      </c>
      <c r="C51" s="89">
        <f t="shared" si="7"/>
        <v>0</v>
      </c>
      <c r="D51" s="89"/>
      <c r="E51" s="89"/>
      <c r="F51" s="89">
        <f t="shared" si="0"/>
        <v>0</v>
      </c>
      <c r="G51" s="174">
        <v>8.8900000000000007E-2</v>
      </c>
      <c r="H51" s="948">
        <v>2.6</v>
      </c>
      <c r="I51" s="897">
        <f>H51*Assumptions!$C$32</f>
        <v>28571428.571428575</v>
      </c>
      <c r="J51" s="156">
        <f t="shared" si="8"/>
        <v>2.3422238999999996</v>
      </c>
      <c r="K51" s="156">
        <v>2.1509999999999998</v>
      </c>
      <c r="L51" s="156">
        <f t="shared" si="1"/>
        <v>2.3422238999999996</v>
      </c>
      <c r="M51" s="952">
        <f t="shared" si="9"/>
        <v>0.19122389999999978</v>
      </c>
      <c r="N51" s="70">
        <f t="shared" si="2"/>
        <v>66920682.857142851</v>
      </c>
      <c r="O51" s="70">
        <f t="shared" si="3"/>
        <v>61457142.857142858</v>
      </c>
      <c r="P51" s="70">
        <f t="shared" si="4"/>
        <v>66920682.857142851</v>
      </c>
      <c r="Q51" s="70">
        <f t="shared" si="5"/>
        <v>0</v>
      </c>
    </row>
    <row r="52" spans="1:18" s="85" customFormat="1" x14ac:dyDescent="0.6">
      <c r="A52" s="60">
        <f t="shared" si="6"/>
        <v>49</v>
      </c>
      <c r="B52" s="85" t="s">
        <v>148</v>
      </c>
      <c r="C52" s="89">
        <f t="shared" si="7"/>
        <v>0</v>
      </c>
      <c r="D52" s="89"/>
      <c r="E52" s="89"/>
      <c r="F52" s="89">
        <f t="shared" si="0"/>
        <v>0</v>
      </c>
      <c r="G52" s="174">
        <v>6.0699999999999997E-2</v>
      </c>
      <c r="H52" s="948">
        <v>0.6</v>
      </c>
      <c r="I52" s="897">
        <f>H52*Assumptions!$C$32</f>
        <v>6593406.5934065934</v>
      </c>
      <c r="J52" s="156">
        <f t="shared" si="8"/>
        <v>3.0511035500000001</v>
      </c>
      <c r="K52" s="156">
        <v>2.8765000000000001</v>
      </c>
      <c r="L52" s="156">
        <f t="shared" si="1"/>
        <v>3.0511035500000001</v>
      </c>
      <c r="M52" s="952">
        <f t="shared" si="9"/>
        <v>0.17460355000000005</v>
      </c>
      <c r="N52" s="70">
        <f t="shared" si="2"/>
        <v>20117166.263736263</v>
      </c>
      <c r="O52" s="70">
        <f t="shared" si="3"/>
        <v>18965934.065934066</v>
      </c>
      <c r="P52" s="70">
        <f t="shared" si="4"/>
        <v>20117166.263736263</v>
      </c>
      <c r="Q52" s="70">
        <f t="shared" si="5"/>
        <v>0</v>
      </c>
    </row>
    <row r="53" spans="1:18" s="85" customFormat="1" x14ac:dyDescent="0.6">
      <c r="A53" s="60">
        <f t="shared" si="6"/>
        <v>50</v>
      </c>
      <c r="B53" s="85" t="s">
        <v>149</v>
      </c>
      <c r="C53" s="89">
        <f t="shared" si="7"/>
        <v>0</v>
      </c>
      <c r="D53" s="89"/>
      <c r="E53" s="89"/>
      <c r="F53" s="89">
        <f t="shared" si="0"/>
        <v>0</v>
      </c>
      <c r="G53" s="174">
        <v>5.4300000000000001E-2</v>
      </c>
      <c r="H53" s="948">
        <v>3.2</v>
      </c>
      <c r="I53" s="897">
        <f>H53*Assumptions!$C$32</f>
        <v>35164835.16483517</v>
      </c>
      <c r="J53" s="156">
        <f t="shared" si="8"/>
        <v>1.7378026900000001</v>
      </c>
      <c r="K53" s="156">
        <v>1.6483000000000001</v>
      </c>
      <c r="L53" s="156">
        <f t="shared" si="1"/>
        <v>1.7378026900000001</v>
      </c>
      <c r="M53" s="952">
        <f t="shared" si="9"/>
        <v>8.9502689999999996E-2</v>
      </c>
      <c r="N53" s="70">
        <f t="shared" si="2"/>
        <v>61109545.142857157</v>
      </c>
      <c r="O53" s="70">
        <f t="shared" si="3"/>
        <v>57962197.802197814</v>
      </c>
      <c r="P53" s="70">
        <f t="shared" si="4"/>
        <v>61109545.142857157</v>
      </c>
      <c r="Q53" s="70">
        <f t="shared" si="5"/>
        <v>0</v>
      </c>
    </row>
    <row r="54" spans="1:18" s="85" customFormat="1" x14ac:dyDescent="0.6">
      <c r="A54" s="60">
        <f t="shared" si="6"/>
        <v>51</v>
      </c>
      <c r="B54" s="85" t="s">
        <v>169</v>
      </c>
      <c r="C54" s="89">
        <f t="shared" si="7"/>
        <v>0</v>
      </c>
      <c r="D54" s="89"/>
      <c r="E54" s="89"/>
      <c r="F54" s="89">
        <f t="shared" si="0"/>
        <v>0</v>
      </c>
      <c r="G54" s="174">
        <v>5.4699999999999999E-2</v>
      </c>
      <c r="H54" s="948">
        <v>1.4</v>
      </c>
      <c r="I54" s="897">
        <f>H54*Assumptions!$C$32</f>
        <v>15384615.384615384</v>
      </c>
      <c r="J54" s="156">
        <f t="shared" si="8"/>
        <v>2.0513914999999998</v>
      </c>
      <c r="K54" s="156">
        <v>1.9450000000000001</v>
      </c>
      <c r="L54" s="156">
        <f t="shared" si="1"/>
        <v>2.0513914999999998</v>
      </c>
      <c r="M54" s="952">
        <f t="shared" si="9"/>
        <v>0.10639149999999975</v>
      </c>
      <c r="N54" s="70">
        <f t="shared" si="2"/>
        <v>31559869.230769228</v>
      </c>
      <c r="O54" s="70">
        <f t="shared" si="3"/>
        <v>29923076.923076924</v>
      </c>
      <c r="P54" s="70">
        <f t="shared" si="4"/>
        <v>31559869.230769228</v>
      </c>
      <c r="Q54" s="70">
        <f t="shared" si="5"/>
        <v>0</v>
      </c>
    </row>
    <row r="55" spans="1:18" s="85" customFormat="1" x14ac:dyDescent="0.6">
      <c r="C55" s="89"/>
      <c r="D55" s="89"/>
      <c r="E55" s="89"/>
      <c r="F55" s="89"/>
      <c r="G55" s="174"/>
      <c r="H55" s="948"/>
      <c r="I55" s="913"/>
      <c r="J55" s="156"/>
      <c r="K55" s="156"/>
      <c r="L55" s="156"/>
      <c r="M55" s="952"/>
      <c r="N55" s="70"/>
      <c r="O55" s="70"/>
      <c r="P55" s="70"/>
    </row>
    <row r="56" spans="1:18" s="104" customFormat="1" x14ac:dyDescent="0.6">
      <c r="B56" s="104" t="s">
        <v>42</v>
      </c>
      <c r="C56" s="942"/>
      <c r="D56" s="942">
        <f>SUMPRODUCT(D4:D54,I4:I54)/I56</f>
        <v>0</v>
      </c>
      <c r="E56" s="942"/>
      <c r="F56" s="942"/>
      <c r="G56" s="943"/>
      <c r="H56" s="1186">
        <f>SUM(H4:H55)</f>
        <v>140</v>
      </c>
      <c r="I56" s="951">
        <f>SUM(I4:I55)</f>
        <v>1538461538.4615386</v>
      </c>
      <c r="J56" s="881"/>
      <c r="K56" s="156"/>
      <c r="L56" s="881"/>
      <c r="M56" s="952"/>
      <c r="N56" s="593">
        <f>SUM(N4:N55)</f>
        <v>3904477469.7472534</v>
      </c>
      <c r="O56" s="593">
        <f>SUM(O4:O55)</f>
        <v>3669951868.1318698</v>
      </c>
      <c r="P56" s="593">
        <f>SUM(P4:P55)</f>
        <v>3904477469.7472534</v>
      </c>
      <c r="Q56" s="593">
        <f>SUM(Q4:Q55)</f>
        <v>0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44"/>
      <c r="G57" s="945"/>
      <c r="H57" s="953"/>
      <c r="I57" s="954"/>
      <c r="J57" s="237"/>
      <c r="K57" s="237"/>
      <c r="L57" s="237"/>
      <c r="M57" s="955"/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89"/>
      <c r="G58" s="174"/>
      <c r="H58" s="178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89"/>
      <c r="G59" s="178"/>
      <c r="H59" s="1654" t="s">
        <v>1746</v>
      </c>
      <c r="I59" s="21">
        <f>LARGE($I$4:$I$54,1)</f>
        <v>89010989.01098901</v>
      </c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 t="s">
        <v>401</v>
      </c>
      <c r="D60" s="812">
        <f>Assumptions!C31/Assumptions!C8</f>
        <v>0.72799999999999998</v>
      </c>
      <c r="E60" s="89" t="s">
        <v>128</v>
      </c>
      <c r="F60" s="89"/>
      <c r="G60" s="178"/>
      <c r="H60" s="1659" t="s">
        <v>1744</v>
      </c>
      <c r="I60" s="21">
        <f>LARGE($I$4:$I$54,2)</f>
        <v>83516483.516483516</v>
      </c>
      <c r="J60" s="156"/>
      <c r="K60" s="156"/>
      <c r="L60" s="156"/>
      <c r="M60" s="156"/>
      <c r="N60" s="70"/>
      <c r="O60" s="70" t="s">
        <v>26</v>
      </c>
      <c r="P60" s="70">
        <f>N56-O56</f>
        <v>234525601.61538363</v>
      </c>
      <c r="Q60" s="881">
        <f>P60/$I$56</f>
        <v>0.15244164104999935</v>
      </c>
    </row>
    <row r="61" spans="1:18" s="85" customFormat="1" x14ac:dyDescent="0.6">
      <c r="C61" s="89"/>
      <c r="D61" s="89"/>
      <c r="E61" s="89"/>
      <c r="F61" s="89"/>
      <c r="G61" s="174"/>
      <c r="H61" s="1267" t="s">
        <v>1745</v>
      </c>
      <c r="I61" s="21">
        <f>LARGE($I$4:$I$54,3)</f>
        <v>81318681.318681329</v>
      </c>
      <c r="J61" s="156"/>
      <c r="K61" s="156"/>
      <c r="L61" s="156"/>
      <c r="M61" s="156"/>
      <c r="N61" s="70"/>
      <c r="O61" s="70" t="s">
        <v>654</v>
      </c>
      <c r="P61" s="70">
        <f>P56-O56</f>
        <v>234525601.61538363</v>
      </c>
      <c r="Q61" s="881">
        <f>P61/$I$56</f>
        <v>0.15244164104999935</v>
      </c>
    </row>
    <row r="62" spans="1:18" s="85" customFormat="1" x14ac:dyDescent="0.6">
      <c r="C62" s="89"/>
      <c r="D62" s="89"/>
      <c r="E62" s="89"/>
      <c r="F62" s="89"/>
      <c r="G62" s="174"/>
      <c r="H62" s="178"/>
      <c r="J62" s="156"/>
      <c r="K62" s="156"/>
      <c r="L62" s="156"/>
      <c r="M62" s="156"/>
      <c r="N62" s="70"/>
      <c r="O62" s="70" t="s">
        <v>602</v>
      </c>
      <c r="P62" s="70">
        <f>P60-P61</f>
        <v>0</v>
      </c>
      <c r="Q62" s="881">
        <f>P62/$I$56</f>
        <v>0</v>
      </c>
    </row>
    <row r="63" spans="1:18" s="85" customFormat="1" x14ac:dyDescent="0.6">
      <c r="C63" s="89"/>
      <c r="D63" s="89"/>
      <c r="E63" s="89"/>
      <c r="F63" s="89"/>
      <c r="G63" s="174"/>
      <c r="H63" s="178"/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89"/>
      <c r="G64" s="174"/>
      <c r="H64" s="178"/>
      <c r="J64" s="156"/>
      <c r="K64" s="156"/>
      <c r="L64" s="156"/>
      <c r="M64" s="156"/>
      <c r="N64" s="70"/>
      <c r="O64" s="70" t="s">
        <v>686</v>
      </c>
      <c r="Q64" s="506">
        <f>O56/I56</f>
        <v>2.3854687142857154</v>
      </c>
    </row>
    <row r="65" spans="3:18" s="85" customFormat="1" x14ac:dyDescent="0.6">
      <c r="C65" s="89"/>
      <c r="D65" s="89"/>
      <c r="E65" s="89"/>
      <c r="F65" s="89"/>
      <c r="G65" s="174"/>
      <c r="H65" s="178"/>
      <c r="J65" s="156"/>
      <c r="K65" s="156"/>
      <c r="L65" s="156"/>
      <c r="M65" s="156"/>
      <c r="N65" s="70"/>
      <c r="O65" s="70" t="s">
        <v>645</v>
      </c>
      <c r="Q65" s="506">
        <f>N56/I56</f>
        <v>2.5379103553357147</v>
      </c>
    </row>
    <row r="66" spans="3:18" s="85" customFormat="1" x14ac:dyDescent="0.6">
      <c r="C66" s="89"/>
      <c r="D66" s="89"/>
      <c r="E66" s="89"/>
      <c r="F66" s="89"/>
      <c r="G66" s="174"/>
      <c r="H66" s="178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89"/>
      <c r="G67" s="174"/>
      <c r="H67" s="178"/>
      <c r="J67" s="156"/>
      <c r="K67" s="156"/>
      <c r="L67" s="156"/>
      <c r="M67" s="156"/>
      <c r="N67" s="70"/>
      <c r="O67" s="17"/>
      <c r="P67" s="1" t="s">
        <v>180</v>
      </c>
      <c r="Q67" s="17">
        <f>LARGE(Q4:Q54,1)</f>
        <v>0</v>
      </c>
      <c r="R67" s="826"/>
    </row>
    <row r="68" spans="3:18" s="85" customFormat="1" x14ac:dyDescent="0.6">
      <c r="C68" s="89"/>
      <c r="D68" s="89"/>
      <c r="E68" s="89"/>
      <c r="F68" s="89"/>
      <c r="G68" s="174"/>
      <c r="H68" s="178"/>
      <c r="J68" s="156"/>
      <c r="K68" s="156"/>
      <c r="L68" s="156"/>
      <c r="M68" s="156"/>
      <c r="N68" s="70"/>
      <c r="O68" s="1"/>
      <c r="P68" s="1" t="s">
        <v>142</v>
      </c>
      <c r="Q68" s="70">
        <f>LARGE(Q4:Q54,2)</f>
        <v>0</v>
      </c>
      <c r="R68" s="17"/>
    </row>
    <row r="69" spans="3:18" s="85" customFormat="1" x14ac:dyDescent="0.6">
      <c r="C69" s="89"/>
      <c r="D69" s="89"/>
      <c r="E69" s="89"/>
      <c r="F69" s="89"/>
      <c r="G69" s="174"/>
      <c r="H69" s="178"/>
      <c r="J69" s="156"/>
      <c r="K69" s="156"/>
      <c r="L69" s="156"/>
      <c r="M69" s="156"/>
      <c r="N69" s="70"/>
      <c r="O69" s="1"/>
      <c r="P69" s="1" t="s">
        <v>157</v>
      </c>
      <c r="Q69" s="70">
        <f>LARGE(Q4:Q54,3)</f>
        <v>0</v>
      </c>
      <c r="R69" s="17"/>
    </row>
    <row r="70" spans="3:18" s="85" customFormat="1" x14ac:dyDescent="0.6">
      <c r="C70" s="89"/>
      <c r="D70" s="89"/>
      <c r="E70" s="89"/>
      <c r="F70" s="89"/>
      <c r="G70" s="174"/>
      <c r="H70" s="178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89"/>
      <c r="G71" s="174"/>
      <c r="H71" s="178"/>
      <c r="J71" s="156"/>
      <c r="K71" s="156"/>
      <c r="L71" s="156"/>
      <c r="M71" s="156"/>
      <c r="N71" s="70"/>
      <c r="O71" s="1"/>
      <c r="P71" s="1" t="s">
        <v>852</v>
      </c>
      <c r="Q71" s="891">
        <f>SUM(Q4:Q54)</f>
        <v>0</v>
      </c>
      <c r="R71" s="929">
        <v>51</v>
      </c>
    </row>
    <row r="72" spans="3:18" s="85" customFormat="1" x14ac:dyDescent="0.6">
      <c r="C72" s="89"/>
      <c r="D72" s="89"/>
      <c r="E72" s="89"/>
      <c r="F72" s="89"/>
      <c r="G72" s="174"/>
      <c r="H72" s="178"/>
      <c r="J72" s="156"/>
      <c r="K72" s="156"/>
      <c r="L72" s="156"/>
      <c r="M72" s="156"/>
      <c r="N72" s="70"/>
      <c r="O72" s="1"/>
      <c r="P72" s="1" t="s">
        <v>853</v>
      </c>
      <c r="Q72" s="891">
        <v>0</v>
      </c>
      <c r="R72" s="929">
        <v>0</v>
      </c>
    </row>
    <row r="73" spans="3:18" s="85" customFormat="1" x14ac:dyDescent="0.6">
      <c r="C73" s="89"/>
      <c r="D73" s="89"/>
      <c r="E73" s="89"/>
      <c r="F73" s="89"/>
      <c r="G73" s="174"/>
      <c r="H73" s="178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89"/>
      <c r="G74" s="174"/>
      <c r="H74" s="178"/>
      <c r="J74" s="156"/>
      <c r="K74" s="156"/>
      <c r="L74" s="156"/>
      <c r="M74" s="156"/>
      <c r="N74" s="70"/>
      <c r="O74" s="1"/>
      <c r="P74" s="1"/>
      <c r="Q74" s="891"/>
      <c r="R74" s="17"/>
    </row>
    <row r="75" spans="3:18" s="85" customFormat="1" x14ac:dyDescent="0.6">
      <c r="C75" s="89"/>
      <c r="D75" s="89"/>
      <c r="E75" s="89"/>
      <c r="F75" s="89"/>
      <c r="G75" s="174"/>
      <c r="H75" s="178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89"/>
      <c r="G76" s="174"/>
      <c r="H76" s="178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89"/>
      <c r="G77" s="174"/>
      <c r="H77" s="178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89"/>
      <c r="G78" s="174"/>
      <c r="H78" s="178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89"/>
      <c r="G79" s="174"/>
      <c r="H79" s="178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85" customFormat="1" x14ac:dyDescent="0.6">
      <c r="C80" s="89"/>
      <c r="D80" s="89"/>
      <c r="E80" s="89"/>
      <c r="F80" s="89"/>
      <c r="G80" s="174"/>
      <c r="H80" s="178"/>
      <c r="J80" s="156"/>
      <c r="K80" s="156"/>
      <c r="L80" s="156"/>
      <c r="M80" s="156"/>
      <c r="N80" s="70"/>
      <c r="O80" s="17"/>
      <c r="P80" s="17"/>
      <c r="Q80" s="70"/>
      <c r="R80" s="1"/>
    </row>
    <row r="81" spans="3:16" s="85" customFormat="1" x14ac:dyDescent="0.6">
      <c r="C81" s="89"/>
      <c r="D81" s="89"/>
      <c r="E81" s="89"/>
      <c r="F81" s="89"/>
      <c r="G81" s="174"/>
      <c r="H81" s="178"/>
      <c r="J81" s="156"/>
      <c r="K81" s="156"/>
      <c r="L81" s="156"/>
      <c r="M81" s="156"/>
      <c r="N81" s="70"/>
      <c r="O81" s="70"/>
      <c r="P81" s="70"/>
    </row>
    <row r="82" spans="3:16" s="85" customFormat="1" x14ac:dyDescent="0.6">
      <c r="C82" s="89"/>
      <c r="D82" s="89"/>
      <c r="E82" s="89"/>
      <c r="F82" s="89"/>
      <c r="G82" s="174"/>
      <c r="H82" s="178"/>
      <c r="J82" s="156"/>
      <c r="K82" s="156"/>
      <c r="L82" s="156"/>
      <c r="M82" s="156"/>
      <c r="N82" s="70"/>
      <c r="O82" s="70"/>
      <c r="P82" s="70"/>
    </row>
    <row r="83" spans="3:16" s="85" customFormat="1" x14ac:dyDescent="0.6">
      <c r="C83" s="89"/>
      <c r="D83" s="89"/>
      <c r="E83" s="89"/>
      <c r="F83" s="89"/>
      <c r="G83" s="174"/>
      <c r="H83" s="178"/>
      <c r="J83" s="156"/>
      <c r="K83" s="156"/>
      <c r="L83" s="156"/>
      <c r="M83" s="156"/>
      <c r="N83" s="70"/>
      <c r="O83" s="70"/>
      <c r="P83" s="70"/>
    </row>
    <row r="84" spans="3:16" s="85" customFormat="1" x14ac:dyDescent="0.6">
      <c r="C84" s="89"/>
      <c r="D84" s="89"/>
      <c r="E84" s="89"/>
      <c r="F84" s="89"/>
      <c r="G84" s="174"/>
      <c r="H84" s="178"/>
      <c r="J84" s="156"/>
      <c r="K84" s="156"/>
      <c r="L84" s="156"/>
      <c r="M84" s="156"/>
      <c r="N84" s="70"/>
      <c r="O84" s="70"/>
      <c r="P84" s="70"/>
    </row>
    <row r="85" spans="3:16" s="85" customFormat="1" x14ac:dyDescent="0.6">
      <c r="C85" s="89"/>
      <c r="D85" s="89"/>
      <c r="E85" s="89"/>
      <c r="F85" s="89"/>
      <c r="G85" s="174"/>
      <c r="H85" s="178"/>
      <c r="J85" s="156"/>
      <c r="K85" s="156"/>
      <c r="L85" s="156"/>
      <c r="M85" s="156"/>
      <c r="N85" s="70"/>
      <c r="O85" s="70"/>
      <c r="P85" s="70"/>
    </row>
    <row r="86" spans="3:16" s="85" customFormat="1" x14ac:dyDescent="0.6">
      <c r="C86" s="89"/>
      <c r="D86" s="89"/>
      <c r="E86" s="89"/>
      <c r="F86" s="89"/>
      <c r="G86" s="174"/>
      <c r="H86" s="178"/>
      <c r="J86" s="156"/>
      <c r="K86" s="156"/>
      <c r="L86" s="156"/>
      <c r="M86" s="156"/>
      <c r="N86" s="70"/>
      <c r="O86" s="70"/>
      <c r="P86" s="7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118"/>
  <sheetViews>
    <sheetView showGridLines="0" showZero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28.09765625" style="1" bestFit="1" customWidth="1"/>
    <col min="2" max="2" width="14.09765625" style="1" bestFit="1" customWidth="1"/>
    <col min="3" max="9" width="12" style="1" customWidth="1"/>
    <col min="10" max="10" width="16.59765625" style="1" bestFit="1" customWidth="1"/>
    <col min="11" max="13" width="12" style="1" customWidth="1"/>
    <col min="14" max="14" width="16.09765625" style="1" bestFit="1" customWidth="1"/>
    <col min="15" max="28" width="12" style="1" customWidth="1"/>
    <col min="29" max="29" width="15.5" style="1" bestFit="1" customWidth="1"/>
    <col min="30" max="30" width="12" style="1" customWidth="1"/>
    <col min="31" max="16384" width="10.84765625" style="1"/>
  </cols>
  <sheetData>
    <row r="1" spans="1:31" x14ac:dyDescent="0.6">
      <c r="A1" s="1" t="s">
        <v>611</v>
      </c>
      <c r="C1" s="227"/>
      <c r="D1" s="10"/>
      <c r="E1" s="10"/>
      <c r="F1" s="10"/>
      <c r="G1" s="10"/>
      <c r="H1" s="10"/>
      <c r="I1" s="10"/>
      <c r="K1" s="10"/>
      <c r="AA1" s="2" t="s">
        <v>42</v>
      </c>
      <c r="AB1" s="2" t="s">
        <v>42</v>
      </c>
      <c r="AC1" s="2" t="s">
        <v>42</v>
      </c>
      <c r="AD1" s="2" t="s">
        <v>42</v>
      </c>
      <c r="AE1" s="2"/>
    </row>
    <row r="2" spans="1:31" s="2" customFormat="1" x14ac:dyDescent="0.6">
      <c r="A2" s="256" t="s">
        <v>518</v>
      </c>
      <c r="B2" s="2" t="s">
        <v>42</v>
      </c>
      <c r="C2" s="2" t="s">
        <v>21</v>
      </c>
      <c r="D2" s="2" t="s">
        <v>28</v>
      </c>
      <c r="E2" s="2" t="s">
        <v>687</v>
      </c>
      <c r="F2" s="2" t="s">
        <v>688</v>
      </c>
      <c r="G2" s="2" t="s">
        <v>689</v>
      </c>
      <c r="H2" s="2" t="s">
        <v>612</v>
      </c>
      <c r="I2" s="2" t="s">
        <v>613</v>
      </c>
      <c r="J2" s="2" t="s">
        <v>614</v>
      </c>
      <c r="K2" s="2" t="s">
        <v>633</v>
      </c>
      <c r="L2" s="2" t="s">
        <v>92</v>
      </c>
      <c r="M2" s="2" t="s">
        <v>621</v>
      </c>
      <c r="N2" s="2" t="s">
        <v>637</v>
      </c>
      <c r="O2" s="2" t="s">
        <v>634</v>
      </c>
      <c r="P2" s="2" t="s">
        <v>101</v>
      </c>
      <c r="Q2" s="2" t="s">
        <v>100</v>
      </c>
      <c r="R2" s="2" t="s">
        <v>454</v>
      </c>
      <c r="S2" s="2" t="s">
        <v>45</v>
      </c>
      <c r="T2" s="2" t="s">
        <v>1619</v>
      </c>
      <c r="U2" s="2" t="s">
        <v>615</v>
      </c>
      <c r="V2" s="2" t="s">
        <v>616</v>
      </c>
      <c r="W2" s="2" t="s">
        <v>617</v>
      </c>
      <c r="X2" s="2" t="s">
        <v>618</v>
      </c>
      <c r="Y2" s="2" t="s">
        <v>619</v>
      </c>
      <c r="Z2" s="2" t="s">
        <v>620</v>
      </c>
      <c r="AA2" s="2" t="s">
        <v>43</v>
      </c>
      <c r="AB2" s="2" t="s">
        <v>692</v>
      </c>
      <c r="AC2" s="2" t="s">
        <v>45</v>
      </c>
      <c r="AD2" s="2" t="s">
        <v>693</v>
      </c>
    </row>
    <row r="3" spans="1:31" s="2" customFormat="1" x14ac:dyDescent="0.6">
      <c r="A3" s="1123" t="s">
        <v>86</v>
      </c>
      <c r="B3" s="260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261"/>
      <c r="AA3" s="51"/>
      <c r="AB3" s="51"/>
      <c r="AC3" s="51"/>
      <c r="AD3" s="51"/>
    </row>
    <row r="4" spans="1:31" s="1119" customFormat="1" x14ac:dyDescent="0.6">
      <c r="A4" s="1113" t="s">
        <v>624</v>
      </c>
      <c r="B4" s="1114">
        <f>SUM(C4:Z4)</f>
        <v>613.90200629717287</v>
      </c>
      <c r="C4" s="1115">
        <f>Gasoline!I4+Gasoline!D4/1000000000</f>
        <v>108.37580846153845</v>
      </c>
      <c r="D4" s="882">
        <f>Diesel!D4/1000000000</f>
        <v>45.737513640000003</v>
      </c>
      <c r="E4" s="882">
        <f>'Res dist'!D4/1000000000</f>
        <v>2.3251477199999999</v>
      </c>
      <c r="F4" s="882">
        <f>'Com dist'!D4/1000000000</f>
        <v>1.74456576</v>
      </c>
      <c r="G4" s="882">
        <f>'Ind dist'!F4/1000000000</f>
        <v>8.6585982000000001</v>
      </c>
      <c r="H4" s="882">
        <f>'LPG transport'!D4/1000000000</f>
        <v>0.68013120000000005</v>
      </c>
      <c r="I4" s="882">
        <f>'LPG Res'!D4/1000000000</f>
        <v>5.8152191999999996</v>
      </c>
      <c r="J4" s="882">
        <f>'LPG Comm'!D4/1000000000</f>
        <v>2.3746128</v>
      </c>
      <c r="K4" s="882">
        <f>'LPG Ind'!E4/1000000000</f>
        <v>11.285013599999999</v>
      </c>
      <c r="L4" s="882">
        <f>Jet!AB4/1000000000</f>
        <v>23.597206079999999</v>
      </c>
      <c r="M4" s="882">
        <f>'Kero-Res'!D4/1000000000</f>
        <v>5.0646959999999998E-2</v>
      </c>
      <c r="N4" s="882">
        <f>'Kero-Comm'!D4/1000000000</f>
        <v>1.233708E-2</v>
      </c>
      <c r="O4" s="882">
        <f>'Kero Ind'!E4/1000000000</f>
        <v>0</v>
      </c>
      <c r="P4" s="882">
        <f>HFO!F4/1000000000</f>
        <v>3.0716053200000002</v>
      </c>
      <c r="Q4" s="882">
        <f>'Other petroleum products'!E4/1000000000</f>
        <v>3.779156</v>
      </c>
      <c r="R4" s="882"/>
      <c r="S4" s="882">
        <f>Coal!Q4/1000000000</f>
        <v>124.455010528</v>
      </c>
      <c r="T4" s="882">
        <f>'NG transport'!D4/1000000000</f>
        <v>0</v>
      </c>
      <c r="U4" s="882">
        <f>'NG Res'!D4/1000000000</f>
        <v>38.278825136612028</v>
      </c>
      <c r="V4" s="882">
        <f>'NG Comm'!D4/1000000000</f>
        <v>25.953339404978752</v>
      </c>
      <c r="W4" s="882">
        <f>'NG Ind'!I4/1000000000</f>
        <v>138.80339253187617</v>
      </c>
      <c r="X4" s="882">
        <f>'Electricity - Res'!K4/1000000000</f>
        <v>25.543762281289094</v>
      </c>
      <c r="Y4" s="882">
        <f>'Electricity-Com'!K4/1000000000</f>
        <v>24.775854403893007</v>
      </c>
      <c r="Z4" s="1116">
        <f>'Electricity - Ind'!K4/1000000000</f>
        <v>18.584259988985387</v>
      </c>
      <c r="AA4" s="1117">
        <f>SUM(C4:R4)</f>
        <v>217.50756202153846</v>
      </c>
      <c r="AB4" s="882">
        <f>SUM(T4:W4)</f>
        <v>203.03555707346695</v>
      </c>
      <c r="AC4" s="882">
        <f>S4</f>
        <v>124.455010528</v>
      </c>
      <c r="AD4" s="1118">
        <f>SUM(X4:Z4)</f>
        <v>68.903876674167492</v>
      </c>
    </row>
    <row r="5" spans="1:31" s="375" customFormat="1" x14ac:dyDescent="0.6">
      <c r="A5" s="1095" t="s">
        <v>1072</v>
      </c>
      <c r="B5" s="1096">
        <f>B6/B4</f>
        <v>1.3626331990073981</v>
      </c>
      <c r="C5" s="1097">
        <f>Gasoline!H4</f>
        <v>2.0782926464873803</v>
      </c>
      <c r="D5" s="1111">
        <f>Diesel!H4</f>
        <v>2.1975276114594178</v>
      </c>
      <c r="E5" s="1111">
        <f>'Res dist'!H4</f>
        <v>2.3622175317746499</v>
      </c>
      <c r="F5" s="1111">
        <f>'Com dist'!H4</f>
        <v>1.9690023791785549</v>
      </c>
      <c r="G5" s="1111">
        <f>'Ind dist'!J4</f>
        <v>1.6930090350738356</v>
      </c>
      <c r="H5" s="1111">
        <f>'LPG transport'!I4</f>
        <v>0.42811860060476115</v>
      </c>
      <c r="I5" s="1111">
        <f>'LPG Res'!I4</f>
        <v>2.1531285035629453</v>
      </c>
      <c r="J5" s="1111">
        <f>'LPG Comm'!I4</f>
        <v>2.3854687142857154</v>
      </c>
      <c r="K5" s="1111">
        <f>'LPG Ind'!J4</f>
        <v>0.4569999999999998</v>
      </c>
      <c r="L5" s="1097">
        <f>Jet!H4</f>
        <v>1.6235392991312645</v>
      </c>
      <c r="M5" s="1111">
        <f>'Kero-Res'!H4</f>
        <v>2.21</v>
      </c>
      <c r="N5" s="1111">
        <f>'Kero-Comm'!H4</f>
        <v>2.21</v>
      </c>
      <c r="O5" s="1111"/>
      <c r="P5" s="1097">
        <f>HFO!J4</f>
        <v>1.5289999999999999</v>
      </c>
      <c r="Q5" s="1097">
        <f>'Other petroleum products'!I4</f>
        <v>2</v>
      </c>
      <c r="R5" s="1097"/>
      <c r="S5" s="1097">
        <f>Coal!U4</f>
        <v>0.29249999999999998</v>
      </c>
      <c r="T5" s="1097">
        <f>'NG transport'!I4</f>
        <v>1.5</v>
      </c>
      <c r="U5" s="1097">
        <f>'NG Res'!I4</f>
        <v>1.1858615834863393</v>
      </c>
      <c r="V5" s="1097">
        <f>'NG Comm'!I4</f>
        <v>0.91407090489776111</v>
      </c>
      <c r="W5" s="1097">
        <f>'NG Ind'!N4</f>
        <v>0.43294489821293392</v>
      </c>
      <c r="X5" s="1097">
        <f>'Electricity - Res'!O4</f>
        <v>4.3899029615688221</v>
      </c>
      <c r="Y5" s="1097">
        <f>'Electricity-Com'!O4</f>
        <v>3.6118140051640046</v>
      </c>
      <c r="Z5" s="1269">
        <f>'Electricity - Ind'!O4</f>
        <v>2.4546212273933987</v>
      </c>
      <c r="AA5" s="1270">
        <f>AA6/AA4</f>
        <v>1.9478478092685596</v>
      </c>
      <c r="AB5" s="1271">
        <f>AB6/AB4</f>
        <v>0.63639494056745982</v>
      </c>
      <c r="AC5" s="1271">
        <f>AC6/AC4</f>
        <v>0.29249999999999998</v>
      </c>
      <c r="AD5" s="1272">
        <f>AD6/AD4</f>
        <v>3.5881542028124866</v>
      </c>
    </row>
    <row r="6" spans="1:31" s="259" customFormat="1" x14ac:dyDescent="0.6">
      <c r="A6" s="1095" t="s">
        <v>1073</v>
      </c>
      <c r="B6" s="378">
        <f>SUM(C6:Z6)</f>
        <v>836.52325471777647</v>
      </c>
      <c r="C6" s="353">
        <f>Gasoline!H4*Gasoline!D4/1000000000</f>
        <v>225.23664578274017</v>
      </c>
      <c r="D6" s="279">
        <f>Diesel!H4*Diesel!D4/1000000000</f>
        <v>100.50944910340174</v>
      </c>
      <c r="E6" s="279">
        <f>'Res dist'!H4*'Res dist'!D4/1000000000</f>
        <v>5.4925047081498546</v>
      </c>
      <c r="F6" s="279">
        <f>'Com dist'!H4*'Com dist'!D4/1000000000</f>
        <v>3.4350541320734438</v>
      </c>
      <c r="G6" s="279">
        <f>'Ind dist'!F4*'Ind dist'!J4/1000000000</f>
        <v>14.659084983674049</v>
      </c>
      <c r="H6" s="279">
        <f>'LPG transport'!I4*'LPG transport'!D4/1000000000</f>
        <v>0.29117681757163694</v>
      </c>
      <c r="I6" s="279">
        <f>'LPG Res'!I4*'LPG Res'!D4/1000000000</f>
        <v>12.520914213986508</v>
      </c>
      <c r="J6" s="279">
        <f>'LPG Comm'!D4*'LPG Comm'!I4/1000000000</f>
        <v>5.6645645429424025</v>
      </c>
      <c r="K6" s="279">
        <f>'LPG Ind'!J4*'LPG Ind'!E4/1000000000</f>
        <v>5.1572512151999979</v>
      </c>
      <c r="L6" s="353">
        <f>Jet!AC4/1000000000</f>
        <v>38.310991420579214</v>
      </c>
      <c r="M6" s="279">
        <f>'Kero-Res'!H4*'Kero-Res'!D4/1000000000</f>
        <v>0.1119297816</v>
      </c>
      <c r="N6" s="279">
        <f>'Kero-Comm'!H4*'Kero-Comm'!D4/1000000000</f>
        <v>2.7264946800000002E-2</v>
      </c>
      <c r="O6" s="279"/>
      <c r="P6" s="353">
        <f>HFO!J4*HFO!F4/1000000000</f>
        <v>4.6964845342799997</v>
      </c>
      <c r="Q6" s="353">
        <f>'Other petroleum products'!I4*'Other petroleum products'!E4/1000000000</f>
        <v>7.5583119999999999</v>
      </c>
      <c r="R6" s="353"/>
      <c r="S6" s="353">
        <f>Coal!U4*Coal!Q4/1000000000</f>
        <v>36.403090579439997</v>
      </c>
      <c r="T6" s="353">
        <f>'NG transport'!D4*'NG transport'!I4/1000000000</f>
        <v>0</v>
      </c>
      <c r="U6" s="353">
        <f>'NG Res'!I4*'NG Res'!D4/1000000000</f>
        <v>45.393388190499429</v>
      </c>
      <c r="V6" s="353">
        <f>'NG Comm'!I4*'NG Comm'!D4/1000000000</f>
        <v>23.723192435027649</v>
      </c>
      <c r="W6" s="353">
        <f>'NG Ind'!I4*'NG Ind'!N4/1000000000</f>
        <v>60.094220651323035</v>
      </c>
      <c r="X6" s="353">
        <f>'Electricity - Res'!K4*'Electricity - Res'!O4/1000000000</f>
        <v>112.13463768824097</v>
      </c>
      <c r="Y6" s="353">
        <f>'Electricity-Com'!P4/1000000000</f>
        <v>89.485777925885046</v>
      </c>
      <c r="Z6" s="883">
        <f>'Electricity - Ind'!P4/1000000000</f>
        <v>45.617319064361332</v>
      </c>
      <c r="AA6" s="1098">
        <f>SUM(C6:R6)</f>
        <v>423.67162818299903</v>
      </c>
      <c r="AB6" s="1099">
        <f>SUM(T6:W6)</f>
        <v>129.21080127685011</v>
      </c>
      <c r="AC6" s="1099">
        <f>S6</f>
        <v>36.403090579439997</v>
      </c>
      <c r="AD6" s="1100">
        <f>SUM(X6:Z6)</f>
        <v>247.23773467848736</v>
      </c>
    </row>
    <row r="7" spans="1:31" s="259" customFormat="1" x14ac:dyDescent="0.6">
      <c r="A7" s="1095" t="s">
        <v>1076</v>
      </c>
      <c r="B7" s="378"/>
      <c r="C7" s="1110">
        <f>Gasoline!P4</f>
        <v>0.44405130198692122</v>
      </c>
      <c r="D7" s="1112">
        <f>Diesel!J4</f>
        <v>0.50506299966255941</v>
      </c>
      <c r="E7" s="1111">
        <f>'Res dist'!J4</f>
        <v>3.1614975059036307E-2</v>
      </c>
      <c r="F7" s="279">
        <f>'Com dist'!J4</f>
        <v>0</v>
      </c>
      <c r="G7" s="279">
        <f>'Ind dist'!L4</f>
        <v>0</v>
      </c>
      <c r="H7" s="1111">
        <f>'LPG transport'!K4</f>
        <v>0.37688139939523885</v>
      </c>
      <c r="I7" s="279">
        <f>'LPG Res'!K4</f>
        <v>0</v>
      </c>
      <c r="J7" s="279">
        <f>'LPG Comm'!K4</f>
        <v>0</v>
      </c>
      <c r="K7" s="279">
        <f>'LPG Ind'!L4</f>
        <v>0</v>
      </c>
      <c r="L7" s="1097">
        <f>Jet!J4</f>
        <v>0.13998763172683271</v>
      </c>
      <c r="M7" s="279">
        <f>'Kero-Res'!J4</f>
        <v>0</v>
      </c>
      <c r="N7" s="279">
        <f>'Kero-Comm'!J4</f>
        <v>0</v>
      </c>
      <c r="O7" s="279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883"/>
      <c r="AA7" s="1098"/>
      <c r="AB7" s="1099"/>
      <c r="AC7" s="1099"/>
      <c r="AD7" s="1100"/>
    </row>
    <row r="8" spans="1:31" s="259" customFormat="1" x14ac:dyDescent="0.6">
      <c r="A8" s="1" t="s">
        <v>1740</v>
      </c>
      <c r="B8" s="378">
        <f t="shared" ref="B8:B13" si="0">SUM(C8:Z8)</f>
        <v>105.56667693486365</v>
      </c>
      <c r="C8" s="353">
        <f>Gasoline!Q4/1000000000</f>
        <v>48.124418851231347</v>
      </c>
      <c r="D8" s="279">
        <f>Diesel!Q4/1000000000</f>
        <v>23.100325836125627</v>
      </c>
      <c r="E8" s="279">
        <f>'Res dist'!Q4/1000000000</f>
        <v>7.3509487176375135E-2</v>
      </c>
      <c r="F8" s="279">
        <f>'Com dist'!Q4/1000000000</f>
        <v>0.23806135221163752</v>
      </c>
      <c r="G8" s="279">
        <f>'Ind dist'!S4/1000000000</f>
        <v>0</v>
      </c>
      <c r="H8" s="279">
        <f>'LPG transport'!R4/1000000000</f>
        <v>0.25632879842836309</v>
      </c>
      <c r="I8" s="279">
        <f>'LPG Res'!R4</f>
        <v>0</v>
      </c>
      <c r="J8" s="279">
        <f>'LPG Comm'!R4/1000000000</f>
        <v>0.3619898720903339</v>
      </c>
      <c r="K8" s="279">
        <f>'LPG Ind'!S4/1000000000</f>
        <v>0</v>
      </c>
      <c r="L8" s="353">
        <f>Jet!Q4/1000000000</f>
        <v>2.2972715548534457</v>
      </c>
      <c r="M8" s="279">
        <f>'Kero-Res'!Q4</f>
        <v>0</v>
      </c>
      <c r="N8" s="279">
        <f>'Kero-Comm'!Q4/1000000000</f>
        <v>1.8200866708266666E-3</v>
      </c>
      <c r="O8" s="279"/>
      <c r="P8" s="353"/>
      <c r="Q8" s="353"/>
      <c r="R8" s="353">
        <f>Crude!R4/1000000000</f>
        <v>4.4907104819619876</v>
      </c>
      <c r="S8" s="353">
        <f>Coal!AD4/1000000000</f>
        <v>2.0415784529667116</v>
      </c>
      <c r="T8" s="353"/>
      <c r="U8" s="353">
        <f>'NG Res'!R4/1000000000</f>
        <v>2.3810774307045328</v>
      </c>
      <c r="V8" s="353">
        <f>'NG Comm'!R4/1000000000</f>
        <v>1.6164386738984278</v>
      </c>
      <c r="W8" s="353">
        <f>'State Sev Tax'!G56/1000000000</f>
        <v>5.2209026950712989</v>
      </c>
      <c r="X8" s="353">
        <f>'Electricity - Res'!Y4/1000000000</f>
        <v>6.2467318822698177</v>
      </c>
      <c r="Y8" s="353">
        <f>'Electricity-Com'!Y4/1000000000</f>
        <v>7.0843800543256483</v>
      </c>
      <c r="Z8" s="883">
        <f>'Electricity - Ind'!Y4/1000000000</f>
        <v>2.0311314248772572</v>
      </c>
      <c r="AA8" s="1101">
        <f t="shared" ref="AA8:AA13" si="1">SUM(C8:R8)</f>
        <v>78.944436320749944</v>
      </c>
      <c r="AB8" s="1099">
        <f>SUM(T8:W8)</f>
        <v>9.218418799674259</v>
      </c>
      <c r="AC8" s="1099">
        <f>S8</f>
        <v>2.0415784529667116</v>
      </c>
      <c r="AD8" s="1100">
        <f>SUM(X8:Z8)</f>
        <v>15.362243361472723</v>
      </c>
    </row>
    <row r="9" spans="1:31" x14ac:dyDescent="0.6">
      <c r="A9" s="1095" t="s">
        <v>1074</v>
      </c>
      <c r="B9" s="377">
        <f t="shared" si="0"/>
        <v>44.981697314320463</v>
      </c>
      <c r="C9" s="536">
        <f>Gasoline!O4/1000000000</f>
        <v>16.388702059043858</v>
      </c>
      <c r="D9" s="537">
        <f>Diesel!O4/1000000000</f>
        <v>7.2772740948996777</v>
      </c>
      <c r="E9" s="537">
        <f>'Res dist'!O4/1000000000</f>
        <v>0.3596076718203487</v>
      </c>
      <c r="F9" s="537">
        <f>'Com dist'!O4/1000000000</f>
        <v>0.23806135221163752</v>
      </c>
      <c r="G9" s="537">
        <f>'Ind dist'!Q4/1000000000</f>
        <v>0</v>
      </c>
      <c r="H9" s="537">
        <f>'LPG transport'!P4/1000000000</f>
        <v>2.0734405602716836E-2</v>
      </c>
      <c r="I9" s="537">
        <f>'LPG Res'!P4/1000000000</f>
        <v>0.83138587921446516</v>
      </c>
      <c r="J9" s="537">
        <f>'LPG Comm'!P4/1000000000</f>
        <v>0.3619898720903339</v>
      </c>
      <c r="K9" s="537">
        <f>'LPG Ind'!Q4/1000000000</f>
        <v>0</v>
      </c>
      <c r="L9" s="536">
        <f>Jet!O4/1000000000</f>
        <v>0</v>
      </c>
      <c r="M9" s="537">
        <f>'Kero-Res'!O4/1000000000</f>
        <v>7.3314006948000023E-3</v>
      </c>
      <c r="N9" s="537">
        <f>'Kero-Comm'!Q4/1000000000</f>
        <v>1.8200866708266666E-3</v>
      </c>
      <c r="O9" s="537"/>
      <c r="P9" s="536">
        <f>HFO!Q4/1000000000</f>
        <v>0</v>
      </c>
      <c r="Q9" s="536"/>
      <c r="R9" s="536"/>
      <c r="S9" s="536"/>
      <c r="T9" s="536"/>
      <c r="U9" s="536">
        <f>'NG Res'!P4/1000000000</f>
        <v>3.268731056806522</v>
      </c>
      <c r="V9" s="536">
        <f>'NG Comm'!P4/1000000000</f>
        <v>1.6723849984452328</v>
      </c>
      <c r="W9" s="536"/>
      <c r="X9" s="536">
        <f>'Electricity - Res'!W4/1000000000</f>
        <v>8.0665009948157103</v>
      </c>
      <c r="Y9" s="536">
        <f>'Electricity-Com'!W4/1000000000</f>
        <v>6.4871734420043312</v>
      </c>
      <c r="Z9" s="884">
        <f>'Electricity - Ind'!W4/1000000000</f>
        <v>0</v>
      </c>
      <c r="AA9" s="1101">
        <f t="shared" si="1"/>
        <v>25.486906822248663</v>
      </c>
      <c r="AB9" s="1099">
        <f t="shared" ref="AB9:AB12" si="2">SUM(T9:W9)</f>
        <v>4.9411160552517543</v>
      </c>
      <c r="AC9" s="1102">
        <f>W9</f>
        <v>0</v>
      </c>
      <c r="AD9" s="1100">
        <f>SUM(X9:Z9)</f>
        <v>14.553674436820042</v>
      </c>
      <c r="AE9" s="227"/>
    </row>
    <row r="10" spans="1:31" x14ac:dyDescent="0.6">
      <c r="A10" s="1095" t="s">
        <v>1075</v>
      </c>
      <c r="B10" s="377">
        <f t="shared" si="0"/>
        <v>60.584979620543173</v>
      </c>
      <c r="C10" s="536">
        <f>Gasoline!S4/1000000000</f>
        <v>31.735716792187489</v>
      </c>
      <c r="D10" s="537">
        <f>Diesel!S4/1000000000</f>
        <v>15.823051741225948</v>
      </c>
      <c r="E10" s="537">
        <f>'Res dist'!S4/1000000000</f>
        <v>-0.28609818464397352</v>
      </c>
      <c r="F10" s="537">
        <f>'Com dist'!S4</f>
        <v>0</v>
      </c>
      <c r="G10" s="537">
        <f>'Ind dist'!U4/1000000000</f>
        <v>0</v>
      </c>
      <c r="H10" s="537">
        <f>'LPG transport'!T4/1000000000</f>
        <v>0.23559439282564626</v>
      </c>
      <c r="I10" s="537">
        <f>'LPG Res'!T4/1000000000</f>
        <v>-0.83138587921446516</v>
      </c>
      <c r="J10" s="537">
        <f>'LPG Comm'!T4/1000000000</f>
        <v>0</v>
      </c>
      <c r="K10" s="537">
        <f>'LPG Ind'!U4/1000000000</f>
        <v>0</v>
      </c>
      <c r="L10" s="536">
        <f>Jet!S4/1000000000</f>
        <v>2.2972715548534457</v>
      </c>
      <c r="M10" s="536">
        <f>'Kero-Res'!S4/1000000000</f>
        <v>-7.3314006948000023E-3</v>
      </c>
      <c r="N10" s="536">
        <f>'Kero-Comm'!S4/1000000000</f>
        <v>0</v>
      </c>
      <c r="O10" s="536"/>
      <c r="P10" s="536">
        <f>HFO!U4/1000000000</f>
        <v>0</v>
      </c>
      <c r="Q10" s="536"/>
      <c r="R10" s="536">
        <f>Crude!R4/1000000000</f>
        <v>4.4907104819619876</v>
      </c>
      <c r="S10" s="536">
        <f>Coal!AD4/1000000000</f>
        <v>2.0415784529667116</v>
      </c>
      <c r="T10" s="536"/>
      <c r="U10" s="536">
        <f>'NG Res'!T4/1000000000</f>
        <v>-0.8876536261019895</v>
      </c>
      <c r="V10" s="536">
        <f>'NG Comm'!T4/1000000000</f>
        <v>-5.5946324546805114E-2</v>
      </c>
      <c r="W10" s="536">
        <f>'NG Ind'!Y4/1000000000</f>
        <v>5.2209026950712989</v>
      </c>
      <c r="X10" s="536">
        <f>'Electricity - Res'!AA4/1000000000</f>
        <v>-1.8197691125458946</v>
      </c>
      <c r="Y10" s="536">
        <f>'Electricity-Com'!AA4/1000000000</f>
        <v>0.59720661232131689</v>
      </c>
      <c r="Z10" s="884">
        <f>'Electricity - Ind'!AA4/1000000000</f>
        <v>2.0311314248772572</v>
      </c>
      <c r="AA10" s="1101">
        <f t="shared" si="1"/>
        <v>53.457529498501273</v>
      </c>
      <c r="AB10" s="1099">
        <f t="shared" si="2"/>
        <v>4.2773027444225047</v>
      </c>
      <c r="AC10" s="1102">
        <f>S10</f>
        <v>2.0415784529667116</v>
      </c>
      <c r="AD10" s="1103">
        <f t="shared" ref="AD10:AD13" si="3">SUM(X10:Z10)</f>
        <v>0.80856892465267949</v>
      </c>
      <c r="AE10" s="227"/>
    </row>
    <row r="11" spans="1:31" s="227" customFormat="1" x14ac:dyDescent="0.6">
      <c r="A11" s="1095" t="s">
        <v>1080</v>
      </c>
      <c r="B11" s="377">
        <f t="shared" si="0"/>
        <v>-10.7035123825</v>
      </c>
      <c r="C11" s="536">
        <f>Gasoline!U4/1000000000</f>
        <v>-0.151976573</v>
      </c>
      <c r="D11" s="537">
        <f>Diesel!U4/1000000000</f>
        <v>-0.242246614</v>
      </c>
      <c r="E11" s="537">
        <f>'Res dist'!U4/1000000000</f>
        <v>-0.36796288399999999</v>
      </c>
      <c r="F11" s="537">
        <f>'Com dist'!U4/1000000000</f>
        <v>-4.18433E-2</v>
      </c>
      <c r="G11" s="537">
        <f>'Ind dist'!X4/1000000000</f>
        <v>-1.6991174000000001E-2</v>
      </c>
      <c r="H11" s="537">
        <f>'LPG transport'!V4/1000000000</f>
        <v>0</v>
      </c>
      <c r="I11" s="537">
        <f>'LPG Res'!V4/1000000000</f>
        <v>-0.15736201</v>
      </c>
      <c r="J11" s="537">
        <f>'LPG Comm'!V4/1000000000</f>
        <v>0</v>
      </c>
      <c r="K11" s="537">
        <f>'LPG Ind'!W4/1000000000</f>
        <v>-1.338935838</v>
      </c>
      <c r="L11" s="536">
        <f>Jet!U4/1000000000</f>
        <v>-0.31374775900000001</v>
      </c>
      <c r="M11" s="536">
        <f>'Kero-Res'!U4/1000000000</f>
        <v>-3.4782189999999998E-2</v>
      </c>
      <c r="N11" s="536">
        <f>'Kero-Comm'!U4/1000000000</f>
        <v>0</v>
      </c>
      <c r="O11" s="536"/>
      <c r="P11" s="536">
        <f>HFO!W4/1000000000</f>
        <v>-0.38875352800000001</v>
      </c>
      <c r="Q11" s="536">
        <f>'Other petroleum products'!V4/1000000000</f>
        <v>-7.8776909999999992E-3</v>
      </c>
      <c r="R11" s="536">
        <f>Crude!T4/1000000000</f>
        <v>-3.3074426149999998</v>
      </c>
      <c r="S11" s="536">
        <f>Coal!AF4/1000000000</f>
        <v>-1.3525503999999999</v>
      </c>
      <c r="T11" s="536">
        <f>'NG transport'!V4/1000000000</f>
        <v>0</v>
      </c>
      <c r="U11" s="536">
        <f>'NG Res'!V4/1000000000</f>
        <v>-1.551431496</v>
      </c>
      <c r="V11" s="536">
        <f>'NG Comm'!V4/1000000000</f>
        <v>0</v>
      </c>
      <c r="W11" s="536">
        <f>'NG Ind'!AA4/1000000000</f>
        <v>-1.1101775840000001</v>
      </c>
      <c r="X11" s="536">
        <f>'Electricity - Res'!AC4/1000000000</f>
        <v>-0.15112141800000001</v>
      </c>
      <c r="Y11" s="536">
        <f>'Electricity-Com'!AC4/1000000000</f>
        <v>-0.1683093085</v>
      </c>
      <c r="Z11" s="884">
        <f>'Electricity - Ind'!AC4/1000000000</f>
        <v>0</v>
      </c>
      <c r="AA11" s="1101">
        <f t="shared" si="1"/>
        <v>-6.3699221759999993</v>
      </c>
      <c r="AB11" s="1099">
        <f t="shared" si="2"/>
        <v>-2.6616090799999998</v>
      </c>
      <c r="AC11" s="1102">
        <f>S11</f>
        <v>-1.3525503999999999</v>
      </c>
      <c r="AD11" s="1103">
        <f t="shared" si="3"/>
        <v>-0.31943072650000004</v>
      </c>
    </row>
    <row r="12" spans="1:31" x14ac:dyDescent="0.6">
      <c r="A12" s="1095" t="s">
        <v>1081</v>
      </c>
      <c r="B12" s="377">
        <f t="shared" si="0"/>
        <v>49.881467238043179</v>
      </c>
      <c r="C12" s="354">
        <f t="shared" ref="C12:M12" si="4">C10+C11</f>
        <v>31.58374021918749</v>
      </c>
      <c r="D12" s="280">
        <f t="shared" si="4"/>
        <v>15.580805127225947</v>
      </c>
      <c r="E12" s="280">
        <f t="shared" si="4"/>
        <v>-0.65406106864397351</v>
      </c>
      <c r="F12" s="280">
        <f t="shared" si="4"/>
        <v>-4.18433E-2</v>
      </c>
      <c r="G12" s="280">
        <f t="shared" si="4"/>
        <v>-1.6991174000000001E-2</v>
      </c>
      <c r="H12" s="280">
        <f t="shared" si="4"/>
        <v>0.23559439282564626</v>
      </c>
      <c r="I12" s="280">
        <f t="shared" si="4"/>
        <v>-0.98874788921446521</v>
      </c>
      <c r="J12" s="280">
        <f t="shared" si="4"/>
        <v>0</v>
      </c>
      <c r="K12" s="280">
        <f t="shared" si="4"/>
        <v>-1.338935838</v>
      </c>
      <c r="L12" s="280">
        <f t="shared" si="4"/>
        <v>1.9835237958534457</v>
      </c>
      <c r="M12" s="280">
        <f t="shared" si="4"/>
        <v>-4.2113590694800002E-2</v>
      </c>
      <c r="N12" s="354">
        <f>'Kero-Comm'!V4/1000000000</f>
        <v>0</v>
      </c>
      <c r="O12" s="354"/>
      <c r="P12" s="354">
        <f>HFO!X4/1000000000</f>
        <v>-0.38875352800000001</v>
      </c>
      <c r="Q12" s="354">
        <f>'Other petroleum products'!W4/1000000000</f>
        <v>-7.8776909999999992E-3</v>
      </c>
      <c r="R12" s="354">
        <f>Crude!U4/1000000000</f>
        <v>1.1832678669619876</v>
      </c>
      <c r="S12" s="354">
        <f>Coal!AG4/1000000000</f>
        <v>0.68902805296671155</v>
      </c>
      <c r="T12" s="354">
        <f>'NG transport'!W4/1000000000</f>
        <v>0</v>
      </c>
      <c r="U12" s="354">
        <f>'NG Res'!W4/1000000000</f>
        <v>-2.4390851221019898</v>
      </c>
      <c r="V12" s="354">
        <f>'NG Comm'!W4/1000000000</f>
        <v>-5.5946324546805114E-2</v>
      </c>
      <c r="W12" s="354">
        <f>'NG Ind'!AB4/1000000000</f>
        <v>4.1107251110712983</v>
      </c>
      <c r="X12" s="354">
        <f>'Electricity - Res'!AD4/1000000000</f>
        <v>-1.9708905305458946</v>
      </c>
      <c r="Y12" s="354">
        <f>'Electricity-Com'!AD4/1000000000</f>
        <v>0.42889730382131686</v>
      </c>
      <c r="Z12" s="885">
        <f>'Electricity - Ind'!AD4/1000000000</f>
        <v>2.0311314248772572</v>
      </c>
      <c r="AA12" s="1101">
        <f t="shared" si="1"/>
        <v>47.087607322501285</v>
      </c>
      <c r="AB12" s="1099">
        <f t="shared" si="2"/>
        <v>1.6156936644225035</v>
      </c>
      <c r="AC12" s="1105">
        <f>AC10+AC11</f>
        <v>0.68902805296671166</v>
      </c>
      <c r="AD12" s="1106">
        <f t="shared" si="3"/>
        <v>0.48913819815267945</v>
      </c>
      <c r="AE12" s="227"/>
    </row>
    <row r="13" spans="1:31" x14ac:dyDescent="0.6">
      <c r="A13" s="1095" t="s">
        <v>1082</v>
      </c>
      <c r="B13" s="377">
        <f t="shared" si="0"/>
        <v>928.4903531785227</v>
      </c>
      <c r="C13" s="354">
        <f>Gasoline!X4/1000000000</f>
        <v>273.20908806097151</v>
      </c>
      <c r="D13" s="280">
        <f>Diesel!X4/1000000000</f>
        <v>123.36752832552736</v>
      </c>
      <c r="E13" s="280">
        <f>'Res dist'!X4/1000000000</f>
        <v>5.1980513113262301</v>
      </c>
      <c r="F13" s="280">
        <f>'Com dist'!X4/1000000000</f>
        <v>3.3932108320734438</v>
      </c>
      <c r="G13" s="280">
        <f>'Ind dist'!Z4/1000000000</f>
        <v>14.64209380967405</v>
      </c>
      <c r="H13" s="280">
        <f>'LPG transport'!Y4/1000000000</f>
        <v>0.54750561600000003</v>
      </c>
      <c r="I13" s="280">
        <f>'LPG Res'!Y4/1000000000</f>
        <v>12.363552203986508</v>
      </c>
      <c r="J13" s="280">
        <f>'LPG Comm'!Y4/1000000000</f>
        <v>6.026554415032737</v>
      </c>
      <c r="K13" s="280">
        <f>'LPG Ind'!Z4/1000000000</f>
        <v>3.818315377199998</v>
      </c>
      <c r="L13" s="354">
        <f>Jet!AD4/1000000000</f>
        <v>40.294515216432657</v>
      </c>
      <c r="M13" s="354">
        <f>'Kero-Res'!X4/1000000000</f>
        <v>7.7147591599999996E-2</v>
      </c>
      <c r="N13" s="354">
        <f>'Kero-Comm'!X4/1000000000</f>
        <v>2.7264946800000002E-2</v>
      </c>
      <c r="O13" s="354"/>
      <c r="P13" s="354">
        <f>HFO!Z4/1000000000</f>
        <v>4.3077310062800001</v>
      </c>
      <c r="Q13" s="354">
        <f>'Other petroleum products'!Y4/1000000000</f>
        <v>7.5504343089999999</v>
      </c>
      <c r="R13" s="354"/>
      <c r="S13" s="354">
        <f>Coal!AI4/1000000000</f>
        <v>35.050540179439992</v>
      </c>
      <c r="T13" s="354">
        <f>'NG transport'!Y4/1000000000</f>
        <v>0</v>
      </c>
      <c r="U13" s="354">
        <f>'NG Res'!Y4/1000000000</f>
        <v>45.335380499101973</v>
      </c>
      <c r="V13" s="354">
        <f>'NG Comm'!Y4/1000000000</f>
        <v>25.283684784379268</v>
      </c>
      <c r="W13" s="354">
        <f>'NG Ind'!AD4/1000000000</f>
        <v>64.204945762394331</v>
      </c>
      <c r="X13" s="354">
        <f>'Electricity - Res'!AF4/1000000000</f>
        <v>118.23024815251075</v>
      </c>
      <c r="Y13" s="354">
        <f>'Electricity-Com'!AF4/1000000000</f>
        <v>96.401848671710681</v>
      </c>
      <c r="Z13" s="885">
        <f>'Electricity - Ind'!AF4/1000000000</f>
        <v>49.160712107081054</v>
      </c>
      <c r="AA13" s="1104">
        <f t="shared" si="1"/>
        <v>494.82299302190467</v>
      </c>
      <c r="AB13" s="1105">
        <f>SUM(T13:W13)</f>
        <v>134.82401104587558</v>
      </c>
      <c r="AC13" s="1105">
        <f>S13</f>
        <v>35.050540179439992</v>
      </c>
      <c r="AD13" s="1106">
        <f t="shared" si="3"/>
        <v>263.79280893130249</v>
      </c>
    </row>
    <row r="14" spans="1:31" s="258" customFormat="1" x14ac:dyDescent="0.6">
      <c r="A14" s="465" t="s">
        <v>623</v>
      </c>
      <c r="B14" s="466">
        <f t="shared" ref="B14:N14" si="5">B12/B4</f>
        <v>8.125314256408693E-2</v>
      </c>
      <c r="C14" s="355">
        <f t="shared" si="5"/>
        <v>0.29142795488714862</v>
      </c>
      <c r="D14" s="283">
        <f t="shared" si="5"/>
        <v>0.34065702062124481</v>
      </c>
      <c r="E14" s="283">
        <f t="shared" si="5"/>
        <v>-0.28129871621402769</v>
      </c>
      <c r="F14" s="283">
        <f t="shared" si="5"/>
        <v>-2.3984937088298696E-2</v>
      </c>
      <c r="G14" s="283">
        <f t="shared" si="5"/>
        <v>-1.9623469766734299E-3</v>
      </c>
      <c r="H14" s="283">
        <f t="shared" si="5"/>
        <v>0.3463955084337349</v>
      </c>
      <c r="I14" s="283">
        <f t="shared" si="5"/>
        <v>-0.17002762152361606</v>
      </c>
      <c r="J14" s="283">
        <f t="shared" si="5"/>
        <v>0</v>
      </c>
      <c r="K14" s="283">
        <f t="shared" si="5"/>
        <v>-0.11864725072196636</v>
      </c>
      <c r="L14" s="283">
        <f t="shared" si="5"/>
        <v>8.4057569744860478E-2</v>
      </c>
      <c r="M14" s="283">
        <f t="shared" si="5"/>
        <v>-0.83151270470725203</v>
      </c>
      <c r="N14" s="283">
        <f t="shared" si="5"/>
        <v>0</v>
      </c>
      <c r="O14" s="283">
        <v>0</v>
      </c>
      <c r="P14" s="355">
        <f>P12/P4</f>
        <v>-0.12656363285632022</v>
      </c>
      <c r="Q14" s="355">
        <f>Q12/Q4</f>
        <v>-2.0845106685196376E-3</v>
      </c>
      <c r="R14" s="1387" t="s">
        <v>625</v>
      </c>
      <c r="S14" s="1387" t="s">
        <v>625</v>
      </c>
      <c r="T14" s="355" t="e">
        <f t="shared" ref="T14:AD14" si="6">T12/T4</f>
        <v>#DIV/0!</v>
      </c>
      <c r="U14" s="355">
        <f t="shared" si="6"/>
        <v>-6.371891282967071E-2</v>
      </c>
      <c r="V14" s="355">
        <f t="shared" si="6"/>
        <v>-2.1556503259103784E-3</v>
      </c>
      <c r="W14" s="355">
        <f t="shared" si="6"/>
        <v>2.9615451294731657E-2</v>
      </c>
      <c r="X14" s="355">
        <f t="shared" si="6"/>
        <v>-7.7157409658074508E-2</v>
      </c>
      <c r="Y14" s="355">
        <f t="shared" si="6"/>
        <v>1.7311100429857409E-2</v>
      </c>
      <c r="Z14" s="886">
        <f t="shared" si="6"/>
        <v>0.10929310212411354</v>
      </c>
      <c r="AA14" s="1107">
        <f t="shared" si="6"/>
        <v>0.21648721950107869</v>
      </c>
      <c r="AB14" s="1108">
        <f t="shared" si="6"/>
        <v>7.9576882380157504E-3</v>
      </c>
      <c r="AC14" s="1108">
        <f t="shared" si="6"/>
        <v>5.5363624979300734E-3</v>
      </c>
      <c r="AD14" s="1109">
        <f t="shared" si="6"/>
        <v>7.098848740626237E-3</v>
      </c>
    </row>
    <row r="15" spans="1:31" x14ac:dyDescent="0.6">
      <c r="A15" s="1122" t="s">
        <v>626</v>
      </c>
      <c r="B15" s="997"/>
      <c r="C15" s="262"/>
      <c r="D15" s="103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999"/>
      <c r="U15" s="999"/>
      <c r="V15" s="262"/>
      <c r="W15" s="262"/>
      <c r="X15" s="999"/>
      <c r="Y15" s="262"/>
      <c r="Z15" s="263"/>
      <c r="AA15" s="999"/>
      <c r="AB15" s="262"/>
      <c r="AC15" s="262"/>
      <c r="AD15" s="263"/>
    </row>
    <row r="16" spans="1:31" s="1119" customFormat="1" ht="14.1" customHeight="1" x14ac:dyDescent="0.6">
      <c r="A16" s="1113" t="s">
        <v>624</v>
      </c>
      <c r="B16" s="1114">
        <f>SUM(C16:Z16)</f>
        <v>740.47292658424954</v>
      </c>
      <c r="C16" s="1115">
        <f>SUM(Gasoline!D6:D34)/1000000000</f>
        <v>51.907749999999993</v>
      </c>
      <c r="D16" s="1120">
        <f>SUM(Diesel!D6:D34)/1000000000</f>
        <v>82.76911776</v>
      </c>
      <c r="E16" s="1120">
        <f>SUM('Res dist'!D6:D34)/1000000000</f>
        <v>9.2075348399999992</v>
      </c>
      <c r="F16" s="1120">
        <f>SUM('Com dist'!D6:D34)/1000000000</f>
        <v>7.1007711599999999</v>
      </c>
      <c r="G16" s="1120">
        <f>SUM('Ind dist'!F6:F34)/1000000000</f>
        <v>15.559784519999999</v>
      </c>
      <c r="H16" s="1120">
        <f>SUM('LPG transport'!D6:D34)/1000000000</f>
        <v>5.0283911999999997</v>
      </c>
      <c r="I16" s="1120">
        <f>SUM('LPG Res'!D6:D34)/1000000000</f>
        <v>4.8500759999999996</v>
      </c>
      <c r="J16" s="1120">
        <f>SUM('LPG Comm'!D6:D34)/1000000000</f>
        <v>2.2693775999999999</v>
      </c>
      <c r="K16" s="1120">
        <f>SUM('LPG Ind'!E6:E34)/1000000000</f>
        <v>11.9354256</v>
      </c>
      <c r="L16" s="1120">
        <f>SUM(Jet!AB6:AB34)/1000000000</f>
        <v>26.547832920000001</v>
      </c>
      <c r="M16" s="1120">
        <f>SUM('Kero-Res'!D6:D34)/1000000000</f>
        <v>3.5387940000000002</v>
      </c>
      <c r="N16" s="1120">
        <f>SUM('Kero-Comm'!D6:D34)/1000000000</f>
        <v>1.6301178599999999</v>
      </c>
      <c r="O16" s="1120">
        <f>SUM('Kero Ind'!E6:E34)/1000000000</f>
        <v>1.2174750000000001</v>
      </c>
      <c r="P16" s="1120">
        <f>SUM(HFO!F6:F34)/1000000000</f>
        <v>21.807250920000001</v>
      </c>
      <c r="Q16" s="1120">
        <f>SUM('Other petroleum products'!E6:E34)/1000000000</f>
        <v>40.952652999999998</v>
      </c>
      <c r="R16" s="1120"/>
      <c r="S16" s="1120">
        <f>SUM(Coal!Q6:Q34)/1000000000</f>
        <v>189.65542137599999</v>
      </c>
      <c r="T16" s="1120">
        <f>SUM('NG transport'!D6:D34)/1000000000</f>
        <v>2.8901183970856108</v>
      </c>
      <c r="U16" s="1120">
        <f>SUM('NG Res'!D6:D34)/1000000000</f>
        <v>46.174256223436551</v>
      </c>
      <c r="V16" s="1120">
        <f>SUM('NG Comm'!D6:D34)/1000000000</f>
        <v>24.528013054037643</v>
      </c>
      <c r="W16" s="1120">
        <f>SUM('NG Ind'!I6:I34)/1000000000</f>
        <v>121.07049939283546</v>
      </c>
      <c r="X16" s="1120">
        <f>SUM('Electricity - Res'!K6:K34)/1000000000</f>
        <v>18.062740612549508</v>
      </c>
      <c r="Y16" s="1120">
        <f>SUM('Electricity-Com'!K6:K34)/1000000000</f>
        <v>22.191098409593241</v>
      </c>
      <c r="Z16" s="1121">
        <f>SUM('Electricity - Ind'!K6:K34)/1000000000</f>
        <v>29.578426738711482</v>
      </c>
      <c r="AA16" s="1115">
        <f>SUM(C16:R16)</f>
        <v>286.32235237999998</v>
      </c>
      <c r="AB16" s="1120">
        <f>SUM(S16:V16)</f>
        <v>263.24780905055979</v>
      </c>
      <c r="AC16" s="1120">
        <f>W16</f>
        <v>121.07049939283546</v>
      </c>
      <c r="AD16" s="1121">
        <f>SUM(X16:Z16)</f>
        <v>69.832265760854227</v>
      </c>
    </row>
    <row r="17" spans="1:102" s="375" customFormat="1" x14ac:dyDescent="0.6">
      <c r="A17" s="506" t="s">
        <v>1072</v>
      </c>
      <c r="B17" s="1096">
        <f>B18/B16</f>
        <v>1.914699599854814</v>
      </c>
      <c r="C17" s="1097">
        <f>C18*1000000000/SUM(Gasoline!D6:D34)</f>
        <v>2.1988117360080768</v>
      </c>
      <c r="D17" s="1097">
        <f>D18*1000000000/SUM(Diesel!D6:D34)</f>
        <v>2.155483936320802</v>
      </c>
      <c r="E17" s="1111">
        <f>E18*1000000000/SUM('Res dist'!D6:D34)</f>
        <v>1.8413980287604588</v>
      </c>
      <c r="F17" s="1111">
        <f>F18*1000000000/SUM('Com dist'!D6:D34)</f>
        <v>1.9582994687250159</v>
      </c>
      <c r="G17" s="1111">
        <f>G18*1000000000/SUM('Ind dist'!F6:F34)</f>
        <v>1.9908875351586657</v>
      </c>
      <c r="H17" s="1111">
        <f>H18*1000000000/SUM('LPG transport'!D6:D34)</f>
        <v>1.6204760963035492</v>
      </c>
      <c r="I17" s="1111">
        <f>SUMPRODUCT('LPG Res'!D6:D34,'LPG Res'!I6:I34)/SUM('LPG Res'!D6:D34)</f>
        <v>2.2254543686681627</v>
      </c>
      <c r="J17" s="1111">
        <f>SUMPRODUCT('LPG Comm'!D6:D34,'LPG Comm'!I6:I34)/SUM('LPG Comm'!D6:D34)</f>
        <v>2.1703940809077005</v>
      </c>
      <c r="K17" s="1111">
        <f>SUMPRODUCT('LPG Ind'!E6:E34,'LPG Ind'!J6:J34)/SUM('LPG Ind'!E6:E34)</f>
        <v>2.0686863254329726</v>
      </c>
      <c r="L17" s="1111">
        <f>SUM(Jet!AC6:AC34)/SUM(Jet!AB6:AB34)</f>
        <v>1.9300000000000002</v>
      </c>
      <c r="M17" s="1111">
        <f>SUMPRODUCT('Kero-Res'!D6:D34,'Kero-Res'!H6:H34)/SUM('Kero-Res'!D6:D34)</f>
        <v>2.4600164697972993</v>
      </c>
      <c r="N17" s="1111">
        <f>SUMPRODUCT('Kero-Comm'!H6:H34,'Kero-Comm'!D6:D34)/SUM('Kero-Comm'!D6:D34)</f>
        <v>2.6023204640745599</v>
      </c>
      <c r="O17" s="1111">
        <f>SUMPRODUCT('Kero Ind'!E6:E34,'Kero Ind'!I6:I34)/SUM('Kero Ind'!E6:E34)</f>
        <v>2.5</v>
      </c>
      <c r="P17" s="1111">
        <f>SUMPRODUCT(HFO!F6:F34,HFO!J6:J34)/SUM(HFO!F6:F34)</f>
        <v>1.5127027714941368</v>
      </c>
      <c r="Q17" s="1111">
        <f>SUMPRODUCT('Other petroleum products'!E6:E34,'Other petroleum products'!I6:I34)/SUM('Other petroleum products'!E6:E34)</f>
        <v>2</v>
      </c>
      <c r="R17" s="1111"/>
      <c r="S17" s="1111">
        <f>SUMPRODUCT(Coal!Q6:Q34,Coal!U6:U34)/SUM(Coal!Q6:Q34)</f>
        <v>0.44817967041657475</v>
      </c>
      <c r="T17" s="1111">
        <f>SUMPRODUCT('NG transport'!D6:D34,'NG transport'!I6:I34)/SUM('NG transport'!D6:D34)</f>
        <v>1.5</v>
      </c>
      <c r="U17" s="1111">
        <f>SUMPRODUCT('NG Res'!D6:D34,'NG Res'!I6:I34)/SUM('NG Res'!D6:D34)</f>
        <v>2.5559599121444441</v>
      </c>
      <c r="V17" s="1111">
        <f>SUMPRODUCT('NG Comm'!D6:D34,'NG Comm'!I6:I34)/SUM('NG Comm'!D6:D34)</f>
        <v>2.6051261769258067</v>
      </c>
      <c r="W17" s="1111">
        <f>SUMPRODUCT('NG Ind'!I6:I34,'NG Ind'!N6:N34)/SUM('NG Ind'!I6:I34)</f>
        <v>1.4169479667680607</v>
      </c>
      <c r="X17" s="1111">
        <f>SUMPRODUCT('Electricity - Res'!K6:K34,'Electricity - Res'!O6:O34)/SUM('Electricity - Res'!K6:K34)</f>
        <v>6.4187001019580121</v>
      </c>
      <c r="Y17" s="1111">
        <f>SUMPRODUCT('Electricity-Com'!K6:K34,'Electricity-Com'!O6:O34)/SUM('Electricity-Com'!K6:K34)</f>
        <v>6.2756981935095348</v>
      </c>
      <c r="Z17" s="1276">
        <f>SUM('Electricity - Ind'!P6:P34)/SUM('Electricity - Ind'!K6:K34)</f>
        <v>4.5545003303694518</v>
      </c>
      <c r="AA17" s="562"/>
      <c r="AB17" s="552"/>
      <c r="AC17" s="552"/>
      <c r="AD17" s="557"/>
    </row>
    <row r="18" spans="1:102" s="274" customFormat="1" x14ac:dyDescent="0.6">
      <c r="A18" s="227" t="s">
        <v>1073</v>
      </c>
      <c r="B18" s="377">
        <f t="shared" ref="B18:B27" si="7">SUM(C18:Z18)</f>
        <v>1417.7832162341856</v>
      </c>
      <c r="C18" s="353">
        <f>SUMPRODUCT(Gasoline!D6:D34,Gasoline!H6:H34)/1000000000</f>
        <v>114.13536988977324</v>
      </c>
      <c r="D18" s="279">
        <f>SUMPRODUCT(Diesel!D6:D34,Diesel!H6:H34)/1000000000</f>
        <v>178.40750375512482</v>
      </c>
      <c r="E18" s="279">
        <f>SUMPRODUCT('Res dist'!H6:H34,'Res dist'!D6:D34)/1000000000</f>
        <v>16.954736504119246</v>
      </c>
      <c r="F18" s="279">
        <f>SUMPRODUCT('Com dist'!D6:D34,'Com dist'!H6:H34)/1000000000</f>
        <v>13.905436390165914</v>
      </c>
      <c r="G18" s="279">
        <f>SUMPRODUCT('Ind dist'!J6:J34,'Ind dist'!F6:F34)/1000000000</f>
        <v>30.97778105062276</v>
      </c>
      <c r="H18" s="279">
        <f>SUMPRODUCT('LPG transport'!I6:I34,'LPG transport'!D6:D34)/1000000000</f>
        <v>8.1483877424631199</v>
      </c>
      <c r="I18" s="279">
        <f t="shared" ref="I18:O18" si="8">I17*I16</f>
        <v>10.793622822572607</v>
      </c>
      <c r="J18" s="279">
        <f t="shared" si="8"/>
        <v>4.9254437103845232</v>
      </c>
      <c r="K18" s="279">
        <f t="shared" si="8"/>
        <v>24.690651726942633</v>
      </c>
      <c r="L18" s="279">
        <f t="shared" si="8"/>
        <v>51.237317535600006</v>
      </c>
      <c r="M18" s="279">
        <f t="shared" si="8"/>
        <v>8.7054915232198642</v>
      </c>
      <c r="N18" s="279">
        <f t="shared" si="8"/>
        <v>4.2420890659314283</v>
      </c>
      <c r="O18" s="279">
        <f t="shared" si="8"/>
        <v>3.0436875000000003</v>
      </c>
      <c r="P18" s="279">
        <f>SUMPRODUCT(HFO!F6:F34,HFO!J6:J34)/1000000000</f>
        <v>32.987888905352065</v>
      </c>
      <c r="Q18" s="279">
        <f>SUMPRODUCT('Other petroleum products'!E6:E34,'Other petroleum products'!I6:I34)/1000000000</f>
        <v>81.905305999999996</v>
      </c>
      <c r="R18" s="279"/>
      <c r="S18" s="279">
        <f>SUMPRODUCT(Coal!Q6:Q34,Coal!U6:U34)/1000000000</f>
        <v>84.999704245012282</v>
      </c>
      <c r="T18" s="279">
        <f>SUMPRODUCT('NG transport'!D6:D34,'NG transport'!I6:I34)/1000000000</f>
        <v>4.3351775956284158</v>
      </c>
      <c r="U18" s="279">
        <f>SUMPRODUCT('NG Res'!D6:D34,'NG Res'!I6:I34)/1000000000</f>
        <v>118.01954788018995</v>
      </c>
      <c r="V18" s="279">
        <f>SUMPRODUCT('NG Comm'!D6:D34,'NG Comm'!I6:I34)/1000000000</f>
        <v>63.898568875051367</v>
      </c>
      <c r="W18" s="279">
        <f>SUMPRODUCT('NG Ind'!I6:I34,'NG Ind'!N6:N34)/1000000000</f>
        <v>171.55059795027194</v>
      </c>
      <c r="X18" s="279">
        <f>SUMPRODUCT('Electricity - Res'!K6:K34,'Electricity - Res'!O6:O34)/1000000000</f>
        <v>115.93931501141265</v>
      </c>
      <c r="Y18" s="279">
        <f>SUM('Electricity-Com'!P6:P34)/1000000000</f>
        <v>139.26463620107663</v>
      </c>
      <c r="Z18" s="566">
        <f>SUM('Electricity - Ind'!P6:P34)/1000000000</f>
        <v>134.71495435327009</v>
      </c>
      <c r="AA18" s="562">
        <f>SUM(C18:R18)</f>
        <v>585.0607141222722</v>
      </c>
      <c r="AB18" s="552">
        <f>SUM(S18:V18)</f>
        <v>271.25299859588199</v>
      </c>
      <c r="AC18" s="552">
        <f>W18</f>
        <v>171.55059795027194</v>
      </c>
      <c r="AD18" s="557">
        <f>SUM(X18:Z18)</f>
        <v>389.91890556575936</v>
      </c>
    </row>
    <row r="19" spans="1:102" x14ac:dyDescent="0.6">
      <c r="A19" s="1095" t="s">
        <v>1076</v>
      </c>
      <c r="B19" s="379"/>
      <c r="C19" s="294">
        <f>SUMPRODUCT(Gasoline!D6:D34,Gasoline!J6:J34)/SUM(Gasoline!D6:D34)</f>
        <v>2.0983320100473994</v>
      </c>
      <c r="D19" s="281">
        <f>SUMPRODUCT(Diesel!J6:J34,Diesel!D6:D34)/SUM(Diesel!D6:D34)</f>
        <v>1.9207031723629</v>
      </c>
      <c r="E19" s="281">
        <f>SUMPRODUCT('Res dist'!D6:D34,'Res dist'!J6:J34)/SUM('Res dist'!D6:D34)</f>
        <v>0.4152381332234738</v>
      </c>
      <c r="F19" s="281">
        <f>SUMPRODUCT('Com dist'!J6:J34,'Com dist'!D6:D34)/SUM('Com dist'!D6:D34)</f>
        <v>0.25635607229479374</v>
      </c>
      <c r="G19" s="281">
        <f>SUMPRODUCT('Ind dist'!F6:F34,'Ind dist'!L6:L34)/SUM('Ind dist'!F6:F34)</f>
        <v>1.6193103760349106</v>
      </c>
      <c r="H19" s="281">
        <f>SUMPRODUCT('LPG transport'!K6:K34,'LPG transport'!D6:D34)/SUM('LPG transport'!D6:D34)</f>
        <v>0.58279855182889384</v>
      </c>
      <c r="I19" s="281">
        <f>SUMPRODUCT('LPG Res'!D6:D34,'LPG Res'!K6:K34)/SUM('LPG Res'!D6:D34)</f>
        <v>6.6756902585993552E-2</v>
      </c>
      <c r="J19" s="281">
        <f>SUMPRODUCT('LPG Comm'!D6:D34,'LPG Comm'!K6:K34)/SUM('LPG Comm'!D6:D34)</f>
        <v>0.10127607882998381</v>
      </c>
      <c r="K19" s="281">
        <f>SUMPRODUCT('LPG Ind'!E6:E34,'LPG Ind'!L6:L34)/SUM('LPG Ind'!E6:E34)</f>
        <v>0.20472815813839346</v>
      </c>
      <c r="L19" s="281">
        <f>SUMPRODUCT(Jet!D6:D34,Jet!J6:J34)/SUM(Jet!D6:D34)</f>
        <v>0.98650306730786175</v>
      </c>
      <c r="M19" s="281">
        <f>SUMPRODUCT('Kero-Res'!D6:D34,'Kero-Res'!J6:J34)/SUM('Kero-Res'!D6:D34)</f>
        <v>8.69133539946019E-2</v>
      </c>
      <c r="N19" s="281">
        <f>SUMPRODUCT('Kero-Comm'!D6:D34,'Kero-Comm'!J6:J34)/SUM('Kero-Comm'!D6:D34)</f>
        <v>3.1630230956066901E-2</v>
      </c>
      <c r="O19" s="281">
        <f>SUMPRODUCT('Kero Ind'!E6:E34,'Kero Ind'!K6:K34)/SUM('Kero Ind'!E6:E34)</f>
        <v>0.29664807156713235</v>
      </c>
      <c r="P19" s="281">
        <f>SUMPRODUCT(HFO!F6:F34,HFO!L6:L34)/SUM(HFO!F6:F34)</f>
        <v>0.11761315509331542</v>
      </c>
      <c r="Q19" s="281">
        <f>SUMPRODUCT('Other petroleum products'!K6:K34,'Other petroleum products'!E6:E34)/SUM('Other petroleum products'!E6:E34)</f>
        <v>1.5561822114576513E-2</v>
      </c>
      <c r="R19" s="281"/>
      <c r="S19" s="281">
        <f>SUMPRODUCT(Coal!N6:N34,Coal!W6:W34)/SUM(Coal!Q6:Q34)</f>
        <v>6.7365805324918621E-3</v>
      </c>
      <c r="T19" s="281">
        <f>SUMPRODUCT('NG transport'!D6:D34,'NG transport'!K6:K34)/SUM('NG transport'!D6:D34)</f>
        <v>7.2313173816944229E-2</v>
      </c>
      <c r="U19" s="281">
        <f>SUMPRODUCT('NG Res'!D6:D34,'NG Res'!K6:K34)/SUM('NG Res'!D6:D34)</f>
        <v>8.3614056397865108E-2</v>
      </c>
      <c r="V19" s="281">
        <f>SUMPRODUCT('NG Comm'!D6:D34,'NG Comm'!K6:K34)/SUM('NG Comm'!D6:D34)</f>
        <v>3.4257706332507937E-2</v>
      </c>
      <c r="W19" s="281">
        <f>SUMPRODUCT('NG Ind'!I6:I34,'NG Ind'!P6:P34)/SUM('NG Ind'!I6:I34)</f>
        <v>5.3133334003980154E-2</v>
      </c>
      <c r="X19" s="281">
        <f>SUMPRODUCT('Electricity - Res'!R6:R34,'Electricity - Res'!K6:K34)/SUM('Electricity - Res'!K6:K34)</f>
        <v>0.83206060634108037</v>
      </c>
      <c r="Y19" s="281">
        <f>SUMPRODUCT('Electricity-Com'!K6:K34,'Electricity-Com'!R6:R34)/SUM('Electricity-Com'!K6:K34)</f>
        <v>0.16371296797959223</v>
      </c>
      <c r="Z19" s="301">
        <f>SUMPRODUCT('Electricity - Ind'!K6:K34,'Electricity - Ind'!R6:R34)/SUM('Electricity - Ind'!K6:K34)</f>
        <v>0.74746796697005979</v>
      </c>
      <c r="AA19" s="1273">
        <f>SUM(C19:R19)</f>
        <v>8.8003691563802953</v>
      </c>
      <c r="AB19" s="1274">
        <f>SUM(S19:V19)</f>
        <v>0.19692151707980912</v>
      </c>
      <c r="AC19" s="1274">
        <f>W19</f>
        <v>5.3133334003980154E-2</v>
      </c>
      <c r="AD19" s="1275">
        <f>SUM(X19:Z19)</f>
        <v>1.7432415412907325</v>
      </c>
      <c r="AE19" s="10"/>
      <c r="AF19" s="10"/>
    </row>
    <row r="20" spans="1:102" x14ac:dyDescent="0.6">
      <c r="A20" s="1" t="s">
        <v>1077</v>
      </c>
      <c r="B20" s="379">
        <f t="shared" si="7"/>
        <v>1.131389728959648</v>
      </c>
      <c r="C20" s="294">
        <f>SUMPRODUCT(Gasoline!D6:D34,Gasoline!M6:M34)/SUM(Gasoline!D6:D34)</f>
        <v>0.32883457206546285</v>
      </c>
      <c r="D20" s="281">
        <f>SUMPRODUCT(Diesel!M6:M34,Diesel!D6:D34)/SUM(Diesel!D6:D34)</f>
        <v>0.35922319112968465</v>
      </c>
      <c r="E20" s="281">
        <f>SUMPRODUCT('Res dist'!M6:M34,'Res dist'!D6:D34)/SUM('Res dist'!D6:D34)</f>
        <v>8.0336629191196635E-2</v>
      </c>
      <c r="F20" s="281">
        <f>SUMPRODUCT('Com dist'!M6:M34,'Com dist'!D6:D34)/SUM('Com dist'!D6:D34)</f>
        <v>2.8233175901910975E-3</v>
      </c>
      <c r="G20" s="281">
        <f>SUMPRODUCT('Ind dist'!F6:F34,'Ind dist'!O6:O34)/SUM('Ind dist'!F6:F34)</f>
        <v>0</v>
      </c>
      <c r="H20" s="281">
        <f>SUMPRODUCT('LPG transport'!N6:N34,'LPG transport'!D6:D34)/SUM('LPG transport'!D6:D34)</f>
        <v>8.793457709304342E-2</v>
      </c>
      <c r="I20" s="281">
        <f>SUMPRODUCT('LPG Res'!D6:D34,'LPG Res'!N6:N34)/SUM('LPG Res'!D6:D34)</f>
        <v>1.4500105326892106E-2</v>
      </c>
      <c r="J20" s="281">
        <f>SUMPRODUCT('LPG Comm'!D6:D34,'LPG Comm'!N6:N34)/SUM('LPG Comm'!D6:D34)</f>
        <v>2.0590512830610901E-2</v>
      </c>
      <c r="K20" s="280">
        <f>SUMPRODUCT('LPG Ind'!E6:E34,'LPG Ind'!O6:O34)/SUM('LPG Ind'!E6:E34)</f>
        <v>0</v>
      </c>
      <c r="L20" s="281">
        <f>SUMPRODUCT(Jet!D6:D34,Jet!M6:M34)/SUM(Jet!D6:D34)</f>
        <v>0</v>
      </c>
      <c r="M20" s="281">
        <f>SUMPRODUCT('Kero-Res'!M6:M34,'Kero-Res'!D6:D34)/SUM('Kero-Res'!D6:D34)</f>
        <v>1.1887662035849979E-2</v>
      </c>
      <c r="N20" s="281">
        <f>SUMPRODUCT('Kero-Comm'!D6:D34,'Kero-Comm'!M6:M34)/SUM('Kero-Comm'!D6:D34)</f>
        <v>3.2909196068874979E-3</v>
      </c>
      <c r="O20" s="281">
        <v>0</v>
      </c>
      <c r="P20" s="281"/>
      <c r="Q20" s="281"/>
      <c r="R20" s="281"/>
      <c r="S20" s="281"/>
      <c r="T20" s="281">
        <f>SUMPRODUCT('NG transport'!N6:N34,'NG transport'!D6:D34)/SUM('NG transport'!D6:D34)</f>
        <v>1.4835509106905951E-2</v>
      </c>
      <c r="U20" s="281">
        <f>SUMPRODUCT('NG Res'!D6:D34,'NG Res'!N6:N34)/SUM('NG Res'!D6:D34)</f>
        <v>1.4339933494356525E-2</v>
      </c>
      <c r="V20" s="281">
        <f>SUMPRODUCT('NG Comm'!D6:D34,'NG Comm'!N6:N34)/SUM('NG Comm'!D6:D34)</f>
        <v>6.584625848853218E-3</v>
      </c>
      <c r="W20" s="281"/>
      <c r="X20" s="281">
        <f>SUMPRODUCT('Electricity - Res'!K6:K34,'Electricity - Res'!U6:U34)/SUM('Electricity - Res'!K6:K34)</f>
        <v>0.15912571219114255</v>
      </c>
      <c r="Y20" s="281">
        <f>SUMPRODUCT('Electricity-Com'!K6:K34,'Electricity-Com'!U6:U34)/SUM('Electricity-Com'!K6:K34)</f>
        <v>2.7082461448570676E-2</v>
      </c>
      <c r="Z20" s="301">
        <f>SUMPRODUCT('Electricity - Ind'!K6:K34,'Electricity - Ind'!U6:U34)/1000000000</f>
        <v>0</v>
      </c>
      <c r="AA20" s="1273">
        <f>SUM(C20:R20)</f>
        <v>0.90942148686981905</v>
      </c>
      <c r="AB20" s="1274">
        <f>SUM(S20:V20)</f>
        <v>3.5760068450115694E-2</v>
      </c>
      <c r="AC20" s="1274">
        <f>W20</f>
        <v>0</v>
      </c>
      <c r="AD20" s="1275">
        <f>SUM(X20:Z20)</f>
        <v>0.18620817363971323</v>
      </c>
      <c r="AE20" s="10"/>
      <c r="AF20" s="10"/>
      <c r="AG20" s="10"/>
    </row>
    <row r="21" spans="1:102" x14ac:dyDescent="0.6">
      <c r="A21" s="1" t="s">
        <v>1193</v>
      </c>
      <c r="B21" s="379">
        <f>B23/B16</f>
        <v>0.14400086796119854</v>
      </c>
      <c r="C21" s="294">
        <f>SUMPRODUCT(Gasoline!L6:L34,Gasoline!D6:D34)/SUM(Gasoline!D6:D34)</f>
        <v>0.30148440869929699</v>
      </c>
      <c r="D21" s="281">
        <f>SUMPRODUCT(Diesel!L6:L34,Diesel!D6:D34)/SUM(Diesel!D6:D34)</f>
        <v>0.37854777824374641</v>
      </c>
      <c r="E21" s="281">
        <f>SUMPRODUCT('Res dist'!D6:D34,'Res dist'!L6:L34)/SUM('Res dist'!D6:D34)</f>
        <v>0.34045678429329518</v>
      </c>
      <c r="F21" s="281">
        <f>SUMPRODUCT('Com dist'!L6:L34,'Com dist'!D6:D34)/SUM('Com dist'!D6:D34)</f>
        <v>6.9248438716525265E-2</v>
      </c>
      <c r="G21" s="281">
        <f>SUMPRODUCT('Ind dist'!F6:F34,'Ind dist'!N6:N34)/SUM('Ind dist'!F6:F34)</f>
        <v>0</v>
      </c>
      <c r="H21" s="281">
        <f>SUMPRODUCT('LPG transport'!M6:M34,'LPG transport'!D6:D34)/SUM('LPG transport'!D6:D34)</f>
        <v>0.23522864480526254</v>
      </c>
      <c r="I21" s="281">
        <f>SUMPRODUCT('LPG Res'!M6:M34,'LPG Res'!D6:D34)/SUM('LPG Res'!D6:D34)</f>
        <v>0.30399042853771829</v>
      </c>
      <c r="J21" s="281">
        <f>SUMPRODUCT('LPG Comm'!D6:D34,'LPG Comm'!M6:M34)/SUM('LPG Comm'!D6:D34)</f>
        <v>0.27009759854877963</v>
      </c>
      <c r="K21" s="280">
        <f>SUMPRODUCT('LPG Ind'!E6:E34,'LPG Ind'!N6:N34)/SUM('LPG Ind'!E6:E34)</f>
        <v>0</v>
      </c>
      <c r="L21" s="280">
        <f>SUMPRODUCT(Jet!D6:D34,Jet!L6:L34)/SUM(Jet!D6:D34)</f>
        <v>0</v>
      </c>
      <c r="M21" s="281">
        <f>SUMPRODUCT('Kero-Res'!D6:D34,'Kero-Res'!M6:M34)/SUM('Kero-Res'!D6:D34)</f>
        <v>1.1887662035849979E-2</v>
      </c>
      <c r="N21" s="281">
        <f>SUMPRODUCT('Kero-Comm'!D6:D34,'Kero-Comm'!L6:L34)/SUM('Kero-Comm'!D6:D34)</f>
        <v>0.21399598367047787</v>
      </c>
      <c r="O21" s="281">
        <v>0</v>
      </c>
      <c r="P21" s="281"/>
      <c r="Q21" s="281"/>
      <c r="R21" s="281"/>
      <c r="S21" s="281"/>
      <c r="T21" s="281">
        <f>SUMPRODUCT('NG transport'!M6:M34,'NG transport'!D6:D34)/SUM('NG transport'!D6:D34)</f>
        <v>0.20764893960640959</v>
      </c>
      <c r="U21" s="281">
        <f>SUMPRODUCT('NG Res'!D6:D34,'NG Res'!M6:M34)/SUM('NG Res'!D6:D34)</f>
        <v>0.32181201340403476</v>
      </c>
      <c r="V21" s="281">
        <f>SUMPRODUCT('NG Comm'!D6:D34,'NG Comm'!M6:M34)/SUM('NG Comm'!D6:D34)</f>
        <v>0.33421967376458273</v>
      </c>
      <c r="W21" s="281"/>
      <c r="X21" s="281">
        <f>SUMPRODUCT('Electricity - Res'!K6:K34,'Electricity - Res'!T6:T34)/SUM('Electricity - Res'!K6:K34)</f>
        <v>0.69227891056635615</v>
      </c>
      <c r="Y21" s="281">
        <f>SUMPRODUCT('Electricity-Com'!K6:K34,'Electricity-Com'!T6:T34)/SUM('Electricity-Com'!K6:K34)</f>
        <v>0.69579243079481812</v>
      </c>
      <c r="Z21" s="301">
        <f>SUMPRODUCT('Electricity - Ind'!K6:K34,'Electricity - Ind'!T6:T34)/SUM('Electricity - Ind'!K6:K34)</f>
        <v>0</v>
      </c>
      <c r="AA21" s="1273"/>
      <c r="AB21" s="1274"/>
      <c r="AC21" s="1274"/>
      <c r="AD21" s="1275"/>
      <c r="AE21" s="10"/>
      <c r="AF21" s="10"/>
      <c r="AG21" s="10"/>
    </row>
    <row r="22" spans="1:102" s="85" customFormat="1" x14ac:dyDescent="0.6">
      <c r="A22" s="1" t="s">
        <v>1740</v>
      </c>
      <c r="B22" s="1588">
        <f t="shared" si="7"/>
        <v>536.84209951205355</v>
      </c>
      <c r="C22" s="536">
        <f>SUM(Gasoline!Q6:Q34)/1000000000</f>
        <v>141.63813346832987</v>
      </c>
      <c r="D22" s="537">
        <f>SUM(Diesel!Q6:Q34)/1000000000</f>
        <v>220.03955929928935</v>
      </c>
      <c r="E22" s="537">
        <f>SUM('Res dist'!Q6:Q34)/1000000000</f>
        <v>7.6977895936526837</v>
      </c>
      <c r="F22" s="537">
        <f>SUM('Com dist'!Q6:Q34)/1000000000</f>
        <v>2.3320908534750262</v>
      </c>
      <c r="G22" s="537">
        <f>SUM('Ind dist'!S6:S34)/1000000000</f>
        <v>25.196120522103381</v>
      </c>
      <c r="H22" s="537">
        <f>SUM('LPG transport'!R6:R34)/1000000000</f>
        <v>4.5555302105462427</v>
      </c>
      <c r="I22" s="537">
        <f>SUM('LPG Res'!R6:R34)/1000000000</f>
        <v>1.8684793455905995</v>
      </c>
      <c r="J22" s="537">
        <f>SUM('LPG Comm'!R6:R34)/1000000000</f>
        <v>0.88951475326329354</v>
      </c>
      <c r="K22" s="537">
        <f>SUM('LPG Ind'!S6:S34)/1000000000</f>
        <v>2.4435176996858297</v>
      </c>
      <c r="L22" s="537">
        <f>SUM(Jet!Q6:Q34)/1000000000</f>
        <v>6.789236610410728</v>
      </c>
      <c r="M22" s="537">
        <f>SUM('Kero-Res'!Q6:Q34)/1000000000</f>
        <v>1.1493045564740452</v>
      </c>
      <c r="N22" s="537">
        <f>SUM('Kero-Comm'!Q6:Q34)/1000000000</f>
        <v>0.4057642661739353</v>
      </c>
      <c r="O22" s="537">
        <f>SUM('Kero Ind'!R6:R34)/1000000000</f>
        <v>0.36116161093119448</v>
      </c>
      <c r="P22" s="537">
        <f>SUM(HFO!S6:S34)/1000000000</f>
        <v>2.5648195846128052</v>
      </c>
      <c r="Q22" s="537">
        <f>SUMPRODUCT('Other petroleum products'!S6:S34,'Other petroleum products'!E6:E34)/1000000000</f>
        <v>0.63729790110597817</v>
      </c>
      <c r="R22" s="537"/>
      <c r="S22" s="537">
        <f>SUM(Coal!AD6:AD34)/1000000000</f>
        <v>10.221032156184821</v>
      </c>
      <c r="T22" s="537">
        <f>SUM('NG transport'!R7:R34)/1000000000</f>
        <v>0.84667831098032786</v>
      </c>
      <c r="U22" s="537">
        <f>SUM('NG Res'!R6:R34)/1000000000</f>
        <v>19.382382990089255</v>
      </c>
      <c r="V22" s="537">
        <f>SUM('NG Comm'!R6:R34)/1000000000</f>
        <v>9.1995257779156567</v>
      </c>
      <c r="W22" s="537">
        <f>SUM('NG Ind'!W6:W34)/1000000000</f>
        <v>6.4328792822682024</v>
      </c>
      <c r="X22" s="537">
        <f>SUM('Electricity - Res'!Y6:Y34)/1000000000</f>
        <v>30.407995763453862</v>
      </c>
      <c r="Y22" s="537">
        <f>SUM('Electricity-Com'!Y6:Y34)/1000000000</f>
        <v>19.67435845495887</v>
      </c>
      <c r="Z22" s="1589">
        <f>SUM('Electricity - Ind'!Y6:Y34)/1000000000</f>
        <v>22.10892650055753</v>
      </c>
      <c r="AA22" s="562">
        <f>SUM(C22:R22)</f>
        <v>418.56832027564496</v>
      </c>
      <c r="AB22" s="552">
        <f>SUM(S22:V22)</f>
        <v>39.649619235170064</v>
      </c>
      <c r="AC22" s="552">
        <f>W22</f>
        <v>6.4328792822682024</v>
      </c>
      <c r="AD22" s="557">
        <f>SUM(X22:Z22)</f>
        <v>72.191280718970262</v>
      </c>
    </row>
    <row r="23" spans="1:102" s="85" customFormat="1" x14ac:dyDescent="0.6">
      <c r="A23" s="85" t="s">
        <v>1078</v>
      </c>
      <c r="B23" s="1588">
        <f t="shared" si="7"/>
        <v>106.62874412990078</v>
      </c>
      <c r="C23" s="536">
        <f>SUM(Gasoline!O6:O34)/1000000000</f>
        <v>15.649377315660931</v>
      </c>
      <c r="D23" s="537">
        <f>SUM(Diesel!O6:O34)/1000000000</f>
        <v>31.332065635243012</v>
      </c>
      <c r="E23" s="537">
        <f>SUM('Res dist'!O6:O34)/1000000000</f>
        <v>3.1347677028948802</v>
      </c>
      <c r="F23" s="537">
        <f>SUM('Com dist'!O6:O34)/1000000000</f>
        <v>0.49171731651333006</v>
      </c>
      <c r="G23" s="537">
        <f>SUM('Ind dist'!Q6:Q34)/1000000000</f>
        <v>0</v>
      </c>
      <c r="H23" s="537">
        <f>SUM('LPG transport'!P6:P34)/1000000000</f>
        <v>1.1828216475267079</v>
      </c>
      <c r="I23" s="537">
        <f>SUM('LPG Res'!P6:P34)/1000000000</f>
        <v>1.4743766816805026</v>
      </c>
      <c r="J23" s="537">
        <f>SUM('LPG Comm'!P6:P34)/1000000000</f>
        <v>0.61295343996039298</v>
      </c>
      <c r="K23" s="537">
        <f>SUM('LPG Ind'!Q6:Q34)/1000000000</f>
        <v>0</v>
      </c>
      <c r="L23" s="537">
        <f>SUM(Jet!O6:O34)/1000000000</f>
        <v>0</v>
      </c>
      <c r="M23" s="537">
        <f>SUM('Kero-Res'!O6:O34)/1000000000</f>
        <v>0.79966811375157831</v>
      </c>
      <c r="N23" s="537">
        <f>SUM('Kero-Comm'!O6:O34)/1000000000</f>
        <v>0.34883867494951432</v>
      </c>
      <c r="O23" s="537">
        <v>0</v>
      </c>
      <c r="P23" s="537">
        <v>0</v>
      </c>
      <c r="Q23" s="537"/>
      <c r="R23" s="537"/>
      <c r="S23" s="537"/>
      <c r="T23" s="537">
        <f>SUM('NG transport'!P6:P34)/1000000000</f>
        <v>0.60013002049180331</v>
      </c>
      <c r="U23" s="537">
        <f>SUM('NG Res'!P6:P34)/1000000000</f>
        <v>14.859430362697902</v>
      </c>
      <c r="V23" s="537">
        <f>SUM('NG Comm'!P6:P34)/1000000000</f>
        <v>8.1977445210138882</v>
      </c>
      <c r="W23" s="537"/>
      <c r="X23" s="537">
        <f>SUM('Electricity - Res'!W6:W34)/1000000000</f>
        <v>12.504454393098449</v>
      </c>
      <c r="Y23" s="537">
        <f>SUM('Electricity-Com'!W6:W34)/1000000000</f>
        <v>15.440398304417904</v>
      </c>
      <c r="Z23" s="1589">
        <f>SUM('Electricity - Ind'!W6:W34)/1000000000</f>
        <v>0</v>
      </c>
      <c r="AA23" s="562"/>
      <c r="AB23" s="552"/>
      <c r="AC23" s="552"/>
      <c r="AD23" s="557"/>
    </row>
    <row r="24" spans="1:102" s="1298" customFormat="1" x14ac:dyDescent="0.6">
      <c r="A24" s="1298" t="s">
        <v>1079</v>
      </c>
      <c r="B24" s="1584">
        <f t="shared" si="7"/>
        <v>430.21867710346419</v>
      </c>
      <c r="C24" s="1585">
        <f>SUM(Gasoline!S6:S34)/1000000000</f>
        <v>125.98875615266894</v>
      </c>
      <c r="D24" s="1586">
        <f>SUM(Diesel!S6:S34)/1000000000</f>
        <v>188.70749366404635</v>
      </c>
      <c r="E24" s="1586">
        <f>SUM('Res dist'!S6:S34)/1000000000</f>
        <v>4.5630218907578008</v>
      </c>
      <c r="F24" s="1586">
        <f>SUM('Com dist'!S6:S34)/1000000000</f>
        <v>1.8403735369616963</v>
      </c>
      <c r="G24" s="1586">
        <f>SUM('Ind dist'!U6:U34)/1000000000</f>
        <v>25.196120522103381</v>
      </c>
      <c r="H24" s="1586">
        <f>SUM('LPG transport'!T6:T34)/1000000000</f>
        <v>3.3727085630195344</v>
      </c>
      <c r="I24" s="1586">
        <f>SUM('LPG Res'!T6:T34)/1000000000</f>
        <v>0.39410266391009668</v>
      </c>
      <c r="J24" s="1586">
        <f>SUM('LPG Comm'!T6:T34)/1000000000</f>
        <v>0.27656131330290035</v>
      </c>
      <c r="K24" s="1586">
        <f>SUM('LPG Ind'!U6:U34)/1000000000</f>
        <v>2.4435176996858297</v>
      </c>
      <c r="L24" s="1586">
        <f>SUM(Jet!S6:S34)/1000000000</f>
        <v>6.789236610410728</v>
      </c>
      <c r="M24" s="1586">
        <f>SUM('Kero-Res'!S6:S34)/1000000000</f>
        <v>0.34963644272246697</v>
      </c>
      <c r="N24" s="1586">
        <f>SUM('Kero-Comm'!S6:S34)/1000000000</f>
        <v>5.6925591224421014E-2</v>
      </c>
      <c r="O24" s="1586">
        <f>SUM('Kero Ind'!T6:T34)/1000000000</f>
        <v>0.36116161093119448</v>
      </c>
      <c r="P24" s="1586">
        <f>SUM(HFO!U6:U34)/1000000000</f>
        <v>2.5648195846128052</v>
      </c>
      <c r="Q24" s="1586">
        <f>SUM('Other petroleum products'!T6:T34)/1000000000</f>
        <v>0.63729790110597817</v>
      </c>
      <c r="R24" s="1586"/>
      <c r="S24" s="1586">
        <f>S22</f>
        <v>10.221032156184821</v>
      </c>
      <c r="T24" s="1586">
        <f>SUM('NG transport'!T6:T34)/1000000000</f>
        <v>0.25187001180000002</v>
      </c>
      <c r="U24" s="1586">
        <f>SUM('NG Res'!T6:T34)/1000000000</f>
        <v>4.5229526273913576</v>
      </c>
      <c r="V24" s="1586">
        <f>SUM('NG Comm'!T6:T34)/1000000000</f>
        <v>1.0017812569017679</v>
      </c>
      <c r="W24" s="1586">
        <f>SUM('NG Ind'!Y6:Y34)/1000000000</f>
        <v>6.4328792822682024</v>
      </c>
      <c r="X24" s="1586">
        <f>SUM('Electricity - Res'!AA6:AA34)/1000000000</f>
        <v>17.903541370355413</v>
      </c>
      <c r="Y24" s="1586">
        <f>SUM('Electricity-Com'!AA6:AA34)/1000000000</f>
        <v>4.2339601505409643</v>
      </c>
      <c r="Z24" s="1587">
        <f>SUM('Electricity - Ind'!AA6:AA34)/1000000000</f>
        <v>22.10892650055753</v>
      </c>
      <c r="AA24" s="1590">
        <f>SUM(C24:R24)</f>
        <v>363.54173374746415</v>
      </c>
      <c r="AB24" s="1591">
        <f>SUM(S24:V24)</f>
        <v>15.997636052277947</v>
      </c>
      <c r="AC24" s="1591">
        <f>W24</f>
        <v>6.4328792822682024</v>
      </c>
      <c r="AD24" s="1592">
        <f>SUM(X24:Z24)</f>
        <v>44.246428021453909</v>
      </c>
    </row>
    <row r="25" spans="1:102" s="227" customFormat="1" x14ac:dyDescent="0.6">
      <c r="A25" s="227" t="s">
        <v>1080</v>
      </c>
      <c r="B25" s="377">
        <f t="shared" si="7"/>
        <v>-67.544645522222041</v>
      </c>
      <c r="C25" s="354">
        <f>SUM(Gasoline!U6:U34)/1000000000</f>
        <v>-0.89059716920787202</v>
      </c>
      <c r="D25" s="280">
        <f>SUM(Diesel!U6:U34)/1000000000</f>
        <v>-13.835912673189039</v>
      </c>
      <c r="E25" s="280">
        <f>SUM('Res dist'!U6:U34)/1000000000</f>
        <v>-2.4804433539180382</v>
      </c>
      <c r="F25" s="280">
        <f>SUM('Com dist'!U6:U34)/1000000000</f>
        <v>-0.67783989843828607</v>
      </c>
      <c r="G25" s="280">
        <f>SUM('Ind dist'!W7:W34)/1000000000</f>
        <v>-14.72360628217915</v>
      </c>
      <c r="H25" s="280">
        <f>SUM('LPG transport'!V6:V34)/1000000000</f>
        <v>-0.188979838902118</v>
      </c>
      <c r="I25" s="280">
        <f>SUM('LPG Res'!V6:V34)/1000000000</f>
        <v>-0.29692925552130101</v>
      </c>
      <c r="J25" s="280">
        <f>SUM('LPG Comm'!V6:V34)/1000000000</f>
        <v>-9.0447352562551001E-2</v>
      </c>
      <c r="K25" s="280">
        <f>SUM('LPG Ind'!W6:W34)/1000000000</f>
        <v>-0.24499738238489899</v>
      </c>
      <c r="L25" s="280">
        <f>SUM(Jet!U6:U34)/1000000000</f>
        <v>-4.8229726306786596</v>
      </c>
      <c r="M25" s="280">
        <f>SUM('Kero-Res'!U6:U34)/1000000000</f>
        <v>-0.56287823236651191</v>
      </c>
      <c r="N25" s="280">
        <f>SUM('Kero-Comm'!U6:U34)/1000000000</f>
        <v>-1.3318596946062751E-2</v>
      </c>
      <c r="O25" s="280">
        <f>SUM('Kero Ind'!V6:V34)/1000000000</f>
        <v>-4.9117621636344255E-2</v>
      </c>
      <c r="P25" s="280">
        <f>SUM(HFO!W6:W34)/1000000000</f>
        <v>-1.5218533928292333</v>
      </c>
      <c r="Q25" s="280">
        <f>SUM('Other petroleum products'!V6:V34)/1000000000</f>
        <v>-0.81037763252446804</v>
      </c>
      <c r="R25" s="280">
        <f>SUM(Crude!T6:T34)/1000000000</f>
        <v>-2.0199953820492538</v>
      </c>
      <c r="S25" s="280">
        <f>SUM(Coal!AF6:AF34)/1000000000</f>
        <v>-6.3429955206752897</v>
      </c>
      <c r="T25" s="280">
        <f>SUM('NG transport'!V6:V34)/1000000000</f>
        <v>-0.31689032643593523</v>
      </c>
      <c r="U25" s="280">
        <f>SUM('NG Res'!V6:V34)/1000000000</f>
        <v>-0.7365609084430822</v>
      </c>
      <c r="V25" s="280">
        <f>SUM('NG Comm'!V6:V34)/1000000000</f>
        <v>-6.9140396491442754E-2</v>
      </c>
      <c r="W25" s="280">
        <f>SUM('NG Ind'!AA6:AA34)/1000000000</f>
        <v>-12.488707093662923</v>
      </c>
      <c r="X25" s="280">
        <f>SUM('Electricity - Res'!AC6:AC34)/1000000000</f>
        <v>-2.8544955871173543</v>
      </c>
      <c r="Y25" s="280">
        <f>SUM('Electricity-Com'!AC6:AC34)/1000000000</f>
        <v>-0.58784127513902695</v>
      </c>
      <c r="Z25" s="502">
        <f>SUM('Electricity - Ind'!AC6:AC34)/1000000000</f>
        <v>-0.91774771892319007</v>
      </c>
      <c r="AA25" s="563">
        <f>SUM(C25:R25)</f>
        <v>-43.230266695333789</v>
      </c>
      <c r="AB25" s="553">
        <f>SUM(S25:V25)</f>
        <v>-7.4655871520457495</v>
      </c>
      <c r="AC25" s="553">
        <f>W25</f>
        <v>-12.488707093662923</v>
      </c>
      <c r="AD25" s="558">
        <f>SUM(X25:Z25)</f>
        <v>-4.3600845811795708</v>
      </c>
    </row>
    <row r="26" spans="1:102" x14ac:dyDescent="0.6">
      <c r="A26" s="1" t="s">
        <v>1081</v>
      </c>
      <c r="B26" s="377">
        <f t="shared" si="7"/>
        <v>362.67403158124222</v>
      </c>
      <c r="C26" s="354">
        <f>SUM(Gasoline!V6:V34)/1000000000</f>
        <v>125.09815898346108</v>
      </c>
      <c r="D26" s="280">
        <f>SUM(Diesel!V6:V34)/1000000000</f>
        <v>174.87158099085732</v>
      </c>
      <c r="E26" s="280">
        <f>SUM('Res dist'!V6:V34)/1000000000</f>
        <v>2.0825785368397622</v>
      </c>
      <c r="F26" s="280">
        <f>SUM('Com dist'!V6:V34)/1000000000</f>
        <v>1.1625336385234106</v>
      </c>
      <c r="G26" s="280">
        <f>SUM('Ind dist'!X6:X34)/1000000000</f>
        <v>10.472514239924234</v>
      </c>
      <c r="H26" s="280">
        <f>SUM('LPG transport'!W6:W34)/1000000000</f>
        <v>3.183728724117417</v>
      </c>
      <c r="I26" s="280">
        <f>SUM('LPG Res'!W6:W34)/1000000000</f>
        <v>9.7173408388795735E-2</v>
      </c>
      <c r="J26" s="280">
        <f>SUM('LPG Comm'!W6:W34)/1000000000</f>
        <v>0.18611396074034942</v>
      </c>
      <c r="K26" s="280">
        <f>SUM('LPG Ind'!X6:X34)/1000000000</f>
        <v>2.1985203173009307</v>
      </c>
      <c r="L26" s="280">
        <f>SUM(Jet!V6:V34)/1000000000</f>
        <v>1.9662639797320687</v>
      </c>
      <c r="M26" s="280">
        <f>SUM('Kero-Res'!V6:V34)/1000000000</f>
        <v>-0.21324178964404503</v>
      </c>
      <c r="N26" s="280">
        <f>SUM('Kero-Comm'!V6:V34)/1000000000</f>
        <v>4.3606994278358263E-2</v>
      </c>
      <c r="O26" s="280">
        <f>SUM('Kero Ind'!W6:W34)/1000000000</f>
        <v>0.31204398929485028</v>
      </c>
      <c r="P26" s="280">
        <f>SUM(HFO!X6:X34)/1000000000</f>
        <v>1.0429661917835724</v>
      </c>
      <c r="Q26" s="280">
        <f>SUM('Other petroleum products'!W6:W34)/1000000000</f>
        <v>-0.17307973141848998</v>
      </c>
      <c r="R26" s="280">
        <f>SUM(Crude!U6:U34)/1000000000</f>
        <v>-2.0199953820492538</v>
      </c>
      <c r="S26" s="280">
        <f>SUM(Coal!AG6:AG34)/1000000000</f>
        <v>3.8780366355095315</v>
      </c>
      <c r="T26" s="280">
        <f>SUM('NG transport'!W6:W34)/1000000000</f>
        <v>-6.5020314635935231E-2</v>
      </c>
      <c r="U26" s="280">
        <f>SUM('NG Res'!W6:W34)/1000000000</f>
        <v>3.7863917189482739</v>
      </c>
      <c r="V26" s="280">
        <f>SUM('NG Comm'!W6:W34)/1000000000</f>
        <v>0.93264086041032512</v>
      </c>
      <c r="W26" s="280">
        <f>SUM('NG Ind'!AB6:AB34)/1000000000</f>
        <v>-6.0558278113947166</v>
      </c>
      <c r="X26" s="280">
        <f>SUM('Electricity - Res'!AD6:AD34)/1000000000</f>
        <v>15.049045783238059</v>
      </c>
      <c r="Y26" s="280">
        <f>SUM('Electricity-Com'!AD6:AD34)/1000000000</f>
        <v>3.646118875401938</v>
      </c>
      <c r="Z26" s="502">
        <f>SUM('Electricity - Ind'!AD6:AD34)/1000000000</f>
        <v>21.191178781634342</v>
      </c>
      <c r="AA26" s="563">
        <f>SUM(C26:R26)</f>
        <v>320.31146705213035</v>
      </c>
      <c r="AB26" s="553">
        <f>SUM(S26:V26)</f>
        <v>8.532048900232196</v>
      </c>
      <c r="AC26" s="553">
        <f>W26</f>
        <v>-6.0558278113947166</v>
      </c>
      <c r="AD26" s="558">
        <f>SUM(X26:Z26)</f>
        <v>39.886343440274338</v>
      </c>
    </row>
    <row r="27" spans="1:102" x14ac:dyDescent="0.6">
      <c r="A27" s="69" t="s">
        <v>1082</v>
      </c>
      <c r="B27" s="381">
        <f t="shared" si="7"/>
        <v>1889.0368847632715</v>
      </c>
      <c r="C27" s="282">
        <f>SUM(Gasoline!X6:X34)/1000000000</f>
        <v>254.88290618889522</v>
      </c>
      <c r="D27" s="282">
        <f>SUM(Diesel!X6:X34)/1000000000</f>
        <v>384.61115038122529</v>
      </c>
      <c r="E27" s="282">
        <f>SUM('Res dist'!X6:X34)/1000000000</f>
        <v>22.172082743853895</v>
      </c>
      <c r="F27" s="282">
        <f>SUM('Com dist'!X6:X34)/1000000000</f>
        <v>15.559687345202656</v>
      </c>
      <c r="G27" s="282">
        <f>SUM('Ind dist'!Z6:Z34)/1000000000</f>
        <v>41.450295290546983</v>
      </c>
      <c r="H27" s="282">
        <f>SUM('LPG transport'!Y6:Y34)/1000000000</f>
        <v>12.514938114107247</v>
      </c>
      <c r="I27" s="282">
        <f>SUM('LPG Res'!Y6:Y34)/1000000000</f>
        <v>12.365172912641908</v>
      </c>
      <c r="J27" s="282">
        <f>SUM('LPG Comm'!Y6:Y34)/1000000000</f>
        <v>5.724511111085266</v>
      </c>
      <c r="K27" s="282">
        <f>SUM('LPG Ind'!Z6:Z34)/1000000000</f>
        <v>26.889172044243566</v>
      </c>
      <c r="L27" s="282">
        <f>SUM(Jet!AD6:AD34)/1000000000</f>
        <v>53.13447895122615</v>
      </c>
      <c r="M27" s="282">
        <f>SUM('Kero-Res'!X6:X34)/1000000000</f>
        <v>9.2919178473273956</v>
      </c>
      <c r="N27" s="282">
        <f>SUM('Kero-Comm'!X6:X34)/1000000000</f>
        <v>4.6345347351593009</v>
      </c>
      <c r="O27" s="282">
        <f>SUM('Kero Ind'!Y6:Y34)/1000000000</f>
        <v>3.3557314892948504</v>
      </c>
      <c r="P27" s="282">
        <f>SUM(HFO!Z6:Z34)/1000000000</f>
        <v>34.030855097135635</v>
      </c>
      <c r="Q27" s="282">
        <f>SUM('Other petroleum products'!Y6:Y34)/1000000000</f>
        <v>81.732226268581513</v>
      </c>
      <c r="R27" s="282"/>
      <c r="S27" s="282">
        <f>SUM(Coal!AI6:AI34)/1000000000</f>
        <v>88.877740880521813</v>
      </c>
      <c r="T27" s="282">
        <f>SUM('NG transport'!Y6:Y34)/1000000000</f>
        <v>4.870287301484284</v>
      </c>
      <c r="U27" s="282">
        <f>SUM('NG Res'!Y6:Y34)/1000000000</f>
        <v>136.66536996183618</v>
      </c>
      <c r="V27" s="282">
        <f>SUM('NG Comm'!Y6:Y34)/1000000000</f>
        <v>73.028954256475615</v>
      </c>
      <c r="W27" s="282">
        <f>SUM('NG Ind'!AD6:AD34)/1000000000</f>
        <v>165.49477013887719</v>
      </c>
      <c r="X27" s="282">
        <f>SUM('Electricity - Res'!AF6:AF34)/1000000000</f>
        <v>143.49281518774916</v>
      </c>
      <c r="Y27" s="282">
        <f>SUM('Electricity-Com'!AF6:AF34)/1000000000</f>
        <v>158.35115338089648</v>
      </c>
      <c r="Z27" s="567">
        <f>SUM('Electricity - Ind'!AF6:AF34)/1000000000</f>
        <v>155.90613313490442</v>
      </c>
      <c r="AA27" s="556">
        <f>SUM(C27:R27)</f>
        <v>962.34966052052664</v>
      </c>
      <c r="AB27" s="556">
        <f>SUM(S27:V27)</f>
        <v>303.44235240031787</v>
      </c>
      <c r="AC27" s="556">
        <f>W27</f>
        <v>165.49477013887719</v>
      </c>
      <c r="AD27" s="561">
        <f>SUM(X27:Z27)</f>
        <v>457.75010170355006</v>
      </c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</row>
    <row r="28" spans="1:102" s="258" customFormat="1" x14ac:dyDescent="0.6">
      <c r="A28" s="257" t="s">
        <v>623</v>
      </c>
      <c r="B28" s="380">
        <f t="shared" ref="B28:Q28" si="9">B26/B16</f>
        <v>0.48978702469816482</v>
      </c>
      <c r="C28" s="355">
        <f t="shared" si="9"/>
        <v>2.4100092757528713</v>
      </c>
      <c r="D28" s="355">
        <f t="shared" si="9"/>
        <v>2.1127636215468746</v>
      </c>
      <c r="E28" s="355">
        <f t="shared" si="9"/>
        <v>0.22618198823342844</v>
      </c>
      <c r="F28" s="355">
        <f t="shared" si="9"/>
        <v>0.16371934995908397</v>
      </c>
      <c r="G28" s="355">
        <f t="shared" si="9"/>
        <v>0.67305008153957613</v>
      </c>
      <c r="H28" s="355">
        <f t="shared" si="9"/>
        <v>0.6331505639651539</v>
      </c>
      <c r="I28" s="355">
        <f t="shared" si="9"/>
        <v>2.0035440349552406E-2</v>
      </c>
      <c r="J28" s="355">
        <f t="shared" si="9"/>
        <v>8.2011015152502351E-2</v>
      </c>
      <c r="K28" s="355">
        <f t="shared" si="9"/>
        <v>0.18420125020937089</v>
      </c>
      <c r="L28" s="355">
        <f t="shared" si="9"/>
        <v>7.4064952331787864E-2</v>
      </c>
      <c r="M28" s="355">
        <f t="shared" si="9"/>
        <v>-6.0258322367463327E-2</v>
      </c>
      <c r="N28" s="355">
        <f t="shared" si="9"/>
        <v>2.6750822960959562E-2</v>
      </c>
      <c r="O28" s="355">
        <f t="shared" si="9"/>
        <v>0.25630422743370523</v>
      </c>
      <c r="P28" s="355">
        <f t="shared" si="9"/>
        <v>4.7826578215186252E-2</v>
      </c>
      <c r="Q28" s="355">
        <f t="shared" si="9"/>
        <v>-4.2263374589795195E-3</v>
      </c>
      <c r="R28" s="285" t="s">
        <v>625</v>
      </c>
      <c r="S28" s="1387" t="s">
        <v>625</v>
      </c>
      <c r="T28" s="355">
        <f t="shared" ref="T28:AD28" si="10">T26/T16</f>
        <v>-2.2497457094318895E-2</v>
      </c>
      <c r="U28" s="355">
        <f t="shared" si="10"/>
        <v>8.200222436991686E-2</v>
      </c>
      <c r="V28" s="355">
        <f t="shared" si="10"/>
        <v>3.8023498208176298E-2</v>
      </c>
      <c r="W28" s="355">
        <f t="shared" si="10"/>
        <v>-5.0019020667829837E-2</v>
      </c>
      <c r="X28" s="355">
        <f t="shared" si="10"/>
        <v>0.83315406593296182</v>
      </c>
      <c r="Y28" s="355">
        <f t="shared" si="10"/>
        <v>0.16430547096423653</v>
      </c>
      <c r="Z28" s="355">
        <f t="shared" si="10"/>
        <v>0.71644036272895728</v>
      </c>
      <c r="AA28" s="564">
        <f t="shared" si="10"/>
        <v>1.118709260348004</v>
      </c>
      <c r="AB28" s="554">
        <f t="shared" si="10"/>
        <v>3.2410711910591881E-2</v>
      </c>
      <c r="AC28" s="554">
        <f t="shared" si="10"/>
        <v>-5.0019020667829837E-2</v>
      </c>
      <c r="AD28" s="559">
        <f t="shared" si="10"/>
        <v>0.57117355431181449</v>
      </c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  <c r="AT28" s="277"/>
      <c r="AU28" s="277"/>
      <c r="AV28" s="277"/>
      <c r="AW28" s="277"/>
      <c r="AX28" s="277"/>
      <c r="AY28" s="277"/>
      <c r="AZ28" s="277"/>
      <c r="BA28" s="277"/>
      <c r="BB28" s="277"/>
      <c r="BC28" s="277"/>
      <c r="BD28" s="277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</row>
    <row r="29" spans="1:102" s="239" customFormat="1" x14ac:dyDescent="0.6">
      <c r="A29" s="1667" t="s">
        <v>685</v>
      </c>
      <c r="B29" s="1668"/>
      <c r="C29" s="1666"/>
      <c r="D29" s="1666">
        <f>(D21+D20)/(D19+D17)</f>
        <v>0.18099536397672258</v>
      </c>
      <c r="E29" s="1666"/>
      <c r="F29" s="1666"/>
      <c r="G29" s="1666"/>
      <c r="H29" s="1666"/>
      <c r="I29" s="1666"/>
      <c r="J29" s="1666"/>
      <c r="K29" s="1666"/>
      <c r="L29" s="1666"/>
      <c r="M29" s="1666"/>
      <c r="N29" s="1666"/>
      <c r="O29" s="1666"/>
      <c r="P29" s="1666"/>
      <c r="Q29" s="1666"/>
      <c r="R29" s="1666"/>
      <c r="S29" s="1666"/>
      <c r="T29" s="1666"/>
      <c r="U29" s="1666"/>
      <c r="V29" s="1666"/>
      <c r="W29" s="1666"/>
      <c r="X29" s="1666"/>
      <c r="Y29" s="1666"/>
      <c r="Z29" s="1669"/>
      <c r="AA29" s="1666"/>
      <c r="AB29" s="1666"/>
      <c r="AC29" s="1666"/>
      <c r="AD29" s="1669"/>
    </row>
    <row r="30" spans="1:102" s="1119" customFormat="1" x14ac:dyDescent="0.6">
      <c r="A30" s="1113" t="s">
        <v>624</v>
      </c>
      <c r="B30" s="1114">
        <f>SUM(C30:Z30)</f>
        <v>1532.1897742422955</v>
      </c>
      <c r="C30" s="1115">
        <f>SUM(Gasoline!D36:D39)/1000000000</f>
        <v>59.02107384615384</v>
      </c>
      <c r="D30" s="1120">
        <f>SUM(Diesel!D36:D39)/1000000000</f>
        <v>71.157791880000005</v>
      </c>
      <c r="E30" s="1120">
        <f>SUM('Res dist'!D36:D39)/1000000000</f>
        <v>2.16441456</v>
      </c>
      <c r="F30" s="1120">
        <f>SUM('Com dist'!D36:D39)/1000000000</f>
        <v>4.0903926000000004</v>
      </c>
      <c r="G30" s="1120">
        <f>SUM('Ind dist'!F36:F39)/1000000000</f>
        <v>22.27109892</v>
      </c>
      <c r="H30" s="1120">
        <f>SUM('LPG transport'!D36:D39)/1000000000</f>
        <v>0.77026320000000004</v>
      </c>
      <c r="I30" s="1120">
        <f>SUM('LPG Res'!D36:D39)/1000000000</f>
        <v>26.389675199999999</v>
      </c>
      <c r="J30" s="1120">
        <f>SUM('LPG Comm'!D36:D39)/1000000000</f>
        <v>2.0442912</v>
      </c>
      <c r="K30" s="1120">
        <f>SUM('LPG Ind'!E36:E39)/1000000000</f>
        <v>7.6548863999999996</v>
      </c>
      <c r="L30" s="1120">
        <f>SUM(Jet!AB36:AB39)/1000000000</f>
        <v>15.48765876</v>
      </c>
      <c r="M30" s="1120">
        <f>SUM('Kero-Res'!D36:D39)/1000000000</f>
        <v>2.2537897199999999</v>
      </c>
      <c r="N30" s="1120">
        <f>SUM('Kero-Comm'!D36:D39)/1000000000</f>
        <v>0.33082854</v>
      </c>
      <c r="O30" s="1120">
        <f>SUM('Kero Ind'!E36:E39)/1000000000</f>
        <v>0.14285039999999999</v>
      </c>
      <c r="P30" s="1120">
        <f>SUM(HFO!F36:F39)/1000000000</f>
        <v>13.1300568</v>
      </c>
      <c r="Q30" s="1120">
        <f>SUM('Other petroleum products'!E36:E39)/1000000000</f>
        <v>34.591428000000001</v>
      </c>
      <c r="R30" s="1120"/>
      <c r="S30" s="1120">
        <f>SUM(Coal!Q36:Q39)/1000000000</f>
        <v>950.57144060799999</v>
      </c>
      <c r="T30" s="1120">
        <f>SUM('NG transport'!D36:D39)/1000000000</f>
        <v>17.065239829993931</v>
      </c>
      <c r="U30" s="1120">
        <f>SUM('NG Res'!D36:D39)/1000000000</f>
        <v>25.927557680631455</v>
      </c>
      <c r="V30" s="1120">
        <f>SUM('NG Comm'!D36:D39)/1000000000</f>
        <v>4.6623178506375238</v>
      </c>
      <c r="W30" s="1120">
        <f>SUM('NG Ind'!I36:I39)/1000000000</f>
        <v>130.7388433515483</v>
      </c>
      <c r="X30" s="1120">
        <f>SUM('Electricity - Res'!K36:K39)/1000000000</f>
        <v>25.550862635636083</v>
      </c>
      <c r="Y30" s="1120">
        <f>SUM('Electricity-Com'!K36:K39)/1000000000</f>
        <v>13.287903598309285</v>
      </c>
      <c r="Z30" s="1121">
        <f>SUM('Electricity - Ind'!K36:K39)/1000000000</f>
        <v>102.8851086613851</v>
      </c>
      <c r="AA30" s="1117">
        <f>SUM(C30:R30)</f>
        <v>261.50050002615382</v>
      </c>
      <c r="AB30" s="882">
        <f>SUM(S30:V30)</f>
        <v>998.22655596926302</v>
      </c>
      <c r="AC30" s="882">
        <f>W30</f>
        <v>130.7388433515483</v>
      </c>
      <c r="AD30" s="1118">
        <f>SUM(X30:Z30)</f>
        <v>141.72387489533048</v>
      </c>
    </row>
    <row r="31" spans="1:102" s="274" customFormat="1" x14ac:dyDescent="0.6">
      <c r="A31" s="506" t="s">
        <v>1072</v>
      </c>
      <c r="B31" s="379">
        <f>B32/B30</f>
        <v>0.95820105968254743</v>
      </c>
      <c r="C31" s="1097">
        <f>C32*1000000000/SUM(Gasoline!D36:D39)</f>
        <v>2.1998316373790416</v>
      </c>
      <c r="D31" s="1111">
        <f>D32*1000000000/SUM(Diesel!D36:D39)</f>
        <v>1.7456069433319399</v>
      </c>
      <c r="E31" s="1111">
        <f>E32*1000000000/SUM('Res dist'!D36:D39)</f>
        <v>1.8111233352634626</v>
      </c>
      <c r="F31" s="1111">
        <f>F32*1000000000/SUM('Com dist'!D36:D39)</f>
        <v>1.7184381463040981</v>
      </c>
      <c r="G31" s="1111">
        <f>G32*1000000000/SUM('Ind dist'!F36:F39)</f>
        <v>1.7326808851873217</v>
      </c>
      <c r="H31" s="1111">
        <f>H32*1000000000/SUM('LPG transport'!D36:D39)</f>
        <v>2</v>
      </c>
      <c r="I31" s="1111">
        <f>I32*1000000000/SUM('LPG Res'!D36:D39)</f>
        <v>2.25</v>
      </c>
      <c r="J31" s="1111">
        <f>SUMPRODUCT('LPG Comm'!D36:D39,'LPG Comm'!I36:I39)/SUM('LPG Comm'!D36:D39)</f>
        <v>2.25</v>
      </c>
      <c r="K31" s="1111">
        <f>SUMPRODUCT('LPG Ind'!E36:E39,'LPG Ind'!J36:J39)/SUMPRODUCT('LPG Ind'!E36:E39)</f>
        <v>1.75</v>
      </c>
      <c r="L31" s="1111">
        <f>SUM(Jet!AC36:AC39)/SUM(Jet!AB36:AB39)</f>
        <v>1.93</v>
      </c>
      <c r="M31" s="1111">
        <f>SUMPRODUCT('Kero-Res'!D36:D39,'Kero-Res'!H36:H39)/SUM('Kero-Res'!D36:D39)</f>
        <v>2.5</v>
      </c>
      <c r="N31" s="1111">
        <f>SUMPRODUCT('Kero-Comm'!D36:D39,'Kero-Comm'!H36:H39)/SUM('Kero-Comm'!D36:D39)</f>
        <v>2.5</v>
      </c>
      <c r="O31" s="1111">
        <f>SUMPRODUCT('Kero Ind'!E36:E39,'Kero Ind'!I36:I39)/SUM('Kero Ind'!E36:E39)</f>
        <v>2.5</v>
      </c>
      <c r="P31" s="1111">
        <f>SUMPRODUCT(HFO!F36:F39,HFO!J36:J39)/SUM(HFO!F36:F39)</f>
        <v>1.3066638066638065</v>
      </c>
      <c r="Q31" s="1111">
        <f>SUMPRODUCT('Other petroleum products'!E36:E39,'Other petroleum products'!I36:I39)/SUM('Other petroleum products'!E36:E39)</f>
        <v>2</v>
      </c>
      <c r="R31" s="1111"/>
      <c r="S31" s="1111">
        <f>SUMPRODUCT(Coal!Q36:Q39,Coal!U36:U39)/SUM(Coal!Q36:Q39)</f>
        <v>0.27229951410544156</v>
      </c>
      <c r="T31" s="1111">
        <f>SUMPRODUCT('NG transport'!D36:D39,'NG transport'!I36:I39)/SUM('NG transport'!D36:D39)</f>
        <v>1.4999999999999998</v>
      </c>
      <c r="U31" s="1111">
        <f>SUMPRODUCT('NG Res'!D36:D39,'NG Res'!I36:I39)/SUM('NG Res'!D36:D39)</f>
        <v>0.50408312749958073</v>
      </c>
      <c r="V31" s="1111">
        <f>SUMPRODUCT('NG Comm'!D36:D39,'NG Comm'!I36:I39)/SUM('NG Comm'!D36:D39)</f>
        <v>0.69724629479292932</v>
      </c>
      <c r="W31" s="1111">
        <f>SUMPRODUCT('NG Ind'!I36:I39,'NG Ind'!N36:N39)/SUM('NG Ind'!I36:I39)</f>
        <v>0.86567769161794939</v>
      </c>
      <c r="X31" s="1111">
        <f>SUM('Electricity - Res'!P36:P39)/SUM('Electricity - Res'!K36:K39)</f>
        <v>5.3678971952484371</v>
      </c>
      <c r="Y31" s="1111">
        <f>SUMPRODUCT('Electricity-Com'!K36:K39,'Electricity-Com'!O36:O39)/SUM('Electricity-Com'!K36:K39)</f>
        <v>5.1061373664961991</v>
      </c>
      <c r="Z31" s="1276">
        <f>SUM('Electricity - Ind'!P36:P39)/SUM('Electricity - Ind'!K36:K40)</f>
        <v>3.3401861300421087</v>
      </c>
      <c r="AA31" s="1273">
        <f>SUM(C31:R31)</f>
        <v>30.19434475412967</v>
      </c>
      <c r="AB31" s="1274">
        <f>SUM(S31:V31)</f>
        <v>2.9736289363979518</v>
      </c>
      <c r="AC31" s="1274">
        <f>W31</f>
        <v>0.86567769161794939</v>
      </c>
      <c r="AD31" s="1275">
        <f>SUM(X31:Z31)</f>
        <v>13.814220691786744</v>
      </c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  <c r="AO31" s="375"/>
      <c r="AP31" s="375"/>
      <c r="AQ31" s="375"/>
      <c r="AR31" s="375"/>
      <c r="AS31" s="375"/>
    </row>
    <row r="32" spans="1:102" s="274" customFormat="1" x14ac:dyDescent="0.6">
      <c r="A32" s="227" t="s">
        <v>1073</v>
      </c>
      <c r="B32" s="377">
        <f>SUM(C32:Z32)</f>
        <v>1468.1458653137306</v>
      </c>
      <c r="C32" s="353">
        <f>SUMPRODUCT(Gasoline!D36:D39,Gasoline!H36:H39)/1000000000</f>
        <v>129.83642551885393</v>
      </c>
      <c r="D32" s="1111">
        <f>SUMPRODUCT(Diesel!H36:H39,Diesel!D36:D39)/1000000000</f>
        <v>124.21353557789712</v>
      </c>
      <c r="E32" s="279">
        <f>SUMPRODUCT('Res dist'!D36:D39,'Res dist'!H36:H39)/1000000000</f>
        <v>3.9200217167999996</v>
      </c>
      <c r="F32" s="279">
        <f>SUMPRODUCT('Com dist'!D36:D39,'Com dist'!H36:H39)/1000000000</f>
        <v>7.0290866771999996</v>
      </c>
      <c r="G32" s="279">
        <f>SUMPRODUCT('Ind dist'!J36:J39,'Ind dist'!F36:F39)/1000000000</f>
        <v>38.588707390800003</v>
      </c>
      <c r="H32" s="279">
        <f>SUMPRODUCT('LPG transport'!I36:I39,'LPG transport'!D36:D39)/1000000000</f>
        <v>1.5405264000000001</v>
      </c>
      <c r="I32" s="279">
        <f>SUMPRODUCT('LPG Res'!D36:D39,'LPG Res'!I36:I39)/1000000000</f>
        <v>59.376769199999998</v>
      </c>
      <c r="J32" s="279">
        <f>SUMPRODUCT('LPG Comm'!D36:D39,'LPG Comm'!I36:I39)/1000000000</f>
        <v>4.5996551999999999</v>
      </c>
      <c r="K32" s="279">
        <f>SUMPRODUCT('LPG Ind'!E36:E39,'LPG Ind'!J36:J39)/1000000000</f>
        <v>13.3960512</v>
      </c>
      <c r="L32" s="279">
        <f>SUM(Jet!AC36:AC39)/1000000000</f>
        <v>29.891181406799998</v>
      </c>
      <c r="M32" s="279">
        <f>SUMPRODUCT('Kero-Res'!D36:D39,'Kero-Res'!H36:H39)/1000000000</f>
        <v>5.6344742999999999</v>
      </c>
      <c r="N32" s="279">
        <f>N31*N30</f>
        <v>0.82707134999999998</v>
      </c>
      <c r="O32" s="279">
        <f>O31*O30</f>
        <v>0.35712599999999994</v>
      </c>
      <c r="P32" s="279">
        <f>SUMPRODUCT(HFO!F36:F39,HFO!J36:J39)/1000000000</f>
        <v>17.156569999999999</v>
      </c>
      <c r="Q32" s="279">
        <f>SUMPRODUCT('Other petroleum products'!E36:E39,'Other petroleum products'!I36:I39)/1000000000</f>
        <v>69.182856000000001</v>
      </c>
      <c r="R32" s="279"/>
      <c r="S32" s="279">
        <f>SUMPRODUCT(Coal!Q36:Q39,Coal!U36:U39)/1000000000</f>
        <v>258.84014140006803</v>
      </c>
      <c r="T32" s="279">
        <f>SUMPRODUCT('NG transport'!D36:D39,'NG transport'!I36:I39)/1000000000</f>
        <v>25.597859744990895</v>
      </c>
      <c r="U32" s="279">
        <f>SUMPRODUCT('NG Res'!D36:D39,'NG Res'!I36:I39)/1000000000</f>
        <v>13.06964436407848</v>
      </c>
      <c r="V32" s="279">
        <f>SUMPRODUCT('NG Comm'!D36:D39,'NG Comm'!I36:I39)/1000000000</f>
        <v>3.2507838465039471</v>
      </c>
      <c r="W32" s="279">
        <f>SUMPRODUCT('NG Ind'!I36:I39,'NG Ind'!N36:N39)/1000000000</f>
        <v>113.17770011736901</v>
      </c>
      <c r="X32" s="279">
        <f>SUM('Electricity - Res'!P36:P39)/1000000000</f>
        <v>137.15440387800899</v>
      </c>
      <c r="Y32" s="279">
        <f>SUM('Electricity-Com'!P36:P39)/1000000000</f>
        <v>67.849861085726332</v>
      </c>
      <c r="Z32" s="566">
        <f>SUM('Electricity - Ind'!P36:P39)/1000000000</f>
        <v>343.65541293863373</v>
      </c>
      <c r="AA32" s="562">
        <f>SUM(C32:R32)</f>
        <v>505.55005793835096</v>
      </c>
      <c r="AB32" s="552">
        <f>SUM(S32:V32)</f>
        <v>300.7584293556414</v>
      </c>
      <c r="AC32" s="552">
        <f>W32</f>
        <v>113.17770011736901</v>
      </c>
      <c r="AD32" s="557">
        <f>SUM(X32:Z32)</f>
        <v>548.65967790236903</v>
      </c>
    </row>
    <row r="33" spans="1:102" s="1127" customFormat="1" x14ac:dyDescent="0.6">
      <c r="A33" s="1095" t="s">
        <v>1076</v>
      </c>
      <c r="B33" s="1125"/>
      <c r="C33" s="1124">
        <f>SUMPRODUCT(Gasoline!J36:J39,Gasoline!D36:D39)/SUM(Gasoline!D36:D39)</f>
        <v>1.0046031661757573</v>
      </c>
      <c r="D33" s="1124">
        <f>SUMPRODUCT(Diesel!J36:J39,Diesel!D36:D39)/SUM(Diesel!D36:D39)</f>
        <v>0.63491616843328114</v>
      </c>
      <c r="E33" s="1126">
        <f>SUMPRODUCT('Res dist'!J36:J39,'Res dist'!D36:D39)/SUM('Res dist'!D36:D39)</f>
        <v>0</v>
      </c>
      <c r="F33" s="1124">
        <f>SUMPRODUCT('Com dist'!D36:D39,'Com dist'!J36:J39)/SUM('Com dist'!D36:D39)</f>
        <v>0.59711893429929275</v>
      </c>
      <c r="G33" s="1124">
        <f>SUMPRODUCT('Ind dist'!L36:L39,'Ind dist'!F36:F39)/SUM('Ind dist'!F36:F39)</f>
        <v>0.59922471719339787</v>
      </c>
      <c r="H33" s="1124">
        <f>SUMPRODUCT('LPG transport'!D36:D39,'LPG transport'!K36:K39)/SUM('LPG transport'!D36:D39)</f>
        <v>0.43824273388235296</v>
      </c>
      <c r="I33" s="1126">
        <f>SUMPRODUCT('LPG Res'!K36:K39,'LPG Res'!D36:D39)/SUM('LPG Res'!D36:D39)</f>
        <v>0</v>
      </c>
      <c r="J33" s="1124">
        <f>SUMPRODUCT('LPG Comm'!D36:D39,'LPG Comm'!K36:K39)/SUM('LPG Comm'!D36:D39)</f>
        <v>0.17641269780743579</v>
      </c>
      <c r="K33" s="1124">
        <f>SUMPRODUCT('LPG Ind'!E36:E39,'LPG Ind'!L36:L39)/SUM('LPG Ind'!E36:E39)</f>
        <v>2.007348014256622E-2</v>
      </c>
      <c r="L33" s="1124">
        <f>SUMPRODUCT(Jet!D36:D39,Jet!J36:J39)/SUM(Jet!D36:D39)</f>
        <v>0.45946032004089699</v>
      </c>
      <c r="M33" s="1124">
        <f>SUMPRODUCT('Kero-Res'!D36:D39,'Kero-Res'!J36:J39)/SUM('Kero-Res'!D36:D39)</f>
        <v>2.9043902739842697E-2</v>
      </c>
      <c r="N33" s="1124">
        <f>SUMPRODUCT('Kero-Comm'!D36:D39,'Kero-Comm'!J36:J39)/SUM('Kero-Comm'!D36:D39)</f>
        <v>0.64934541998620221</v>
      </c>
      <c r="O33" s="1124">
        <f>SUMPRODUCT('Kero Ind'!E36:E39,'Kero Ind'!K36:K39)/SUM('Kero Ind'!E36:E39)</f>
        <v>0.50862352093764551</v>
      </c>
      <c r="P33" s="1124">
        <f>SUMPRODUCT(HFO!L36:L39,HFO!F36:F39)/SUM(HFO!F36:F39)</f>
        <v>0.32950088009218814</v>
      </c>
      <c r="Q33" s="1124">
        <f>SUMPRODUCT('Other petroleum products'!K36:K39,'Other petroleum products'!E36:E39)/SUM('Other petroleum products'!E36:E39)</f>
        <v>2.9166923695691889E-3</v>
      </c>
      <c r="R33" s="1124"/>
      <c r="S33" s="1283">
        <f>SUMPRODUCT(Coal!Q36:Q39,Coal!W36:W39)/SUM(Coal!Q36:Q39)</f>
        <v>8.6567486566530398E-3</v>
      </c>
      <c r="T33" s="1283">
        <f>SUMPRODUCT('NG Res'!J36:J39,'NG Res'!C36:C39)/SUM('NG Res'!C36:C39)</f>
        <v>0</v>
      </c>
      <c r="U33" s="1283">
        <f>SUMPRODUCT('NG Res'!D36:D39,'NG Res'!K36:K39)/SUM('NG Res'!D36:D39)</f>
        <v>0</v>
      </c>
      <c r="V33" s="1283"/>
      <c r="W33" s="1283">
        <f>SUMPRODUCT('NG Ind'!P36:P39,'NG Ind'!I36:I39)/SUM('NG Ind'!I36:I39)</f>
        <v>1.276100909417332E-2</v>
      </c>
      <c r="X33" s="1277">
        <f>SUMPRODUCT('Electricity - Res'!K36:K39,'Electricity - Res'!R36:R39)/SUM('Electricity - Res'!K36:K39)</f>
        <v>0</v>
      </c>
      <c r="Y33" s="1277">
        <f>SUMPRODUCT('Electricity-Com'!K36:K39,'Electricity-Com'!R36:R39)/SUM('Electricity-Com'!K36:K39)</f>
        <v>0</v>
      </c>
      <c r="Z33" s="1278">
        <f>SUMPRODUCT('Electricity - Ind'!K36:K39,'Electricity - Ind'!R36:R39)/SUM('Electricity - Ind'!K36:K39)</f>
        <v>0</v>
      </c>
      <c r="AA33" s="1279"/>
      <c r="AB33" s="1280"/>
      <c r="AC33" s="1280"/>
      <c r="AD33" s="1281"/>
      <c r="AE33" s="1282"/>
      <c r="AF33" s="1282"/>
      <c r="AG33" s="1282"/>
      <c r="AH33" s="1282"/>
      <c r="AI33" s="1282"/>
      <c r="AJ33" s="1282"/>
      <c r="AK33" s="1282"/>
      <c r="AL33" s="1282"/>
      <c r="AM33" s="1282"/>
      <c r="AN33" s="1282"/>
      <c r="AO33" s="1282"/>
      <c r="AP33" s="1282"/>
      <c r="AQ33" s="1282"/>
      <c r="AR33" s="1282"/>
      <c r="AS33" s="1282"/>
      <c r="AT33" s="1282"/>
    </row>
    <row r="34" spans="1:102" x14ac:dyDescent="0.6">
      <c r="A34" s="1" t="s">
        <v>1077</v>
      </c>
      <c r="B34" s="379"/>
      <c r="C34" s="294">
        <f>SUMPRODUCT(Gasoline!D36:D39,Gasoline!M36:M39)/SUM(Gasoline!D36:D39)</f>
        <v>0.18602045335351514</v>
      </c>
      <c r="D34" s="281">
        <f>SUMPRODUCT(Diesel!M36:M39,Diesel!D36:D39)/SUM(Diesel!D36:D39)</f>
        <v>0.12210239316378878</v>
      </c>
      <c r="E34" s="280">
        <f>SUMPRODUCT('Res dist'!M36:M39,'Res dist'!D36:D39)/SUM('Res dist'!D36:D39)</f>
        <v>0</v>
      </c>
      <c r="F34" s="281">
        <f>SUMPRODUCT('Com dist'!D36:D39,'Com dist'!M36:M39)/SUM('Com dist'!D36:D39)</f>
        <v>0.10151021883087978</v>
      </c>
      <c r="G34" s="280">
        <f>SUMPRODUCT('Ind dist'!O36:O39,'Ind dist'!F36:F39)/SUM('Ind dist'!F36:F39)</f>
        <v>0</v>
      </c>
      <c r="H34" s="281">
        <f>SUMPRODUCT('LPG transport'!N36:N39,'LPG transport'!D36:D39)/SUM('LPG transport'!D36:D39)</f>
        <v>7.4501264760000005E-2</v>
      </c>
      <c r="I34" s="280">
        <f>SUMPRODUCT('LPG Res'!N36:N39,'LPG Res'!D36:D39)/SUM('LPG Res'!D36:D39)</f>
        <v>0</v>
      </c>
      <c r="J34" s="281">
        <f>SUMPRODUCT('LPG Comm'!D36:D39,'LPG Comm'!N36:N39)/SUM('LPG Comm'!D36:D39)</f>
        <v>4.4103174451858948E-2</v>
      </c>
      <c r="K34" s="280">
        <f>SUMPRODUCT('LPG Ind'!E36:E39,'LPG Ind'!O36:O39)/SUM('LPG Ind'!E36:E39)</f>
        <v>0</v>
      </c>
      <c r="L34" s="280">
        <f>SUMPRODUCT(Jet!D36:D39,Jet!M36:M39)/SUM(Jet!D36:D39)</f>
        <v>0</v>
      </c>
      <c r="M34" s="280">
        <f>SUMPRODUCT('Kero-Res'!D36:D39,'Kero-Res'!M36:M39)/SUM('Kero-Res'!D36:D39)</f>
        <v>4.9374634657732589E-3</v>
      </c>
      <c r="N34" s="280">
        <f>SUMPRODUCT('Kero-Comm'!D36:D39,'Kero-Comm'!M36:M39)/SUM('Kero-Comm'!D36:D39)</f>
        <v>0.11038872139765438</v>
      </c>
      <c r="O34" s="280"/>
      <c r="P34" s="280"/>
      <c r="Q34" s="280"/>
      <c r="R34" s="280"/>
      <c r="S34" s="280"/>
      <c r="T34" s="280"/>
      <c r="U34" s="280">
        <f>SUMPRODUCT('NG Res'!D36:D39,'NG Res'!N36:N39)/SUM('NG Res'!D36:D39)</f>
        <v>0</v>
      </c>
      <c r="V34" s="280"/>
      <c r="W34" s="280"/>
      <c r="X34" s="280">
        <f>SUMPRODUCT('Electricity - Res'!K36:K39,'Electricity - Res'!U36:U39)/SUM('Electricity - Res'!K36:K39)</f>
        <v>0</v>
      </c>
      <c r="Y34" s="280">
        <f>SUMPRODUCT('Electricity-Com'!K36:K39,'Electricity-Com'!U36:U39)/SUM('Electricity-Com'!K36:K39)</f>
        <v>0</v>
      </c>
      <c r="Z34" s="502">
        <f>SUMPRODUCT('Electricity - Ind'!K36:K39,'Electricity - Ind'!U36:U39)/SUM('Electricity - Ind'!K36:K39)</f>
        <v>0</v>
      </c>
      <c r="AA34" s="563">
        <f>SUM(C34:R34)</f>
        <v>0.64356368942347042</v>
      </c>
      <c r="AB34" s="553">
        <f>SUM(S34:V34)</f>
        <v>0</v>
      </c>
      <c r="AC34" s="553">
        <f>W34</f>
        <v>0</v>
      </c>
      <c r="AD34" s="558">
        <f>SUM(X34:Z34)</f>
        <v>0</v>
      </c>
    </row>
    <row r="35" spans="1:102" x14ac:dyDescent="0.6">
      <c r="A35" s="1" t="s">
        <v>1083</v>
      </c>
      <c r="B35" s="379"/>
      <c r="C35" s="294">
        <f>SUMPRODUCT(Gasoline!L36:L39,Gasoline!D36:D39)/SUM(Gasoline!D36:D39)</f>
        <v>0.39848770735389788</v>
      </c>
      <c r="D35" s="281">
        <f>SUMPRODUCT(Diesel!L36:L39,Diesel!D36:D39)/SUM(Diesel!D36:D39)</f>
        <v>0.33553817248207962</v>
      </c>
      <c r="E35" s="281">
        <f>SUMPRODUCT('Res dist'!L36:L39,'Res dist'!D36:D39)/SUM('Res dist'!D36:D39)</f>
        <v>0.31431518529241464</v>
      </c>
      <c r="F35" s="280">
        <f>SUMPRODUCT('Com dist'!D36:D39,'Com dist'!L36:L39)/SUM('Com dist'!D36:D39)</f>
        <v>0.29528344695518954</v>
      </c>
      <c r="G35" s="280">
        <f>SUMPRODUCT('Ind dist'!N36:N39,'Ind dist'!F36:F39)/SUM('Ind dist'!F36:F39)</f>
        <v>0</v>
      </c>
      <c r="H35" s="281">
        <f>SUMPRODUCT('LPG transport'!M36:M39,'LPG transport'!D36:D39)/SUM('LPG transport'!D36:D39)</f>
        <v>0.36258064516129035</v>
      </c>
      <c r="I35" s="281">
        <f>SUMPRODUCT('LPG Res'!D36:D39,'LPG Res'!M36:M39)/SUM('LPG Res'!D36:D39)</f>
        <v>0.44681894546394418</v>
      </c>
      <c r="J35" s="281">
        <f>SUMPRODUCT('LPG Comm'!D36:D39,'LPG Comm'!M36:M39)/SUM('LPG Comm'!D36:D39)</f>
        <v>0.45369995233555765</v>
      </c>
      <c r="K35" s="280">
        <f>SUMPRODUCT('LPG Ind'!E36:E39,'LPG Ind'!O36:O39)/SUM('LPG Ind'!E36:E39)</f>
        <v>0</v>
      </c>
      <c r="L35" s="280">
        <f>SUMPRODUCT(Jet!D36:D39,Jet!L36:L39)/SUM(Jet!D36:D39)</f>
        <v>0</v>
      </c>
      <c r="M35" s="280">
        <f>SUMPRODUCT('Kero-Res'!D36:D39,'Kero-Res'!L36:L39)/SUM('Kero-Res'!D36:D39)</f>
        <v>0.6165730337078652</v>
      </c>
      <c r="N35" s="280">
        <f>SUMPRODUCT('Kero-Comm'!D36:D39,'Kero-Comm'!L36:L39)/SUM('Kero-Comm'!D36:D39)</f>
        <v>0.43756133464180569</v>
      </c>
      <c r="O35" s="280">
        <v>0</v>
      </c>
      <c r="P35" s="280"/>
      <c r="Q35" s="280"/>
      <c r="R35" s="280"/>
      <c r="S35" s="280"/>
      <c r="T35" s="280"/>
      <c r="U35" s="281">
        <f>SUMPRODUCT('NG Res'!D36:D39,'NG Res'!M36:M39)/SUM('NG Res'!D36:D39)</f>
        <v>7.5011875125227015E-2</v>
      </c>
      <c r="V35" s="281">
        <f>SUMPRODUCT('NG Comm'!D36:D39,'NG Comm'!M36:M39)/SUM('NG Comm'!D36:D39)</f>
        <v>8.3534259664136662E-2</v>
      </c>
      <c r="W35" s="280"/>
      <c r="X35" s="281">
        <f>SUMPRODUCT('Electricity - Res'!K36:K39,'Electricity - Res'!T36:T39)/SUM('Electricity - Res'!K36:K39)</f>
        <v>6.467444380699057E-2</v>
      </c>
      <c r="Y35" s="281">
        <f>SUMPRODUCT('Electricity-Com'!K36:K39,'Electricity-Com'!T36:T39)/SUM('Electricity-Com'!K36:K39)</f>
        <v>0.12914163773937248</v>
      </c>
      <c r="Z35" s="502">
        <f>SUMPRODUCT('Electricity - Ind'!K36:K39,'Electricity - Ind'!T36:T39)/SUM('Electricity - Ind'!K36:K39)</f>
        <v>0</v>
      </c>
      <c r="AA35" s="563">
        <f>SUM(C35:R35)</f>
        <v>3.6608584233940444</v>
      </c>
      <c r="AB35" s="553">
        <f>SUM(S35:V35)</f>
        <v>0.15854613478936369</v>
      </c>
      <c r="AC35" s="553">
        <f>W35</f>
        <v>0</v>
      </c>
      <c r="AD35" s="558">
        <f>SUM(X35:Z35)</f>
        <v>0.19381608154636304</v>
      </c>
    </row>
    <row r="36" spans="1:102" x14ac:dyDescent="0.6">
      <c r="A36" s="1" t="s">
        <v>1740</v>
      </c>
      <c r="B36" s="377">
        <f t="shared" ref="B36:B41" si="11">SUM(C36:Z36)</f>
        <v>229.834112153056</v>
      </c>
      <c r="C36" s="354">
        <f>SUM(Gasoline!Q36:Q39)/1000000000</f>
        <v>93.791056973731116</v>
      </c>
      <c r="D36" s="280">
        <f>SUM(Diesel!Q36:Q39)/1000000000</f>
        <v>77.74392470069661</v>
      </c>
      <c r="E36" s="280">
        <f>SUM('Res dist'!Q36:Q39)/1000000000</f>
        <v>0.6803083634760001</v>
      </c>
      <c r="F36" s="280">
        <f>SUM('Com dist'!Q36:Q39)/1000000000</f>
        <v>4.0654927444359252</v>
      </c>
      <c r="G36" s="280">
        <f>SUM('Ind dist'!S36:S39)/1000000000</f>
        <v>13.34539295192319</v>
      </c>
      <c r="H36" s="280">
        <f>SUM('LPG transport'!R36:R39)/1000000000</f>
        <v>0.67423036117505442</v>
      </c>
      <c r="I36" s="280">
        <f>SUM('LPG Res'!R36:R39)/1000000000</f>
        <v>11.791406844000001</v>
      </c>
      <c r="J36" s="280">
        <f>SUM('LPG Comm'!R36:R39)/1000000000</f>
        <v>1.3782934771200004</v>
      </c>
      <c r="K36" s="280">
        <f>SUM('LPG Ind'!S36:S39)/1000000000</f>
        <v>0.15366021014400022</v>
      </c>
      <c r="L36" s="280">
        <f>SUM(Jet!Q36:Q39)/1000000000</f>
        <v>4.2480532323927154</v>
      </c>
      <c r="M36" s="280">
        <f>SUM('Kero-Res'!Q36:Q39)/1000000000</f>
        <v>1.4662128188257728</v>
      </c>
      <c r="N36" s="280">
        <f>SUM('Kero-Comm'!Q36:Q39)/1000000000</f>
        <v>0.39609951428217482</v>
      </c>
      <c r="O36" s="280">
        <f>SUM('Kero Ind'!R36:R39)/1000000000</f>
        <v>7.2657073415351034E-2</v>
      </c>
      <c r="P36" s="280">
        <f>SUM(HFO!S36:S39)/1000000000</f>
        <v>4.3263652712604195</v>
      </c>
      <c r="Q36" s="280">
        <f>SUM('Other petroleum products'!R36:R39)/1000000000</f>
        <v>0.10089255410010199</v>
      </c>
      <c r="R36" s="280"/>
      <c r="S36" s="280">
        <f>SUM(Coal!AD36:AD39)/1000000000</f>
        <v>8.2288580415360482</v>
      </c>
      <c r="T36" s="280"/>
      <c r="U36" s="280">
        <f>SUM('NG Res'!R36:R39)/1000000000</f>
        <v>1.9448747190416471</v>
      </c>
      <c r="V36" s="280">
        <f>SUM('NG Comm'!R36:R39)/1000000000</f>
        <v>0.38946326997189445</v>
      </c>
      <c r="W36" s="280">
        <f>SUM('NG Ind'!W36:W39)/1000000000</f>
        <v>1.6683595689708091</v>
      </c>
      <c r="X36" s="280">
        <f>SUM('Electricity - Res'!Y36:Y39)/1000000000</f>
        <v>1.6524878297485808</v>
      </c>
      <c r="Y36" s="280">
        <f>SUM('Electricity-Com'!Y36:Y39)/1000000000</f>
        <v>1.7160216328085616</v>
      </c>
      <c r="Z36" s="502">
        <f>SUM('Electricity - Ind'!Y36:Y39)/1000000000</f>
        <v>0</v>
      </c>
      <c r="AA36" s="563">
        <f>SUM(C36:R36)</f>
        <v>214.23404709097846</v>
      </c>
      <c r="AB36" s="553">
        <f>SUM(S36:V36)</f>
        <v>10.563196030549591</v>
      </c>
      <c r="AC36" s="553">
        <f>W36</f>
        <v>1.6683595689708091</v>
      </c>
      <c r="AD36" s="558">
        <f>SUM(X36:Z36)</f>
        <v>3.3685094625571423</v>
      </c>
    </row>
    <row r="37" spans="1:102" x14ac:dyDescent="0.6">
      <c r="A37" s="1" t="s">
        <v>1078</v>
      </c>
      <c r="B37" s="377">
        <f t="shared" si="11"/>
        <v>69.969675480789007</v>
      </c>
      <c r="C37" s="354">
        <f>SUM(Gasoline!O36:O39)/1000000000</f>
        <v>23.519172402518947</v>
      </c>
      <c r="D37" s="280">
        <f>SUM(Diesel!O36:O39)/1000000000</f>
        <v>23.876155445275362</v>
      </c>
      <c r="E37" s="280">
        <f>SUM('Res dist'!O36:O39)/1000000000</f>
        <v>0.6803083634760001</v>
      </c>
      <c r="F37" s="280">
        <f>SUM('Com dist'!O36:O39)/1000000000</f>
        <v>1.2078252263279998</v>
      </c>
      <c r="G37" s="281">
        <f>SUM('Ind dist'!Q36:Q39)/1000000000</f>
        <v>0</v>
      </c>
      <c r="H37" s="280">
        <f>SUM('LPG transport'!P36:P39)/1000000000</f>
        <v>0.27928252799999997</v>
      </c>
      <c r="I37" s="280">
        <f>SUM('LPG Res'!P36:P39)/1000000000</f>
        <v>11.791406844000001</v>
      </c>
      <c r="J37" s="280">
        <f>SUM('LPG Comm'!R36:R39)/1000000000</f>
        <v>1.3782934771200004</v>
      </c>
      <c r="K37" s="281">
        <f>SUM('LPG Ind'!Q36:Q39)/1000000000</f>
        <v>0</v>
      </c>
      <c r="L37" s="281">
        <f>SUM(Jet!O36:O39)/1000000000</f>
        <v>0</v>
      </c>
      <c r="M37" s="280">
        <f>SUM('Kero-Res'!O36:O39)/1000000000</f>
        <v>1.389625965</v>
      </c>
      <c r="N37" s="280">
        <f>SUM('Kero-Comm'!O36:O39)/1000000000</f>
        <v>0.14475777749999999</v>
      </c>
      <c r="O37" s="280">
        <f>SUM('Kero Ind'!P36+'Kero Ind'!P36:P39)/1000000000</f>
        <v>0</v>
      </c>
      <c r="P37" s="280"/>
      <c r="Q37" s="280"/>
      <c r="R37" s="280"/>
      <c r="S37" s="280"/>
      <c r="T37" s="280"/>
      <c r="U37" s="280">
        <f>SUM('NG Res'!P36:P39)/1000000000</f>
        <v>1.9448747190416471</v>
      </c>
      <c r="V37" s="280">
        <f>SUM('NG Comm'!R36:R39)/1000000000</f>
        <v>0.38946326997189445</v>
      </c>
      <c r="W37" s="280">
        <f>SUM('NG Ind'!U36:U39)/1000000000</f>
        <v>0</v>
      </c>
      <c r="X37" s="280">
        <f>SUM('Electricity - Res'!W36:W39)/1000000000</f>
        <v>1.6524878297485808</v>
      </c>
      <c r="Y37" s="280">
        <f>SUM('Electricity-Com'!W36:W39)/1000000000</f>
        <v>1.7160216328085616</v>
      </c>
      <c r="Z37" s="502">
        <f>SUM('Electricity - Ind'!W36:W39)/1000000000</f>
        <v>0</v>
      </c>
      <c r="AA37" s="565"/>
      <c r="AB37" s="555"/>
      <c r="AC37" s="555"/>
      <c r="AD37" s="560"/>
    </row>
    <row r="38" spans="1:102" s="85" customFormat="1" x14ac:dyDescent="0.6">
      <c r="A38" s="85" t="s">
        <v>1079</v>
      </c>
      <c r="B38" s="1588">
        <f t="shared" si="11"/>
        <v>160.31523532938701</v>
      </c>
      <c r="C38" s="536">
        <f>SUM(Gasoline!S36:S39)/1000000000</f>
        <v>70.271884571212169</v>
      </c>
      <c r="D38" s="537">
        <f>SUM(Diesel!S36:S39)/1000000000</f>
        <v>53.867769255421258</v>
      </c>
      <c r="E38" s="537">
        <f>SUM('Res dist'!S36:S39)/1000000000</f>
        <v>0</v>
      </c>
      <c r="F38" s="537">
        <f>SUM('Com dist'!S36:S39)/1000000000</f>
        <v>2.8576675181079247</v>
      </c>
      <c r="G38" s="537">
        <f>SUM('Ind dist'!U36:U39)/1000000000</f>
        <v>13.34539295192319</v>
      </c>
      <c r="H38" s="537">
        <f>SUM('LPG transport'!T36:T39)/1000000000</f>
        <v>0.39494783317505444</v>
      </c>
      <c r="I38" s="537">
        <f>SUM('LPG Res'!T36:T39)/1000000000</f>
        <v>0</v>
      </c>
      <c r="J38" s="537">
        <f>SUM('LPG Comm'!T36:T39)/1000000000</f>
        <v>0.45079865712000039</v>
      </c>
      <c r="K38" s="537">
        <f>SUM('LPG Ind'!U36:U39)/1000000000</f>
        <v>0.15366021014400022</v>
      </c>
      <c r="L38" s="537">
        <f>SUM(Jet!S36:S39)/1000000000</f>
        <v>4.2480532323927154</v>
      </c>
      <c r="M38" s="537">
        <f>SUM('Kero-Res'!S36:S39)/1000000000</f>
        <v>7.6586853825772641E-2</v>
      </c>
      <c r="N38" s="537">
        <f>SUM('Kero-Comm'!V36:V39)/1000000000</f>
        <v>0.25134173678217481</v>
      </c>
      <c r="O38" s="537">
        <f>SUM('Kero Ind'!T36:T39)/1000000000</f>
        <v>7.2657073415351034E-2</v>
      </c>
      <c r="P38" s="537">
        <f>SUM(HFO!U36:U39)/1000000000</f>
        <v>4.3263652712604195</v>
      </c>
      <c r="Q38" s="537">
        <f>SUM('Other petroleum products'!T36:T39)/1000000000</f>
        <v>0.10089255410010199</v>
      </c>
      <c r="R38" s="537">
        <f>SUM(Crude!R36:R39)/1000000000</f>
        <v>0</v>
      </c>
      <c r="S38" s="537">
        <f>S36</f>
        <v>8.2288580415360482</v>
      </c>
      <c r="T38" s="537"/>
      <c r="U38" s="537">
        <f>SUM('NG Res'!T36:T39)/1000000000</f>
        <v>0</v>
      </c>
      <c r="V38" s="537">
        <f>SUM('NG Comm'!T36:T39)/1000000000</f>
        <v>0</v>
      </c>
      <c r="W38" s="537">
        <f>SUM('NG Ind'!Y36:Y39)/1000000000</f>
        <v>1.6683595689708091</v>
      </c>
      <c r="X38" s="537">
        <f>SUM('Electricity - Res'!AA36:AA39)/1000000000</f>
        <v>0</v>
      </c>
      <c r="Y38" s="537">
        <f>SUM('Electricity-Com'!AA36:AA39)/1000000000</f>
        <v>0</v>
      </c>
      <c r="Z38" s="1589">
        <f>SUM('Electricity - Ind'!AA36:AA39)/1000000000</f>
        <v>0</v>
      </c>
      <c r="AA38" s="1608">
        <f>SUM(C38:R38)</f>
        <v>150.41801771888015</v>
      </c>
      <c r="AB38" s="1609">
        <f>SUM(S38:V38)</f>
        <v>8.2288580415360482</v>
      </c>
      <c r="AC38" s="1609">
        <f>W38</f>
        <v>1.6683595689708091</v>
      </c>
      <c r="AD38" s="1610">
        <f>SUM(X38:Z38)</f>
        <v>0</v>
      </c>
    </row>
    <row r="39" spans="1:102" s="78" customFormat="1" x14ac:dyDescent="0.6">
      <c r="A39" s="78" t="s">
        <v>1080</v>
      </c>
      <c r="B39" s="1601">
        <f t="shared" si="11"/>
        <v>-56.488079306311306</v>
      </c>
      <c r="C39" s="1602">
        <f>SUM(Gasoline!U36:U39)/1000000000</f>
        <v>-7.1427388646394174</v>
      </c>
      <c r="D39" s="1603">
        <f>SUM(Diesel!U36:U39)/1000000000</f>
        <v>-28.395525625557106</v>
      </c>
      <c r="E39" s="1603">
        <f>SUM('Res dist'!U36:U39)/1000000000</f>
        <v>0</v>
      </c>
      <c r="F39" s="1603">
        <f>SUM('Com dist'!U36:U39)/1000000000</f>
        <v>0</v>
      </c>
      <c r="G39" s="1603">
        <f>SUM('Ind dist'!W36:W39)/1000000000</f>
        <v>-1.218886585175754</v>
      </c>
      <c r="H39" s="1603">
        <f>SUM('LPG transport'!V36:V39)/1000000000</f>
        <v>-0.17202553582499999</v>
      </c>
      <c r="I39" s="1603">
        <f>SUM('LPG Res'!V36:V39)/1000000000</f>
        <v>-0.17459894952500002</v>
      </c>
      <c r="J39" s="1603">
        <f>SUM('LPG Comm'!V36:V39)/1000000000</f>
        <v>-0.17202553582499999</v>
      </c>
      <c r="K39" s="1603">
        <f>SUM('LPG Ind'!W36:W39)/1000000000</f>
        <v>-2.4986935610327019</v>
      </c>
      <c r="L39" s="1603">
        <f>SUM(Jet!U36:U39)/1000000000</f>
        <v>-3.0260281451828788</v>
      </c>
      <c r="M39" s="1603">
        <f>SUM('Kero-Res'!U36:U39)/1000000000</f>
        <v>-1.7094107030000001</v>
      </c>
      <c r="N39" s="1603">
        <f>SUM('Kero-Comm'!U36:U39)/1000000000</f>
        <v>0</v>
      </c>
      <c r="O39" s="1603">
        <f>SUM('Kero Ind'!V36:V39)/1000000000</f>
        <v>0</v>
      </c>
      <c r="P39" s="1603">
        <f>SUM(HFO!W36:W39)/1000000000</f>
        <v>-1.5271746652206E-2</v>
      </c>
      <c r="Q39" s="1603">
        <f>SUM('Other petroleum products'!V36:V39)/1000000000</f>
        <v>-0.10089255410010201</v>
      </c>
      <c r="R39" s="1603">
        <f>SUM(Crude!T36:T39)/1000000000</f>
        <v>-7.4662887222552046</v>
      </c>
      <c r="S39" s="1603">
        <f>SUM(Coal!AF36:AF39)/1000000000</f>
        <v>-0.41233238177485504</v>
      </c>
      <c r="T39" s="1603">
        <f>SUM('NG transport'!V36:V39)/1000000000</f>
        <v>0</v>
      </c>
      <c r="U39" s="1603">
        <f>SUM('NG Res'!V36:V39)/1000000000</f>
        <v>-0.31987719919392904</v>
      </c>
      <c r="V39" s="1603">
        <f>SUM('NG Comm'!V36:V39)/1000000000</f>
        <v>0</v>
      </c>
      <c r="W39" s="1603">
        <f>SUM('NG Ind'!AA36:AA39)/1000000000</f>
        <v>-3.6634831965721482</v>
      </c>
      <c r="X39" s="1603">
        <f>SUM('Electricity - Res'!AC36:AC39)/1000000000</f>
        <v>0</v>
      </c>
      <c r="Y39" s="1603">
        <f>SUM('Electricity-Com'!AC36:AC39)/1000000000</f>
        <v>0</v>
      </c>
      <c r="Z39" s="1604">
        <f>SUM('Electricity - Ind'!AC36:AC39)/1000000000</f>
        <v>0</v>
      </c>
      <c r="AA39" s="1605">
        <f>SUM(C39:R39)</f>
        <v>-52.092386528770369</v>
      </c>
      <c r="AB39" s="1606">
        <f>SUM(S39:V39)</f>
        <v>-0.73220958096878408</v>
      </c>
      <c r="AC39" s="1606">
        <f>W39</f>
        <v>-3.6634831965721482</v>
      </c>
      <c r="AD39" s="1607">
        <f>SUM(X39:Z39)</f>
        <v>0</v>
      </c>
    </row>
    <row r="40" spans="1:102" x14ac:dyDescent="0.6">
      <c r="A40" s="1" t="s">
        <v>1081</v>
      </c>
      <c r="B40" s="377">
        <f t="shared" si="11"/>
        <v>103.8271560230757</v>
      </c>
      <c r="C40" s="354">
        <f>SUM(Gasoline!V36:V39)/1000000000</f>
        <v>63.129145706572757</v>
      </c>
      <c r="D40" s="280">
        <f>SUM(Diesel!V36:V39)/1000000000</f>
        <v>25.472243629864153</v>
      </c>
      <c r="E40" s="280">
        <f>SUM('Res dist'!V36:V39)/1000000000</f>
        <v>0</v>
      </c>
      <c r="F40" s="280">
        <f>SUM('Com dist'!V36:V39)/1000000000</f>
        <v>2.8576675181079247</v>
      </c>
      <c r="G40" s="280">
        <f>SUM('Ind dist'!X36:X39)/1000000000</f>
        <v>12.126506366747435</v>
      </c>
      <c r="H40" s="280">
        <f>SUM('LPG transport'!W36:W39)/1000000000</f>
        <v>0.22292229735005445</v>
      </c>
      <c r="I40" s="280">
        <f>SUM('LPG Res'!W36:W39)/1000000000</f>
        <v>-0.17459894952500002</v>
      </c>
      <c r="J40" s="280">
        <f>SUM('LPG Comm'!W36:W39)/1000000000</f>
        <v>0.27877312129500037</v>
      </c>
      <c r="K40" s="280">
        <f>SUM('LPG Ind'!X36:X39)/1000000000</f>
        <v>-2.345033350888702</v>
      </c>
      <c r="L40" s="280">
        <f>SUM(Jet!V36:V39)/1000000000</f>
        <v>1.2220250872098362</v>
      </c>
      <c r="M40" s="280">
        <f>SUM('Kero-Res'!V36:V39)/1000000000</f>
        <v>-1.6328238491742273</v>
      </c>
      <c r="N40" s="280">
        <f>SUM('Kero-Comm'!V36:V39)/1000000000</f>
        <v>0.25134173678217481</v>
      </c>
      <c r="O40" s="280">
        <f>SUM('Kero Ind'!W36:W39)/1000000000</f>
        <v>7.2657073415351034E-2</v>
      </c>
      <c r="P40" s="280">
        <f>SUM(HFO!X36:X39)/1000000000</f>
        <v>4.3110935246082134</v>
      </c>
      <c r="Q40" s="280">
        <f>SUM('Other petroleum products'!W36:W39)/1000000000</f>
        <v>0</v>
      </c>
      <c r="R40" s="280">
        <f>SUM(Crude!U36:U39)/1000000000</f>
        <v>-7.4662887222552046</v>
      </c>
      <c r="S40" s="280">
        <f>SUM(Coal!AG36:AG39)/1000000000</f>
        <v>7.8165256597611945</v>
      </c>
      <c r="T40" s="280">
        <f>SUM('NG transport'!W36:W39)/1000000000</f>
        <v>0</v>
      </c>
      <c r="U40" s="280">
        <f>SUM('NG Res'!W36:W39)/1000000000</f>
        <v>-0.31987719919392904</v>
      </c>
      <c r="V40" s="280">
        <f>SUM('NG Comm'!W36:W39)/1000000000</f>
        <v>0</v>
      </c>
      <c r="W40" s="280">
        <f>SUM('NG Ind'!AB36:AB39)/1000000000</f>
        <v>-1.9951236276013393</v>
      </c>
      <c r="X40" s="280">
        <f>SUM('Electricity - Res'!AD36:AD39)/1000000000</f>
        <v>0</v>
      </c>
      <c r="Y40" s="280">
        <f>SUM('Electricity-Com'!AD36:AD39)/1000000000</f>
        <v>0</v>
      </c>
      <c r="Z40" s="502">
        <f>SUM('Electricity - Ind'!AD36:AD39)/1000000000</f>
        <v>0</v>
      </c>
      <c r="AA40" s="563">
        <f>SUM(C40:R40)</f>
        <v>98.325631190109775</v>
      </c>
      <c r="AB40" s="553">
        <f>SUM(S40:V40)</f>
        <v>7.4966484605672656</v>
      </c>
      <c r="AC40" s="553">
        <f>W40</f>
        <v>-1.9951236276013393</v>
      </c>
      <c r="AD40" s="558">
        <f>SUM(X40:Z40)</f>
        <v>0</v>
      </c>
    </row>
    <row r="41" spans="1:102" x14ac:dyDescent="0.6">
      <c r="A41" s="69" t="s">
        <v>1082</v>
      </c>
      <c r="B41" s="381">
        <f t="shared" si="11"/>
        <v>1649.0662569918409</v>
      </c>
      <c r="C41" s="282">
        <f>SUM(Gasoline!X36:X39)/1000000000</f>
        <v>216.29848686148412</v>
      </c>
      <c r="D41" s="282">
        <f>SUM(Diesel!X36:X39)/1000000000</f>
        <v>173.56193465303659</v>
      </c>
      <c r="E41" s="282">
        <f>SUM('Res dist'!X36:X39)/1000000000</f>
        <v>4.6003300802759988</v>
      </c>
      <c r="F41" s="282">
        <f>SUM('Com dist'!X36:X39)/1000000000</f>
        <v>11.094579421635924</v>
      </c>
      <c r="G41" s="282">
        <f>SUM('Ind dist'!Z36:Z39)/1000000000</f>
        <v>50.715213757547438</v>
      </c>
      <c r="H41" s="282">
        <f>SUM('LPG transport'!Y36:Y39)/1000000000</f>
        <v>2.0427312253500545</v>
      </c>
      <c r="I41" s="282">
        <f>SUM('LPG Res'!Y36:Y39)/1000000000</f>
        <v>66.952952131860755</v>
      </c>
      <c r="J41" s="282">
        <f>SUM('LPG Comm'!Y36:Y39)/1000000000</f>
        <v>5.5244219381118</v>
      </c>
      <c r="K41" s="282">
        <f>SUM('LPG Ind'!Z36:Z39)/1000000000</f>
        <v>11.051017849111298</v>
      </c>
      <c r="L41" s="282">
        <f>SUM(Jet!AD36:AD39)/1000000000</f>
        <v>31.113206494009834</v>
      </c>
      <c r="M41" s="282">
        <f>SUM('Kero-Res'!X36:X39)/1000000000</f>
        <v>5.3912764158257724</v>
      </c>
      <c r="N41" s="282">
        <f>SUM('Kero-Comm'!X36:X39)/1000000000</f>
        <v>1.2231708642821746</v>
      </c>
      <c r="O41" s="282">
        <f>SUM('Kero Ind'!Y36:Y39)/1000000000</f>
        <v>0.42978307341535105</v>
      </c>
      <c r="P41" s="282">
        <f>SUM(HFO!Z36:Z39)/1000000000</f>
        <v>21.467663524608216</v>
      </c>
      <c r="Q41" s="282">
        <f>SUM('Other petroleum products'!Y36:Y39)/1000000000</f>
        <v>69.18244132734381</v>
      </c>
      <c r="R41" s="282"/>
      <c r="S41" s="282">
        <f>SUM(Coal!AI36:AI39)/1000000000</f>
        <v>266.6566670598292</v>
      </c>
      <c r="T41" s="282">
        <f>SUM('NG transport'!Y36:Y39)/1000000000</f>
        <v>30.214727459016395</v>
      </c>
      <c r="U41" s="282">
        <f>SUM('NG Res'!Y36:Y39)/1000000000</f>
        <v>14.694641883926197</v>
      </c>
      <c r="V41" s="282">
        <f>SUM('NG Comm'!Y36:Y39)/1000000000</f>
        <v>3.6402471164758414</v>
      </c>
      <c r="W41" s="282">
        <f>SUM('NG Ind'!AD36:AD39)/1000000000</f>
        <v>111.18257648976768</v>
      </c>
      <c r="X41" s="282">
        <f>SUM('Electricity - Res'!AF36:AF39)/1000000000</f>
        <v>138.80689170775759</v>
      </c>
      <c r="Y41" s="282">
        <f>SUM('Electricity-Com'!AF36:AF39)/1000000000</f>
        <v>69.565882718534894</v>
      </c>
      <c r="Z41" s="567">
        <f>SUM('Electricity - Ind'!AF36:AF39)/1000000000</f>
        <v>343.65541293863373</v>
      </c>
      <c r="AA41" s="556">
        <f>SUM(C41:R41)</f>
        <v>670.64920961789926</v>
      </c>
      <c r="AB41" s="556">
        <f>SUM(S41:V41)</f>
        <v>315.20628351924762</v>
      </c>
      <c r="AC41" s="556">
        <f>W41</f>
        <v>111.18257648976768</v>
      </c>
      <c r="AD41" s="561">
        <f>SUM(X41:Z41)</f>
        <v>552.02818736492623</v>
      </c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</row>
    <row r="42" spans="1:102" s="258" customFormat="1" x14ac:dyDescent="0.6">
      <c r="A42" s="257" t="s">
        <v>623</v>
      </c>
      <c r="B42" s="380">
        <f t="shared" ref="B42:Q42" si="12">B40/B30</f>
        <v>6.7763900900866356E-2</v>
      </c>
      <c r="C42" s="1130">
        <f t="shared" si="12"/>
        <v>1.069603475381135</v>
      </c>
      <c r="D42" s="1130">
        <f t="shared" si="12"/>
        <v>0.3579684382677355</v>
      </c>
      <c r="E42" s="1130">
        <f t="shared" si="12"/>
        <v>0</v>
      </c>
      <c r="F42" s="1130">
        <f t="shared" si="12"/>
        <v>0.69862915313017249</v>
      </c>
      <c r="G42" s="1130">
        <f t="shared" si="12"/>
        <v>0.54449519578297645</v>
      </c>
      <c r="H42" s="1130">
        <f t="shared" si="12"/>
        <v>0.28941055128955201</v>
      </c>
      <c r="I42" s="1130">
        <f t="shared" si="12"/>
        <v>-6.616184102371977E-3</v>
      </c>
      <c r="J42" s="1130">
        <f t="shared" si="12"/>
        <v>0.13636663959371365</v>
      </c>
      <c r="K42" s="1130">
        <f t="shared" si="12"/>
        <v>-0.30634463117423955</v>
      </c>
      <c r="L42" s="1130">
        <f t="shared" si="12"/>
        <v>7.8903151609070965E-2</v>
      </c>
      <c r="M42" s="1130">
        <f t="shared" si="12"/>
        <v>-0.72447923365904221</v>
      </c>
      <c r="N42" s="1130">
        <f t="shared" si="12"/>
        <v>0.75973414138385642</v>
      </c>
      <c r="O42" s="1130">
        <f t="shared" si="12"/>
        <v>0.50862352093764551</v>
      </c>
      <c r="P42" s="1130">
        <f t="shared" si="12"/>
        <v>0.32833776656687524</v>
      </c>
      <c r="Q42" s="1130">
        <f t="shared" si="12"/>
        <v>0</v>
      </c>
      <c r="R42" s="285" t="s">
        <v>625</v>
      </c>
      <c r="S42" s="285" t="s">
        <v>625</v>
      </c>
      <c r="T42" s="283"/>
      <c r="U42" s="283">
        <f>U40/U30</f>
        <v>-1.2337344038882822E-2</v>
      </c>
      <c r="V42" s="283">
        <f>V40/V30</f>
        <v>0</v>
      </c>
      <c r="W42" s="283">
        <f>W40/W30</f>
        <v>-1.5260373860250399E-2</v>
      </c>
      <c r="X42" s="283">
        <f>X40/X30</f>
        <v>0</v>
      </c>
      <c r="Y42" s="283">
        <f>Y40/Y30</f>
        <v>0</v>
      </c>
      <c r="Z42" s="568"/>
      <c r="AA42" s="564">
        <f>AA40/AA30</f>
        <v>0.37600551884327488</v>
      </c>
      <c r="AB42" s="554">
        <f>AB40/AB30</f>
        <v>7.5099669666553121E-3</v>
      </c>
      <c r="AC42" s="554">
        <f>AC40/AC30</f>
        <v>-1.5260373860250399E-2</v>
      </c>
      <c r="AD42" s="559">
        <f>AD40/AD30</f>
        <v>0</v>
      </c>
      <c r="AE42" s="277"/>
      <c r="AF42" s="277"/>
      <c r="AG42" s="277"/>
      <c r="AH42" s="277"/>
      <c r="AI42" s="277"/>
      <c r="AJ42" s="277"/>
      <c r="AK42" s="277"/>
      <c r="AL42" s="277"/>
      <c r="AM42" s="277"/>
      <c r="AN42" s="277"/>
      <c r="AO42" s="277"/>
      <c r="AP42" s="277"/>
      <c r="AQ42" s="277"/>
      <c r="AR42" s="277"/>
      <c r="AS42" s="277"/>
      <c r="AT42" s="277"/>
      <c r="AU42" s="277"/>
      <c r="AV42" s="277"/>
      <c r="AW42" s="277"/>
      <c r="AX42" s="277"/>
      <c r="AY42" s="277"/>
      <c r="AZ42" s="277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</row>
    <row r="43" spans="1:102" s="239" customFormat="1" x14ac:dyDescent="0.6">
      <c r="A43" s="1667" t="s">
        <v>691</v>
      </c>
      <c r="B43" s="1668"/>
      <c r="C43" s="1666"/>
      <c r="D43" s="1666"/>
      <c r="E43" s="1666"/>
      <c r="F43" s="1666"/>
      <c r="G43" s="1666"/>
      <c r="H43" s="1666"/>
      <c r="I43" s="1666"/>
      <c r="J43" s="1666"/>
      <c r="K43" s="1666"/>
      <c r="L43" s="1666"/>
      <c r="M43" s="1666"/>
      <c r="N43" s="1666"/>
      <c r="O43" s="1666"/>
      <c r="P43" s="1666"/>
      <c r="Q43" s="1666"/>
      <c r="R43" s="1666"/>
      <c r="S43" s="1666"/>
      <c r="T43" s="1666"/>
      <c r="U43" s="1666"/>
      <c r="V43" s="1666"/>
      <c r="W43" s="1666"/>
      <c r="X43" s="1666"/>
      <c r="Y43" s="1666"/>
      <c r="Z43" s="1669"/>
      <c r="AA43" s="1666"/>
      <c r="AB43" s="1666"/>
      <c r="AC43" s="1666"/>
      <c r="AD43" s="1669"/>
    </row>
    <row r="44" spans="1:102" s="1119" customFormat="1" x14ac:dyDescent="0.6">
      <c r="A44" s="1113" t="s">
        <v>624</v>
      </c>
      <c r="B44" s="1114">
        <f>SUM(C44:Z44)</f>
        <v>498.26398007940901</v>
      </c>
      <c r="C44" s="1115">
        <f>SUM(Gasoline!D41:D65)/1000000000</f>
        <v>54.273564615384622</v>
      </c>
      <c r="D44" s="1120">
        <f>SUM(Diesel!D41:D65)/1000000000</f>
        <v>36.047466</v>
      </c>
      <c r="E44" s="1120">
        <f>SUM('Res dist'!D41:D65)/1000000000</f>
        <v>0.65891195999999996</v>
      </c>
      <c r="F44" s="1120">
        <f>SUM('Com dist'!D41:D66)/1000000000</f>
        <v>14.86452744</v>
      </c>
      <c r="G44" s="1120">
        <f>SUM('Ind dist'!F41:F65)/1000000000</f>
        <v>25.080639359999999</v>
      </c>
      <c r="H44" s="1120">
        <f>SUM('LPG transport'!D41:D65)/1000000000</f>
        <v>0.71082480000000003</v>
      </c>
      <c r="I44" s="1120">
        <f>SUM('LPG Res'!D41:D65)/1000000000</f>
        <v>12.275491199999999</v>
      </c>
      <c r="J44" s="1120">
        <f>SUM('LPG Comm'!D41:D65)/1000000000</f>
        <v>1.3549032000000001</v>
      </c>
      <c r="K44" s="1120">
        <f>SUM('LPG Ind'!E41:E65)/1000000000</f>
        <v>6.3077784000000001</v>
      </c>
      <c r="L44" s="1120">
        <f>SUM(Jet!AB41:AB65)/1000000000</f>
        <v>10.248149099999999</v>
      </c>
      <c r="M44" s="1120">
        <f>SUM('Kero-Res'!D41:D65)/1000000000</f>
        <v>1.84861404</v>
      </c>
      <c r="N44" s="1120">
        <f>SUM('Kero-Comm'!D41:D65)/100000000</f>
        <v>0.28894740000000002</v>
      </c>
      <c r="O44" s="1120">
        <f>SUM('Kero Ind'!E41:E65)/1000000000</f>
        <v>0.85742706000000002</v>
      </c>
      <c r="P44" s="1120">
        <f>SUM(HFO!F41:F65)/1000000000</f>
        <v>29.430739800000001</v>
      </c>
      <c r="Q44" s="1120">
        <f>SUM('Other petroleum products'!E41:E65)/1000000000</f>
        <v>2.7867510000000002</v>
      </c>
      <c r="R44" s="1120"/>
      <c r="S44" s="1120">
        <f>SUM(Coal!Q41:Q65)/1000000000</f>
        <v>38.536337408000001</v>
      </c>
      <c r="T44" s="1120">
        <f>SUM('NG transport'!D41:D65)/1000000000</f>
        <v>3.7508348512446874</v>
      </c>
      <c r="U44" s="1120">
        <f>SUM('NG Res'!D41:D65)/1000000000</f>
        <v>22.216750151791143</v>
      </c>
      <c r="V44" s="1120">
        <f>SUM('NG Comm'!D41:D65)/1000000000</f>
        <v>5.9588342440801458</v>
      </c>
      <c r="W44" s="1120">
        <f>SUM('NG Ind'!I41:I65)/1000000000</f>
        <v>184.75701275045537</v>
      </c>
      <c r="X44" s="1120">
        <f>SUM('Electricity - Res'!K41:K65)/1000000000</f>
        <v>17.077260273206818</v>
      </c>
      <c r="Y44" s="1120">
        <f>SUM('Electricity-Com'!K41:K65)/1000000000</f>
        <v>10.178076719307587</v>
      </c>
      <c r="Z44" s="1121">
        <f>SUM('Electricity - Ind'!K41:K65)/1000000000</f>
        <v>18.754138305938604</v>
      </c>
      <c r="AA44" s="1117">
        <f>SUM(C44:R44)</f>
        <v>197.03473537538463</v>
      </c>
      <c r="AB44" s="882">
        <f>SUM(S44:V44)</f>
        <v>70.462756655115982</v>
      </c>
      <c r="AC44" s="882">
        <f>W44</f>
        <v>184.75701275045537</v>
      </c>
      <c r="AD44" s="1118">
        <f>SUM(X44:Z44)</f>
        <v>46.009475298453012</v>
      </c>
    </row>
    <row r="45" spans="1:102" s="274" customFormat="1" x14ac:dyDescent="0.6">
      <c r="A45" s="227" t="s">
        <v>641</v>
      </c>
      <c r="B45" s="377">
        <f>SUM(C45:Z45)</f>
        <v>889.68374871292224</v>
      </c>
      <c r="C45" s="353">
        <f>SUMPRODUCT(Gasoline!D41:D65,Gasoline!G41:G65)/1000000000</f>
        <v>209.07997654405941</v>
      </c>
      <c r="D45" s="279">
        <f>SUMPRODUCT(Diesel!D41:D65,Diesel!G41:G65)/1000000000</f>
        <v>53.411877217440001</v>
      </c>
      <c r="E45" s="279">
        <f>SUMPRODUCT('Res dist'!D41:D65,'Res dist'!H41:H65)/SUM('Res dist'!D41:D65)</f>
        <v>2.27</v>
      </c>
      <c r="F45" s="279">
        <f>SUMPRODUCT('Com dist'!D41:D65,'Com dist'!H41:H65)/1000000000</f>
        <v>2.1891856391999998</v>
      </c>
      <c r="G45" s="279">
        <f>SUMPRODUCT('Ind dist'!F41:F65,'Ind dist'!J41:J65)/1000000000</f>
        <v>44.094198890143183</v>
      </c>
      <c r="H45" s="279">
        <f>SUMPRODUCT('LPG transport'!D41:D65,'LPG transport'!I41:I65)/SUM('LPG transport'!D41:D65)</f>
        <v>2</v>
      </c>
      <c r="I45" s="279">
        <f>SUMPRODUCT('LPG Res'!D41:D65,'LPG Res'!I41:I65)/1000000000</f>
        <v>27.6198552</v>
      </c>
      <c r="J45" s="279">
        <f>SUMPRODUCT('LPG Comm'!D41:D65,'LPG Comm'!I41:I65)/1000000000</f>
        <v>3.0485321999999999</v>
      </c>
      <c r="K45" s="279">
        <f>SUMPRODUCT('LPG Ind'!E41:E65,'LPG Ind'!J41:J65)/1000000000</f>
        <v>11.038612199999999</v>
      </c>
      <c r="L45" s="279">
        <f>SUM(Jet!AC41:AC65)/1000000000</f>
        <v>19.778927763000002</v>
      </c>
      <c r="M45" s="279">
        <f>SUMPRODUCT('Kero-Res'!D41:D65,'Kero-Res'!H41:H65)/1000000000</f>
        <v>4.6215351</v>
      </c>
      <c r="N45" s="279">
        <f>SUMPRODUCT('Kero-Comm'!D41:D65,'Kero-Comm'!H41:H65)/1000000000</f>
        <v>7.2236850000000005E-2</v>
      </c>
      <c r="O45" s="279">
        <f>SUMPRODUCT('Kero Ind'!E41:E65,'Kero Ind'!I41:I65)/1000000000</f>
        <v>2.14356765</v>
      </c>
      <c r="P45" s="279">
        <f>SUMPRODUCT(HFO!F41:F65,HFO!J41:J65)/1000000000</f>
        <v>37.353875767967992</v>
      </c>
      <c r="Q45" s="279">
        <f>SUMPRODUCT('Other petroleum products'!E41:E65,'Other petroleum products'!I41:I65)/1000000000</f>
        <v>5.5735020000000004</v>
      </c>
      <c r="R45" s="279"/>
      <c r="S45" s="279">
        <f>SUMPRODUCT(Coal!Q41:Q65,Coal!U41:U65)/1000000000</f>
        <v>9.5333391073056006</v>
      </c>
      <c r="T45" s="279">
        <f>SUMPRODUCT('NG transport'!D41:D65,'NG transport'!I41:I65)/1000000000</f>
        <v>5.6262522768670324</v>
      </c>
      <c r="U45" s="279">
        <f>SUMPRODUCT('NG Res'!D41:D65,'NG Res'!I41:I65)/1000000000</f>
        <v>33.100164027677685</v>
      </c>
      <c r="V45" s="279">
        <f>SUMPRODUCT('NG Comm'!D41:D65,'NG Comm'!I41:I65)/1000000000</f>
        <v>8.8626808960025638</v>
      </c>
      <c r="W45" s="279">
        <f>SUMPRODUCT('NG Ind'!I41:I65,'NG Ind'!N41:N65)/1000000000</f>
        <v>277.13551912568312</v>
      </c>
      <c r="X45" s="279">
        <f>SUM('Electricity - Res'!P41:P65)/1000000000</f>
        <v>54.53735771808357</v>
      </c>
      <c r="Y45" s="279">
        <f>SUM('Electricity-Com'!P41:P65)/1000000000</f>
        <v>34.296438968176133</v>
      </c>
      <c r="Z45" s="566">
        <f>SUM('Electricity - Ind'!P41:P65)/1000000000</f>
        <v>42.296113571315814</v>
      </c>
      <c r="AA45" s="562">
        <f>AA47-AA46</f>
        <v>395.69312689424078</v>
      </c>
      <c r="AB45" s="562">
        <f>AB47-AB46</f>
        <v>98.975340129521499</v>
      </c>
      <c r="AC45" s="562">
        <f>AC47-AC46</f>
        <v>280.6034191256831</v>
      </c>
      <c r="AD45" s="570">
        <f>AD47-AD46</f>
        <v>197.50598750564893</v>
      </c>
    </row>
    <row r="46" spans="1:102" x14ac:dyDescent="0.6">
      <c r="A46" s="1" t="s">
        <v>805</v>
      </c>
      <c r="B46" s="377">
        <f>SUM(AA46:AD46)</f>
        <v>-219.41989999999998</v>
      </c>
      <c r="C46" s="354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>
        <f>SUM(Crude!U41:U65)/1000000000</f>
        <v>-108.7277</v>
      </c>
      <c r="S46" s="280">
        <f>SUM(Coal!AG41:AG65)/1000000000</f>
        <v>-1.0043</v>
      </c>
      <c r="T46" s="280"/>
      <c r="U46" s="280"/>
      <c r="V46" s="280"/>
      <c r="W46" s="280"/>
      <c r="X46" s="280"/>
      <c r="Y46" s="280"/>
      <c r="Z46" s="502"/>
      <c r="AA46" s="563">
        <f>'Oil Prod subsidies'!B29/1000000000</f>
        <v>-108.7277</v>
      </c>
      <c r="AB46" s="553">
        <f>'Oil Prod subsidies'!C29/1000000000</f>
        <v>-42.817399999999999</v>
      </c>
      <c r="AC46" s="553">
        <f>'Oil Prod subsidies'!D29/1000000000</f>
        <v>-3.4679000000000002</v>
      </c>
      <c r="AD46" s="558">
        <f>'Oil Prod subsidies'!E29/1000000000</f>
        <v>-64.406899999999993</v>
      </c>
    </row>
    <row r="47" spans="1:102" x14ac:dyDescent="0.6">
      <c r="A47" s="69" t="s">
        <v>642</v>
      </c>
      <c r="B47" s="381">
        <f>SUM(C47:Z47)</f>
        <v>753.35797365509438</v>
      </c>
      <c r="C47" s="282">
        <f>SUMPRODUCT(Gasoline!W41:W65,Gasoline!D41:D65)/1000000000</f>
        <v>89.515266927938541</v>
      </c>
      <c r="D47" s="282">
        <f>SUMPRODUCT(Diesel!W41:W65,Diesel!D41:D65)/1000000000</f>
        <v>45.212968119429874</v>
      </c>
      <c r="E47" s="282">
        <f>SUM('Res dist'!X41:X65)/1000000000</f>
        <v>1.2724005729819721</v>
      </c>
      <c r="F47" s="282">
        <f>SUM('Com dist'!X41:X65)/1000000000</f>
        <v>1.8194826565492921</v>
      </c>
      <c r="G47" s="282">
        <f>SUM('Ind dist'!Z41:Z65)/1000000000</f>
        <v>44.094198890143183</v>
      </c>
      <c r="H47" s="282">
        <f>SUM('LPG transport'!Y41:Y65)/1000000000</f>
        <v>1.1694787167487202</v>
      </c>
      <c r="I47" s="282">
        <f>SUMPRODUCT('LPG Res'!D41:D65,'LPG Res'!X41:X65)/1000000000</f>
        <v>20.380429501417442</v>
      </c>
      <c r="J47" s="282">
        <f>SUM('LPG Comm'!Y41:Y65)/1000000000</f>
        <v>3.04588420310496</v>
      </c>
      <c r="K47" s="282">
        <f>SUMPRODUCT('LPG Ind'!E41:E65,'LPG Ind'!Y41:Y65)/1000000000</f>
        <v>10.911672174958801</v>
      </c>
      <c r="L47" s="282">
        <f>SUM(Jet!AD41:AD65)/1000000000</f>
        <v>19.778927763000002</v>
      </c>
      <c r="M47" s="282">
        <f>SUM('Kero-Res'!X41:X65)/1000000000</f>
        <v>4.6215351</v>
      </c>
      <c r="N47" s="282">
        <f>SUM('Kero-Comm'!X41:X65)/1000000000</f>
        <v>7.2236850000000005E-2</v>
      </c>
      <c r="O47" s="282">
        <f>SUM('Kero Ind'!Y41:Y65)/1000000000</f>
        <v>2.14356765</v>
      </c>
      <c r="P47" s="282">
        <f>SUM(HFO!Z41:Z65)/1000000000</f>
        <v>37.353875767967992</v>
      </c>
      <c r="Q47" s="282">
        <f>SUM('Other petroleum products'!Y41:Y65)/1000000000</f>
        <v>5.5735020000000004</v>
      </c>
      <c r="R47" s="282"/>
      <c r="S47" s="282">
        <f>SUM(Coal!AI41:AI65)/1000000000</f>
        <v>8.5290391073056018</v>
      </c>
      <c r="T47" s="282">
        <f>SUM('NG transport'!Y41:Y65)/1000000000</f>
        <v>5.6262522768670324</v>
      </c>
      <c r="U47" s="282">
        <f>SUM('NG Res'!Y41:Y65)/1000000000</f>
        <v>33.129958942415769</v>
      </c>
      <c r="V47" s="282">
        <f>SUM('NG Comm'!Y41:Y65)/1000000000</f>
        <v>8.8726898029331025</v>
      </c>
      <c r="W47" s="282">
        <f>SUM('NG Ind'!AD41:AD65)/1000000000</f>
        <v>277.13551912568312</v>
      </c>
      <c r="X47" s="282">
        <f>SUM('Electricity - Res'!AF41:AF65)/1000000000</f>
        <v>54.904928613836432</v>
      </c>
      <c r="Y47" s="282">
        <f>SUM('Electricity-Com'!AF41:AF65)/1000000000</f>
        <v>34.45255778949052</v>
      </c>
      <c r="Z47" s="567">
        <f>SUM('Electricity - Ind'!AF41:AF65)/1000000000</f>
        <v>43.741601102321958</v>
      </c>
      <c r="AA47" s="556">
        <f>SUM(C47:R47)</f>
        <v>286.96542689424081</v>
      </c>
      <c r="AB47" s="556">
        <f>SUM(S47:V47)</f>
        <v>56.157940129521506</v>
      </c>
      <c r="AC47" s="556">
        <f>W47</f>
        <v>277.13551912568312</v>
      </c>
      <c r="AD47" s="556">
        <f>SUM(X47:Z47)</f>
        <v>133.09908750564892</v>
      </c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</row>
    <row r="48" spans="1:102" s="258" customFormat="1" x14ac:dyDescent="0.6">
      <c r="A48" s="257" t="s">
        <v>623</v>
      </c>
      <c r="B48" s="380"/>
      <c r="C48" s="355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568"/>
      <c r="AA48" s="564"/>
      <c r="AB48" s="554"/>
      <c r="AC48" s="554"/>
      <c r="AD48" s="559"/>
      <c r="AE48" s="277"/>
      <c r="AF48" s="277"/>
      <c r="AG48" s="277"/>
      <c r="AH48" s="277"/>
      <c r="AI48" s="277"/>
      <c r="AJ48" s="277"/>
      <c r="AK48" s="277"/>
      <c r="AL48" s="277"/>
      <c r="AM48" s="277"/>
      <c r="AN48" s="277"/>
      <c r="AO48" s="277"/>
      <c r="AP48" s="277"/>
      <c r="AQ48" s="277"/>
      <c r="AR48" s="277"/>
      <c r="AS48" s="277"/>
      <c r="AT48" s="277"/>
      <c r="AU48" s="277"/>
      <c r="AV48" s="277"/>
      <c r="AW48" s="277"/>
      <c r="AX48" s="277"/>
      <c r="AY48" s="277"/>
      <c r="AZ48" s="277"/>
      <c r="BA48" s="277"/>
      <c r="BB48" s="277"/>
      <c r="BC48" s="277"/>
      <c r="BD48" s="277"/>
      <c r="BE48" s="277"/>
      <c r="BF48" s="277"/>
      <c r="BG48" s="277"/>
      <c r="BH48" s="277"/>
      <c r="BI48" s="277"/>
      <c r="BJ48" s="277"/>
      <c r="BK48" s="277"/>
      <c r="BL48" s="277"/>
      <c r="BM48" s="277"/>
      <c r="BN48" s="277"/>
      <c r="BO48" s="277"/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</row>
    <row r="49" spans="1:102" s="1169" customFormat="1" x14ac:dyDescent="0.6">
      <c r="A49" s="1165" t="s">
        <v>1099</v>
      </c>
      <c r="B49" s="1165">
        <f t="shared" ref="B49:U49" si="13">B47-B45</f>
        <v>-136.32577505782785</v>
      </c>
      <c r="C49" s="1165">
        <f t="shared" si="13"/>
        <v>-119.56470961612087</v>
      </c>
      <c r="D49" s="1165">
        <f t="shared" si="13"/>
        <v>-8.1989090980101267</v>
      </c>
      <c r="E49" s="1165">
        <f t="shared" si="13"/>
        <v>-0.99759942701802795</v>
      </c>
      <c r="F49" s="1165">
        <f t="shared" si="13"/>
        <v>-0.36970298265070767</v>
      </c>
      <c r="G49" s="1165">
        <f t="shared" si="13"/>
        <v>0</v>
      </c>
      <c r="H49" s="1166">
        <f t="shared" si="13"/>
        <v>-0.83052128325127983</v>
      </c>
      <c r="I49" s="1166">
        <f t="shared" si="13"/>
        <v>-7.2394256985825578</v>
      </c>
      <c r="J49" s="1166">
        <f t="shared" si="13"/>
        <v>-2.6479968950399169E-3</v>
      </c>
      <c r="K49" s="1166">
        <f t="shared" si="13"/>
        <v>-0.12694002504119872</v>
      </c>
      <c r="L49" s="1166">
        <f t="shared" si="13"/>
        <v>0</v>
      </c>
      <c r="M49" s="1166">
        <f t="shared" si="13"/>
        <v>0</v>
      </c>
      <c r="N49" s="1166">
        <f t="shared" si="13"/>
        <v>0</v>
      </c>
      <c r="O49" s="1166">
        <f t="shared" si="13"/>
        <v>0</v>
      </c>
      <c r="P49" s="1166">
        <f t="shared" si="13"/>
        <v>0</v>
      </c>
      <c r="Q49" s="1166">
        <f t="shared" si="13"/>
        <v>0</v>
      </c>
      <c r="R49" s="1166">
        <f t="shared" si="13"/>
        <v>0</v>
      </c>
      <c r="S49" s="1166">
        <f t="shared" si="13"/>
        <v>-1.0042999999999989</v>
      </c>
      <c r="T49" s="1166">
        <f t="shared" si="13"/>
        <v>0</v>
      </c>
      <c r="U49" s="1166">
        <f t="shared" si="13"/>
        <v>2.9794914738083378E-2</v>
      </c>
      <c r="V49" s="1166"/>
      <c r="W49" s="1166">
        <f>W47-W45</f>
        <v>0</v>
      </c>
      <c r="X49" s="1166">
        <f>X47-X45</f>
        <v>0.36757089575286273</v>
      </c>
      <c r="Y49" s="1166">
        <f>Y47-Y45</f>
        <v>0.15611882131438648</v>
      </c>
      <c r="Z49" s="1167">
        <f>Z47-Z45</f>
        <v>1.4454875310061439</v>
      </c>
      <c r="AA49" s="1168"/>
      <c r="AB49" s="1168"/>
      <c r="AC49" s="1168"/>
      <c r="AD49" s="1168"/>
    </row>
    <row r="50" spans="1:102" x14ac:dyDescent="0.6">
      <c r="A50" s="262"/>
      <c r="B50" s="999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</row>
    <row r="51" spans="1:102" s="1119" customFormat="1" x14ac:dyDescent="0.6">
      <c r="A51" s="1113" t="s">
        <v>624</v>
      </c>
      <c r="B51" s="1188">
        <f t="shared" ref="B51:AD51" si="14">B4+B16+B30+B44</f>
        <v>3384.8286872031272</v>
      </c>
      <c r="C51" s="1115">
        <f t="shared" si="14"/>
        <v>273.57819692307692</v>
      </c>
      <c r="D51" s="1120">
        <f t="shared" si="14"/>
        <v>235.71188927999998</v>
      </c>
      <c r="E51" s="1120">
        <f t="shared" si="14"/>
        <v>14.356009079999998</v>
      </c>
      <c r="F51" s="1120">
        <f t="shared" si="14"/>
        <v>27.800256959999999</v>
      </c>
      <c r="G51" s="1120">
        <f t="shared" si="14"/>
        <v>71.570121</v>
      </c>
      <c r="H51" s="1120">
        <f t="shared" si="14"/>
        <v>7.1896104000000003</v>
      </c>
      <c r="I51" s="1120">
        <f t="shared" si="14"/>
        <v>49.3304616</v>
      </c>
      <c r="J51" s="1120">
        <f t="shared" si="14"/>
        <v>8.0431848000000006</v>
      </c>
      <c r="K51" s="1120">
        <f t="shared" si="14"/>
        <v>37.183104</v>
      </c>
      <c r="L51" s="1120">
        <f t="shared" si="14"/>
        <v>75.880846859999991</v>
      </c>
      <c r="M51" s="1120">
        <f t="shared" si="14"/>
        <v>7.6918447199999997</v>
      </c>
      <c r="N51" s="1120">
        <f t="shared" si="14"/>
        <v>2.2622308799999997</v>
      </c>
      <c r="O51" s="1120">
        <f t="shared" si="14"/>
        <v>2.2177524599999998</v>
      </c>
      <c r="P51" s="1120">
        <f t="shared" si="14"/>
        <v>67.439652840000008</v>
      </c>
      <c r="Q51" s="1120">
        <f t="shared" si="14"/>
        <v>82.109988000000001</v>
      </c>
      <c r="R51" s="1120">
        <f t="shared" si="14"/>
        <v>0</v>
      </c>
      <c r="S51" s="1120">
        <f t="shared" si="14"/>
        <v>1303.2182099199999</v>
      </c>
      <c r="T51" s="1120">
        <f t="shared" si="14"/>
        <v>23.70619307832423</v>
      </c>
      <c r="U51" s="1120">
        <f t="shared" si="14"/>
        <v>132.59738919247116</v>
      </c>
      <c r="V51" s="1120">
        <f t="shared" si="14"/>
        <v>61.102504553734057</v>
      </c>
      <c r="W51" s="1120">
        <f t="shared" si="14"/>
        <v>575.36974802671534</v>
      </c>
      <c r="X51" s="1120">
        <f t="shared" si="14"/>
        <v>86.234625802681506</v>
      </c>
      <c r="Y51" s="1120">
        <f t="shared" si="14"/>
        <v>70.432933131103113</v>
      </c>
      <c r="Z51" s="1121">
        <f t="shared" si="14"/>
        <v>169.80193369502055</v>
      </c>
      <c r="AA51" s="1117">
        <f t="shared" si="14"/>
        <v>962.36514980307675</v>
      </c>
      <c r="AB51" s="882">
        <f t="shared" si="14"/>
        <v>1534.9726787484058</v>
      </c>
      <c r="AC51" s="882">
        <f t="shared" si="14"/>
        <v>561.02136602283917</v>
      </c>
      <c r="AD51" s="1116">
        <f t="shared" si="14"/>
        <v>326.46949262880526</v>
      </c>
    </row>
    <row r="52" spans="1:102" x14ac:dyDescent="0.6">
      <c r="A52" s="1" t="s">
        <v>806</v>
      </c>
      <c r="B52" s="377">
        <f t="shared" ref="B52:AD52" si="15">B11+B25+B39+B46</f>
        <v>-354.1561372110333</v>
      </c>
      <c r="C52" s="354">
        <f t="shared" si="15"/>
        <v>-8.1853126068472903</v>
      </c>
      <c r="D52" s="280">
        <f t="shared" si="15"/>
        <v>-42.473684912746144</v>
      </c>
      <c r="E52" s="280">
        <f t="shared" si="15"/>
        <v>-2.8484062379180379</v>
      </c>
      <c r="F52" s="280">
        <f t="shared" si="15"/>
        <v>-0.7196831984382861</v>
      </c>
      <c r="G52" s="280">
        <f t="shared" si="15"/>
        <v>-15.959484041354903</v>
      </c>
      <c r="H52" s="280">
        <f t="shared" si="15"/>
        <v>-0.36100537472711802</v>
      </c>
      <c r="I52" s="280">
        <f t="shared" si="15"/>
        <v>-0.62889021504630105</v>
      </c>
      <c r="J52" s="539">
        <f t="shared" si="15"/>
        <v>-0.26247288838755101</v>
      </c>
      <c r="K52" s="539">
        <f t="shared" si="15"/>
        <v>-4.0826267814176012</v>
      </c>
      <c r="L52" s="539">
        <f t="shared" si="15"/>
        <v>-8.1627485348615387</v>
      </c>
      <c r="M52" s="539">
        <f t="shared" si="15"/>
        <v>-2.3070711253665119</v>
      </c>
      <c r="N52" s="539">
        <f t="shared" si="15"/>
        <v>-1.3318596946062751E-2</v>
      </c>
      <c r="O52" s="539">
        <f t="shared" si="15"/>
        <v>-4.9117621636344255E-2</v>
      </c>
      <c r="P52" s="539">
        <f t="shared" si="15"/>
        <v>-1.9258786674814394</v>
      </c>
      <c r="Q52" s="539">
        <f t="shared" si="15"/>
        <v>-0.91914787762457006</v>
      </c>
      <c r="R52" s="539">
        <f t="shared" si="15"/>
        <v>-121.52142671930446</v>
      </c>
      <c r="S52" s="539">
        <f t="shared" si="15"/>
        <v>-9.112178302450145</v>
      </c>
      <c r="T52" s="539">
        <f t="shared" si="15"/>
        <v>-0.31689032643593523</v>
      </c>
      <c r="U52" s="539">
        <f t="shared" si="15"/>
        <v>-2.607869603637011</v>
      </c>
      <c r="V52" s="539">
        <f t="shared" si="15"/>
        <v>-6.9140396491442754E-2</v>
      </c>
      <c r="W52" s="539">
        <f t="shared" si="15"/>
        <v>-17.262367874235071</v>
      </c>
      <c r="X52" s="539">
        <f t="shared" si="15"/>
        <v>-3.0056170051173545</v>
      </c>
      <c r="Y52" s="539">
        <f t="shared" si="15"/>
        <v>-0.75615058363902699</v>
      </c>
      <c r="Z52" s="569">
        <f t="shared" si="15"/>
        <v>-0.91774771892319007</v>
      </c>
      <c r="AA52" s="563">
        <f t="shared" si="15"/>
        <v>-210.42027540010415</v>
      </c>
      <c r="AB52" s="553">
        <f t="shared" si="15"/>
        <v>-53.676805813014532</v>
      </c>
      <c r="AC52" s="553">
        <f t="shared" si="15"/>
        <v>-20.972640690235071</v>
      </c>
      <c r="AD52" s="558">
        <f t="shared" si="15"/>
        <v>-69.086415307679559</v>
      </c>
    </row>
    <row r="53" spans="1:102" x14ac:dyDescent="0.6">
      <c r="A53" s="69" t="s">
        <v>642</v>
      </c>
      <c r="B53" s="381">
        <f t="shared" ref="B53:AD53" si="16">B13+B27+B41+B47</f>
        <v>5219.9514685887298</v>
      </c>
      <c r="C53" s="282">
        <f t="shared" si="16"/>
        <v>833.90574803928939</v>
      </c>
      <c r="D53" s="282">
        <f t="shared" si="16"/>
        <v>726.75358147921906</v>
      </c>
      <c r="E53" s="282">
        <f t="shared" si="16"/>
        <v>33.242864708438091</v>
      </c>
      <c r="F53" s="282">
        <f t="shared" si="16"/>
        <v>31.866960255461315</v>
      </c>
      <c r="G53" s="282">
        <f t="shared" si="16"/>
        <v>150.90180174791166</v>
      </c>
      <c r="H53" s="282">
        <f t="shared" si="16"/>
        <v>16.274653672206021</v>
      </c>
      <c r="I53" s="282">
        <f t="shared" si="16"/>
        <v>112.0621067499066</v>
      </c>
      <c r="J53" s="275">
        <f t="shared" si="16"/>
        <v>20.321371667334766</v>
      </c>
      <c r="K53" s="275">
        <f t="shared" si="16"/>
        <v>52.670177445513666</v>
      </c>
      <c r="L53" s="275">
        <f t="shared" si="16"/>
        <v>144.32112842466864</v>
      </c>
      <c r="M53" s="275">
        <f t="shared" si="16"/>
        <v>19.381876954753167</v>
      </c>
      <c r="N53" s="275">
        <f t="shared" si="16"/>
        <v>5.9572073962414755</v>
      </c>
      <c r="O53" s="275">
        <f t="shared" si="16"/>
        <v>5.9290822127102016</v>
      </c>
      <c r="P53" s="275">
        <f t="shared" si="16"/>
        <v>97.160125395991841</v>
      </c>
      <c r="Q53" s="275">
        <f t="shared" si="16"/>
        <v>164.03860390492531</v>
      </c>
      <c r="R53" s="275">
        <f t="shared" si="16"/>
        <v>0</v>
      </c>
      <c r="S53" s="275">
        <f t="shared" si="16"/>
        <v>399.11398722709663</v>
      </c>
      <c r="T53" s="275">
        <f t="shared" si="16"/>
        <v>40.711267037367712</v>
      </c>
      <c r="U53" s="275">
        <f t="shared" si="16"/>
        <v>229.82535128728011</v>
      </c>
      <c r="V53" s="275">
        <f t="shared" si="16"/>
        <v>110.82557596026385</v>
      </c>
      <c r="W53" s="275">
        <f t="shared" si="16"/>
        <v>618.0178115167223</v>
      </c>
      <c r="X53" s="275">
        <f t="shared" si="16"/>
        <v>455.43488366185392</v>
      </c>
      <c r="Y53" s="275">
        <f t="shared" si="16"/>
        <v>358.77144256063258</v>
      </c>
      <c r="Z53" s="503">
        <f t="shared" si="16"/>
        <v>592.46385928294114</v>
      </c>
      <c r="AA53" s="556">
        <f t="shared" si="16"/>
        <v>2414.7872900545713</v>
      </c>
      <c r="AB53" s="556">
        <f t="shared" si="16"/>
        <v>809.63058709496261</v>
      </c>
      <c r="AC53" s="556">
        <f t="shared" si="16"/>
        <v>588.86340593376804</v>
      </c>
      <c r="AD53" s="556">
        <f t="shared" si="16"/>
        <v>1406.6701855054278</v>
      </c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</row>
    <row r="54" spans="1:102" s="239" customFormat="1" x14ac:dyDescent="0.6">
      <c r="B54" s="1039"/>
      <c r="AA54" s="239">
        <f>AA52/AA53</f>
        <v>-8.713822383724279E-2</v>
      </c>
      <c r="AB54" s="239">
        <f>AB52/AB53</f>
        <v>-6.629789766912389E-2</v>
      </c>
      <c r="AC54" s="239">
        <f>AC52/AC53</f>
        <v>-3.5615459338959078E-2</v>
      </c>
      <c r="AD54" s="239">
        <f>AD52/AD53</f>
        <v>-4.9113442525161831E-2</v>
      </c>
    </row>
    <row r="56" spans="1:102" x14ac:dyDescent="0.6">
      <c r="C56" s="2" t="s">
        <v>1727</v>
      </c>
      <c r="D56" s="2"/>
      <c r="E56" s="2"/>
    </row>
    <row r="57" spans="1:102" x14ac:dyDescent="0.6">
      <c r="C57" s="51" t="s">
        <v>1728</v>
      </c>
      <c r="D57" s="51" t="s">
        <v>1726</v>
      </c>
      <c r="E57" s="51" t="s">
        <v>802</v>
      </c>
      <c r="F57" s="69" t="s">
        <v>1732</v>
      </c>
    </row>
    <row r="58" spans="1:102" x14ac:dyDescent="0.6">
      <c r="B58" s="1" t="s">
        <v>21</v>
      </c>
      <c r="C58" s="1">
        <f>D58+E58</f>
        <v>86</v>
      </c>
      <c r="D58" s="1">
        <f>'OECD gasoline subsidies'!B151</f>
        <v>49</v>
      </c>
      <c r="E58" s="1">
        <f>'OECD gasoline subsidies'!B152</f>
        <v>37</v>
      </c>
    </row>
    <row r="59" spans="1:102" x14ac:dyDescent="0.6">
      <c r="B59" s="1" t="s">
        <v>1729</v>
      </c>
      <c r="C59" s="1">
        <f>D59+E59</f>
        <v>304</v>
      </c>
      <c r="D59" s="1">
        <f>'OECD distillate subsidies'!B318</f>
        <v>220</v>
      </c>
      <c r="E59" s="1">
        <f>'OECD distillate subsidies'!B319</f>
        <v>84</v>
      </c>
    </row>
    <row r="60" spans="1:102" x14ac:dyDescent="0.6">
      <c r="B60" s="1" t="s">
        <v>97</v>
      </c>
      <c r="C60" s="1">
        <f>D60+E60</f>
        <v>113</v>
      </c>
      <c r="D60" s="1">
        <f>'OECD LPG subsidies'!B147</f>
        <v>78</v>
      </c>
      <c r="E60" s="1">
        <f>'OECD LPG subsidies'!B148</f>
        <v>35</v>
      </c>
    </row>
    <row r="61" spans="1:102" x14ac:dyDescent="0.6">
      <c r="B61" s="1" t="s">
        <v>92</v>
      </c>
      <c r="C61" s="1">
        <f t="shared" ref="C61:C68" si="17">D61+E61</f>
        <v>43</v>
      </c>
      <c r="D61" s="1">
        <f>'OECD Jet subsidies'!B93</f>
        <v>30</v>
      </c>
      <c r="E61" s="1">
        <f>'OECD Jet subsidies'!B94</f>
        <v>13</v>
      </c>
    </row>
    <row r="62" spans="1:102" x14ac:dyDescent="0.6">
      <c r="B62" s="1" t="s">
        <v>102</v>
      </c>
      <c r="C62" s="1">
        <f t="shared" si="17"/>
        <v>28</v>
      </c>
      <c r="D62" s="1">
        <f>'OECD other kero subsidies'!B90</f>
        <v>20</v>
      </c>
      <c r="E62" s="1">
        <f>'OECD other kero subsidies'!B91</f>
        <v>8</v>
      </c>
    </row>
    <row r="63" spans="1:102" x14ac:dyDescent="0.6">
      <c r="B63" s="1" t="s">
        <v>101</v>
      </c>
      <c r="C63" s="1">
        <f t="shared" si="17"/>
        <v>91</v>
      </c>
      <c r="D63" s="1">
        <f>'OECD HFO subsidies'!B137</f>
        <v>59</v>
      </c>
      <c r="E63" s="1">
        <f>'OECD HFO subsidies'!B138</f>
        <v>32</v>
      </c>
    </row>
    <row r="64" spans="1:102" x14ac:dyDescent="0.6">
      <c r="B64" s="1" t="s">
        <v>1730</v>
      </c>
      <c r="C64" s="1">
        <f t="shared" si="17"/>
        <v>107</v>
      </c>
      <c r="D64" s="1">
        <f>'OECD Other oil subsidies'!B149</f>
        <v>67</v>
      </c>
      <c r="E64" s="1">
        <f>'OECD Other oil subsidies'!B150</f>
        <v>40</v>
      </c>
    </row>
    <row r="65" spans="2:14" x14ac:dyDescent="0.6">
      <c r="B65" s="1" t="s">
        <v>454</v>
      </c>
      <c r="C65" s="1">
        <f t="shared" si="17"/>
        <v>288</v>
      </c>
      <c r="D65" s="1">
        <f>'OECD crude subsidies'!B351</f>
        <v>142</v>
      </c>
      <c r="E65" s="1">
        <f>'OECD crude subsidies'!B352</f>
        <v>146</v>
      </c>
    </row>
    <row r="66" spans="2:14" x14ac:dyDescent="0.6">
      <c r="B66" s="1" t="s">
        <v>45</v>
      </c>
      <c r="C66" s="1">
        <f t="shared" si="17"/>
        <v>614</v>
      </c>
      <c r="D66" s="1">
        <f>'OECD coal subsidies'!C662</f>
        <v>252</v>
      </c>
      <c r="E66" s="1">
        <f>'OECD coal subsidies'!C663</f>
        <v>362</v>
      </c>
    </row>
    <row r="67" spans="2:14" x14ac:dyDescent="0.6">
      <c r="B67" s="1" t="s">
        <v>1492</v>
      </c>
      <c r="C67" s="1">
        <f t="shared" si="17"/>
        <v>326</v>
      </c>
      <c r="D67" s="1">
        <f>'OECD NG subsidies'!C370</f>
        <v>188</v>
      </c>
      <c r="E67" s="1">
        <f>'OECD NG subsidies'!C371</f>
        <v>138</v>
      </c>
    </row>
    <row r="68" spans="2:14" x14ac:dyDescent="0.6">
      <c r="B68" s="1" t="s">
        <v>123</v>
      </c>
      <c r="C68" s="1">
        <f t="shared" si="17"/>
        <v>32</v>
      </c>
      <c r="D68" s="1">
        <f>'OECD electricity subsidies'!C131</f>
        <v>16</v>
      </c>
      <c r="E68" s="1">
        <f>'OECD electricity subsidies'!C132</f>
        <v>16</v>
      </c>
    </row>
    <row r="70" spans="2:14" x14ac:dyDescent="0.6">
      <c r="B70" s="1" t="s">
        <v>42</v>
      </c>
      <c r="C70" s="1">
        <f>SUM(C58:C69)</f>
        <v>2032</v>
      </c>
      <c r="D70" s="1">
        <f t="shared" ref="D70:E70" si="18">SUM(D58:D69)</f>
        <v>1121</v>
      </c>
      <c r="E70" s="1">
        <f t="shared" si="18"/>
        <v>911</v>
      </c>
    </row>
    <row r="72" spans="2:14" x14ac:dyDescent="0.6">
      <c r="C72" s="2" t="s">
        <v>1727</v>
      </c>
      <c r="D72" s="2"/>
      <c r="E72" s="2"/>
    </row>
    <row r="73" spans="2:14" x14ac:dyDescent="0.6">
      <c r="B73" s="69" t="s">
        <v>37</v>
      </c>
      <c r="C73" s="51" t="s">
        <v>1728</v>
      </c>
      <c r="D73" s="51" t="s">
        <v>1726</v>
      </c>
      <c r="E73" s="51" t="s">
        <v>802</v>
      </c>
      <c r="F73" s="69" t="s">
        <v>1732</v>
      </c>
      <c r="G73" s="1573" t="s">
        <v>1733</v>
      </c>
      <c r="N73" s="13"/>
    </row>
    <row r="74" spans="2:14" x14ac:dyDescent="0.6">
      <c r="B74" s="1" t="s">
        <v>21</v>
      </c>
      <c r="C74" s="13">
        <f>'OECD gasoline subsidies'!G5</f>
        <v>24</v>
      </c>
      <c r="D74" s="13">
        <f>C74-E74</f>
        <v>19</v>
      </c>
      <c r="E74" s="13">
        <f>'OECD gasoline subsidies'!G6</f>
        <v>5</v>
      </c>
      <c r="F74" s="13">
        <f>'OECD gasoline subsidies'!G7</f>
        <v>22</v>
      </c>
      <c r="G74" s="13">
        <f>'OECD gasoline subsidies'!G8</f>
        <v>4</v>
      </c>
      <c r="N74" s="13"/>
    </row>
    <row r="75" spans="2:14" x14ac:dyDescent="0.6">
      <c r="B75" s="1" t="s">
        <v>1729</v>
      </c>
      <c r="C75" s="13">
        <f>'OECD distillate subsidies'!J4</f>
        <v>47</v>
      </c>
      <c r="D75" s="13">
        <f t="shared" ref="D75:D84" si="19">C75-E75</f>
        <v>36</v>
      </c>
      <c r="E75" s="13">
        <f>'OECD distillate subsidies'!J5</f>
        <v>11</v>
      </c>
      <c r="F75" s="13">
        <f>'OECD distillate subsidies'!J6</f>
        <v>25</v>
      </c>
      <c r="G75" s="13">
        <f>'OECD distillate subsidies'!J7</f>
        <v>1</v>
      </c>
      <c r="N75" s="13"/>
    </row>
    <row r="76" spans="2:14" x14ac:dyDescent="0.6">
      <c r="B76" s="1" t="s">
        <v>97</v>
      </c>
      <c r="C76" s="13">
        <f>'OECD LPG subsidies'!J4</f>
        <v>8</v>
      </c>
      <c r="D76" s="13">
        <f t="shared" si="19"/>
        <v>7</v>
      </c>
      <c r="E76" s="13">
        <f>'OECD LPG subsidies'!J5</f>
        <v>1</v>
      </c>
      <c r="F76" s="13">
        <f>'OECD LPG subsidies'!J6</f>
        <v>1</v>
      </c>
      <c r="G76" s="13">
        <f>'OECD LPG subsidies'!J7</f>
        <v>5</v>
      </c>
      <c r="N76" s="13"/>
    </row>
    <row r="77" spans="2:14" x14ac:dyDescent="0.6">
      <c r="B77" s="1" t="s">
        <v>92</v>
      </c>
      <c r="C77" s="13">
        <f>'OECD Jet subsidies'!G4</f>
        <v>6</v>
      </c>
      <c r="D77" s="13">
        <f t="shared" si="19"/>
        <v>6</v>
      </c>
      <c r="E77" s="13">
        <f>'OECD Jet subsidies'!G5</f>
        <v>0</v>
      </c>
      <c r="F77" s="13">
        <f>'OECD Jet subsidies'!G6</f>
        <v>5</v>
      </c>
      <c r="G77" s="13">
        <f>'OECD Jet subsidies'!G7</f>
        <v>0</v>
      </c>
      <c r="J77" s="13"/>
      <c r="N77" s="22"/>
    </row>
    <row r="78" spans="2:14" x14ac:dyDescent="0.6">
      <c r="B78" s="1" t="s">
        <v>102</v>
      </c>
      <c r="C78" s="13">
        <f>'OECD other kero subsidies'!J4</f>
        <v>6</v>
      </c>
      <c r="D78" s="13">
        <f t="shared" si="19"/>
        <v>6</v>
      </c>
      <c r="E78" s="13">
        <f>'OECD other kero subsidies'!J5</f>
        <v>0</v>
      </c>
      <c r="F78" s="13">
        <f>'OECD other kero subsidies'!J6</f>
        <v>5</v>
      </c>
      <c r="G78" s="13">
        <f>'OECD other kero subsidies'!J7</f>
        <v>4</v>
      </c>
      <c r="J78" s="22"/>
      <c r="N78" s="22"/>
    </row>
    <row r="79" spans="2:14" x14ac:dyDescent="0.6">
      <c r="B79" s="1" t="s">
        <v>101</v>
      </c>
      <c r="C79" s="13">
        <f>'OECD HFO subsidies'!N4</f>
        <v>6</v>
      </c>
      <c r="D79" s="13">
        <f t="shared" si="19"/>
        <v>5</v>
      </c>
      <c r="E79" s="13">
        <f>'OECD HFO subsidies'!N5</f>
        <v>1</v>
      </c>
      <c r="F79" s="13">
        <f>'OECD HFO subsidies'!N6</f>
        <v>5</v>
      </c>
      <c r="G79" s="13">
        <f>'OECD HFO subsidies'!N7</f>
        <v>0</v>
      </c>
    </row>
    <row r="80" spans="2:14" x14ac:dyDescent="0.6">
      <c r="B80" s="1" t="s">
        <v>1730</v>
      </c>
      <c r="C80" s="13">
        <f>'OECD Other oil subsidies'!F4</f>
        <v>5</v>
      </c>
      <c r="D80" s="13">
        <f t="shared" si="19"/>
        <v>3</v>
      </c>
      <c r="E80" s="13">
        <f>'OECD Other oil subsidies'!F5</f>
        <v>2</v>
      </c>
      <c r="F80" s="13">
        <f>'OECD Other oil subsidies'!F6</f>
        <v>4</v>
      </c>
      <c r="G80" s="13">
        <f>'OECD Other oil subsidies'!F7</f>
        <v>0</v>
      </c>
    </row>
    <row r="81" spans="2:7" x14ac:dyDescent="0.6">
      <c r="B81" s="1" t="s">
        <v>454</v>
      </c>
      <c r="C81" s="13">
        <f>'OECD crude subsidies'!G5</f>
        <v>91</v>
      </c>
      <c r="D81" s="13">
        <f t="shared" si="19"/>
        <v>43</v>
      </c>
      <c r="E81" s="13">
        <f>'OECD crude subsidies'!G6</f>
        <v>48</v>
      </c>
      <c r="F81" s="13">
        <f>'OECD crude subsidies'!G7</f>
        <v>51</v>
      </c>
      <c r="G81" s="13">
        <f>'OECD crude subsidies'!G8</f>
        <v>0</v>
      </c>
    </row>
    <row r="82" spans="2:7" x14ac:dyDescent="0.6">
      <c r="B82" s="1" t="s">
        <v>45</v>
      </c>
      <c r="C82" s="13">
        <f>'OECD coal subsidies'!G5</f>
        <v>101</v>
      </c>
      <c r="D82" s="13">
        <f t="shared" si="19"/>
        <v>39</v>
      </c>
      <c r="E82" s="13">
        <f>'OECD coal subsidies'!G6</f>
        <v>62</v>
      </c>
      <c r="F82" s="13">
        <f>'OECD coal subsidies'!G7</f>
        <v>44</v>
      </c>
      <c r="G82" s="13">
        <f>'OECD coal subsidies'!G8</f>
        <v>0</v>
      </c>
    </row>
    <row r="83" spans="2:7" x14ac:dyDescent="0.6">
      <c r="B83" s="1" t="s">
        <v>1492</v>
      </c>
      <c r="C83" s="13">
        <f>'OECD NG subsidies'!J5</f>
        <v>91</v>
      </c>
      <c r="D83" s="13">
        <f t="shared" si="19"/>
        <v>49</v>
      </c>
      <c r="E83" s="13">
        <f>'OECD NG subsidies'!J6</f>
        <v>42</v>
      </c>
      <c r="F83" s="13">
        <f>'OECD NG subsidies'!J7</f>
        <v>53</v>
      </c>
      <c r="G83" s="13">
        <f>'OECD NG subsidies'!J8</f>
        <v>8</v>
      </c>
    </row>
    <row r="84" spans="2:7" x14ac:dyDescent="0.6">
      <c r="B84" s="1" t="s">
        <v>123</v>
      </c>
      <c r="C84" s="13">
        <f>'OECD electricity subsidies'!I5</f>
        <v>10</v>
      </c>
      <c r="D84" s="13">
        <f t="shared" si="19"/>
        <v>6</v>
      </c>
      <c r="E84" s="13">
        <f>'OECD electricity subsidies'!I6</f>
        <v>4</v>
      </c>
      <c r="F84" s="13">
        <f>'OECD electricity subsidies'!I7</f>
        <v>7</v>
      </c>
      <c r="G84" s="13">
        <f>'OECD electricity subsidies'!I8</f>
        <v>4</v>
      </c>
    </row>
    <row r="85" spans="2:7" x14ac:dyDescent="0.6">
      <c r="C85" s="13"/>
      <c r="D85" s="13"/>
      <c r="E85" s="13"/>
      <c r="F85" s="13"/>
      <c r="G85" s="13"/>
    </row>
    <row r="86" spans="2:7" x14ac:dyDescent="0.6">
      <c r="B86" s="1" t="s">
        <v>42</v>
      </c>
      <c r="C86" s="13">
        <f>SUM(C74:C85)</f>
        <v>395</v>
      </c>
      <c r="D86" s="13">
        <f t="shared" ref="D86" si="20">SUM(D74:D85)</f>
        <v>219</v>
      </c>
      <c r="E86" s="13">
        <f t="shared" ref="E86" si="21">SUM(E74:E85)</f>
        <v>176</v>
      </c>
      <c r="F86" s="13">
        <f t="shared" ref="F86" si="22">SUM(F74:F85)</f>
        <v>222</v>
      </c>
      <c r="G86" s="13">
        <f t="shared" ref="G86" si="23">SUM(G74:G85)</f>
        <v>26</v>
      </c>
    </row>
    <row r="87" spans="2:7" x14ac:dyDescent="0.6">
      <c r="C87" s="13"/>
      <c r="D87" s="13"/>
      <c r="E87" s="13"/>
      <c r="F87" s="13"/>
      <c r="G87" s="13"/>
    </row>
    <row r="88" spans="2:7" x14ac:dyDescent="0.6">
      <c r="B88" s="69" t="s">
        <v>626</v>
      </c>
      <c r="C88" s="1598" t="s">
        <v>1728</v>
      </c>
      <c r="D88" s="1598" t="s">
        <v>1726</v>
      </c>
      <c r="E88" s="1598" t="s">
        <v>802</v>
      </c>
      <c r="F88" s="1599" t="s">
        <v>1732</v>
      </c>
      <c r="G88" s="1600" t="s">
        <v>1733</v>
      </c>
    </row>
    <row r="89" spans="2:7" x14ac:dyDescent="0.6">
      <c r="B89" s="1" t="s">
        <v>21</v>
      </c>
      <c r="C89" s="13">
        <f>'OECD gasoline subsidies'!G30</f>
        <v>63</v>
      </c>
      <c r="D89" s="13">
        <f>C89-E89</f>
        <v>36</v>
      </c>
      <c r="E89" s="13">
        <f>'OECD gasoline subsidies'!G31</f>
        <v>27</v>
      </c>
      <c r="F89" s="13">
        <f>'OECD gasoline subsidies'!G32</f>
        <v>46</v>
      </c>
      <c r="G89" s="13">
        <f>'OECD gasoline subsidies'!G33</f>
        <v>0</v>
      </c>
    </row>
    <row r="90" spans="2:7" x14ac:dyDescent="0.6">
      <c r="B90" s="1" t="s">
        <v>1729</v>
      </c>
      <c r="C90" s="13">
        <f>'OECD distillate subsidies'!J53</f>
        <v>213</v>
      </c>
      <c r="D90" s="13">
        <f t="shared" ref="D90:D99" si="24">C90-E90</f>
        <v>145</v>
      </c>
      <c r="E90" s="13">
        <f>'OECD distillate subsidies'!J54</f>
        <v>68</v>
      </c>
      <c r="F90" s="13">
        <f>'OECD distillate subsidies'!J55</f>
        <v>170</v>
      </c>
      <c r="G90" s="13">
        <f>'OECD distillate subsidies'!J56</f>
        <v>0</v>
      </c>
    </row>
    <row r="91" spans="2:7" x14ac:dyDescent="0.6">
      <c r="B91" s="1" t="s">
        <v>97</v>
      </c>
      <c r="C91" s="13">
        <f>'OECD LPG subsidies'!J13</f>
        <v>77</v>
      </c>
      <c r="D91" s="13">
        <f t="shared" si="24"/>
        <v>49</v>
      </c>
      <c r="E91" s="13">
        <f>'OECD LPG subsidies'!J14</f>
        <v>28</v>
      </c>
      <c r="F91" s="13">
        <f>'OECD LPG subsidies'!J15</f>
        <v>49</v>
      </c>
      <c r="G91" s="13"/>
    </row>
    <row r="92" spans="2:7" x14ac:dyDescent="0.6">
      <c r="B92" s="1" t="s">
        <v>92</v>
      </c>
      <c r="C92" s="13">
        <f>'OECD Jet subsidies'!G10</f>
        <v>24</v>
      </c>
      <c r="D92" s="13">
        <f t="shared" si="24"/>
        <v>13</v>
      </c>
      <c r="E92" s="13">
        <f>'OECD Jet subsidies'!G11</f>
        <v>11</v>
      </c>
      <c r="F92" s="13">
        <f>'OECD Jet subsidies'!G12</f>
        <v>21</v>
      </c>
      <c r="G92" s="13"/>
    </row>
    <row r="93" spans="2:7" x14ac:dyDescent="0.6">
      <c r="B93" s="1" t="s">
        <v>102</v>
      </c>
      <c r="C93" s="13">
        <f>'OECD other kero subsidies'!J10</f>
        <v>16</v>
      </c>
      <c r="D93" s="13">
        <f t="shared" si="24"/>
        <v>11</v>
      </c>
      <c r="E93" s="13">
        <f>'OECD other kero subsidies'!J11</f>
        <v>5</v>
      </c>
      <c r="F93" s="13">
        <f>'OECD other kero subsidies'!J12</f>
        <v>12</v>
      </c>
      <c r="G93" s="13"/>
    </row>
    <row r="94" spans="2:7" x14ac:dyDescent="0.6">
      <c r="B94" s="1" t="s">
        <v>101</v>
      </c>
      <c r="C94" s="13">
        <f>'OECD HFO subsidies'!N11</f>
        <v>73</v>
      </c>
      <c r="D94" s="13">
        <f t="shared" si="24"/>
        <v>46</v>
      </c>
      <c r="E94" s="13">
        <f>'OECD HFO subsidies'!N12</f>
        <v>27</v>
      </c>
      <c r="F94" s="13">
        <f>'OECD HFO subsidies'!N13</f>
        <v>66</v>
      </c>
      <c r="G94" s="13"/>
    </row>
    <row r="95" spans="2:7" x14ac:dyDescent="0.6">
      <c r="B95" s="1" t="s">
        <v>1730</v>
      </c>
      <c r="C95" s="13">
        <f>'OECD Other oil subsidies'!F10</f>
        <v>79</v>
      </c>
      <c r="D95" s="13">
        <f t="shared" si="24"/>
        <v>49</v>
      </c>
      <c r="E95" s="13">
        <f>'OECD Other oil subsidies'!F11</f>
        <v>30</v>
      </c>
      <c r="F95" s="13">
        <f>'OECD Other oil subsidies'!F12</f>
        <v>55</v>
      </c>
      <c r="G95" s="13"/>
    </row>
    <row r="96" spans="2:7" x14ac:dyDescent="0.6">
      <c r="B96" s="1" t="s">
        <v>454</v>
      </c>
      <c r="C96" s="13">
        <f>'OECD crude subsidies'!G96</f>
        <v>165</v>
      </c>
      <c r="D96" s="13">
        <f t="shared" si="24"/>
        <v>85</v>
      </c>
      <c r="E96" s="13">
        <f>'OECD crude subsidies'!G97</f>
        <v>80</v>
      </c>
      <c r="F96" s="13">
        <f>'OECD crude subsidies'!G98</f>
        <v>5</v>
      </c>
      <c r="G96" s="13"/>
    </row>
    <row r="97" spans="2:7" x14ac:dyDescent="0.6">
      <c r="B97" s="1" t="s">
        <v>45</v>
      </c>
      <c r="C97" s="13">
        <f>'OECD coal subsidies'!G107</f>
        <v>450</v>
      </c>
      <c r="D97" s="13">
        <f t="shared" si="24"/>
        <v>167</v>
      </c>
      <c r="E97" s="13">
        <f>'OECD coal subsidies'!G108</f>
        <v>283</v>
      </c>
      <c r="F97" s="13">
        <f>'OECD coal subsidies'!G109</f>
        <v>105</v>
      </c>
      <c r="G97" s="13">
        <f>'OECD coal subsidies'!G110</f>
        <v>0</v>
      </c>
    </row>
    <row r="98" spans="2:7" x14ac:dyDescent="0.6">
      <c r="B98" s="1" t="s">
        <v>1492</v>
      </c>
      <c r="C98" s="13">
        <f>'OECD NG subsidies'!J97</f>
        <v>209</v>
      </c>
      <c r="D98" s="13">
        <f t="shared" si="24"/>
        <v>123</v>
      </c>
      <c r="E98" s="13">
        <f>'OECD NG subsidies'!J98</f>
        <v>86</v>
      </c>
      <c r="F98" s="13">
        <f>'OECD NG subsidies'!J99</f>
        <v>81</v>
      </c>
      <c r="G98" s="13"/>
    </row>
    <row r="99" spans="2:7" x14ac:dyDescent="0.6">
      <c r="B99" s="1" t="s">
        <v>123</v>
      </c>
      <c r="C99" s="13">
        <f>'OECD electricity subsidies'!I16</f>
        <v>56</v>
      </c>
      <c r="D99" s="13">
        <f t="shared" si="24"/>
        <v>44</v>
      </c>
      <c r="E99" s="13">
        <f>'OECD electricity subsidies'!I17</f>
        <v>12</v>
      </c>
      <c r="F99" s="13">
        <f>'OECD electricity subsidies'!I18</f>
        <v>17</v>
      </c>
      <c r="G99" s="13"/>
    </row>
    <row r="100" spans="2:7" x14ac:dyDescent="0.6">
      <c r="C100" s="13"/>
      <c r="D100" s="13"/>
      <c r="E100" s="13"/>
      <c r="F100" s="13"/>
      <c r="G100" s="13"/>
    </row>
    <row r="101" spans="2:7" x14ac:dyDescent="0.6">
      <c r="B101" s="1" t="s">
        <v>42</v>
      </c>
      <c r="C101" s="13">
        <f>SUM(C89:C100)</f>
        <v>1425</v>
      </c>
      <c r="D101" s="13">
        <f t="shared" ref="D101:G101" si="25">SUM(D89:D100)</f>
        <v>768</v>
      </c>
      <c r="E101" s="13">
        <f t="shared" si="25"/>
        <v>657</v>
      </c>
      <c r="F101" s="13">
        <f t="shared" si="25"/>
        <v>627</v>
      </c>
      <c r="G101" s="13">
        <f t="shared" si="25"/>
        <v>0</v>
      </c>
    </row>
    <row r="102" spans="2:7" x14ac:dyDescent="0.6">
      <c r="E102" s="239">
        <f>E101/C101</f>
        <v>0.46105263157894738</v>
      </c>
      <c r="F102" s="239">
        <f>F101/C101</f>
        <v>0.44</v>
      </c>
    </row>
    <row r="104" spans="2:7" x14ac:dyDescent="0.6">
      <c r="B104" s="69" t="s">
        <v>78</v>
      </c>
      <c r="C104" s="1598" t="s">
        <v>1728</v>
      </c>
      <c r="D104" s="1598" t="s">
        <v>1726</v>
      </c>
      <c r="E104" s="1598" t="s">
        <v>802</v>
      </c>
      <c r="F104" s="1599" t="s">
        <v>1732</v>
      </c>
      <c r="G104" s="1600" t="s">
        <v>1733</v>
      </c>
    </row>
    <row r="105" spans="2:7" x14ac:dyDescent="0.6">
      <c r="B105" s="1" t="s">
        <v>21</v>
      </c>
      <c r="C105" s="13">
        <f>'OECD gasoline subsidies'!G133</f>
        <v>8</v>
      </c>
      <c r="D105" s="13">
        <f>C105-E105</f>
        <v>3</v>
      </c>
      <c r="E105" s="13">
        <f>'OECD gasoline subsidies'!G134</f>
        <v>5</v>
      </c>
      <c r="F105" s="13">
        <f>'OECD gasoline subsidies'!G135</f>
        <v>2</v>
      </c>
      <c r="G105" s="13">
        <f>'OECD gasoline subsidies'!G49</f>
        <v>0</v>
      </c>
    </row>
    <row r="106" spans="2:7" x14ac:dyDescent="0.6">
      <c r="B106" s="1" t="s">
        <v>1729</v>
      </c>
      <c r="C106" s="13">
        <f>'OECD distillate subsidies'!J295</f>
        <v>13</v>
      </c>
      <c r="D106" s="13">
        <f t="shared" ref="D106:D115" si="26">C106-E106</f>
        <v>8</v>
      </c>
      <c r="E106" s="13">
        <f>'OECD distillate subsidies'!J296</f>
        <v>5</v>
      </c>
      <c r="F106" s="13">
        <f>'OECD distillate subsidies'!J297</f>
        <v>4</v>
      </c>
      <c r="G106" s="13">
        <f>'OECD distillate subsidies'!J72</f>
        <v>0</v>
      </c>
    </row>
    <row r="107" spans="2:7" x14ac:dyDescent="0.6">
      <c r="B107" s="1" t="s">
        <v>97</v>
      </c>
      <c r="C107" s="13">
        <f>'OECD LPG subsidies'!J127</f>
        <v>10</v>
      </c>
      <c r="D107" s="13">
        <f t="shared" si="26"/>
        <v>4</v>
      </c>
      <c r="E107" s="13">
        <f>'OECD LPG subsidies'!J128</f>
        <v>6</v>
      </c>
      <c r="F107" s="13">
        <f>'OECD LPG subsidies'!J129</f>
        <v>3</v>
      </c>
      <c r="G107" s="13"/>
    </row>
    <row r="108" spans="2:7" x14ac:dyDescent="0.6">
      <c r="B108" s="1" t="s">
        <v>92</v>
      </c>
      <c r="C108" s="13">
        <f>'OECD Jet subsidies'!G77</f>
        <v>5</v>
      </c>
      <c r="D108" s="13">
        <f t="shared" si="26"/>
        <v>3</v>
      </c>
      <c r="E108" s="13">
        <f>'OECD Jet subsidies'!G78</f>
        <v>2</v>
      </c>
      <c r="F108" s="13">
        <f>'OECD Jet subsidies'!G79</f>
        <v>3</v>
      </c>
      <c r="G108" s="13"/>
    </row>
    <row r="109" spans="2:7" x14ac:dyDescent="0.6">
      <c r="B109" s="1" t="s">
        <v>102</v>
      </c>
      <c r="C109" s="13">
        <f>'OECD other kero subsidies'!J74</f>
        <v>4</v>
      </c>
      <c r="D109" s="13">
        <f t="shared" si="26"/>
        <v>1</v>
      </c>
      <c r="E109" s="13">
        <f>'OECD other kero subsidies'!J75</f>
        <v>3</v>
      </c>
      <c r="F109" s="13">
        <f>'OECD other kero subsidies'!J76</f>
        <v>0</v>
      </c>
      <c r="G109" s="13"/>
    </row>
    <row r="110" spans="2:7" x14ac:dyDescent="0.6">
      <c r="B110" s="1" t="s">
        <v>101</v>
      </c>
      <c r="C110" s="13">
        <f>'OECD HFO subsidies'!N121</f>
        <v>5</v>
      </c>
      <c r="D110" s="13">
        <f t="shared" si="26"/>
        <v>1</v>
      </c>
      <c r="E110" s="13">
        <f>'OECD HFO subsidies'!N122</f>
        <v>4</v>
      </c>
      <c r="F110" s="13">
        <f>'OECD HFO subsidies'!N123</f>
        <v>0</v>
      </c>
      <c r="G110" s="13"/>
    </row>
    <row r="111" spans="2:7" x14ac:dyDescent="0.6">
      <c r="B111" s="1" t="s">
        <v>1730</v>
      </c>
      <c r="C111" s="13">
        <f>'OECD Other oil subsidies'!F127</f>
        <v>11</v>
      </c>
      <c r="D111" s="13">
        <f t="shared" si="26"/>
        <v>3</v>
      </c>
      <c r="E111" s="13">
        <f>'OECD Other oil subsidies'!F128</f>
        <v>8</v>
      </c>
      <c r="F111" s="13">
        <f>'OECD Other oil subsidies'!F129</f>
        <v>6</v>
      </c>
      <c r="G111" s="13"/>
    </row>
    <row r="112" spans="2:7" x14ac:dyDescent="0.6">
      <c r="B112" s="1" t="s">
        <v>454</v>
      </c>
      <c r="C112" s="13">
        <f>'OECD crude subsidies'!G301</f>
        <v>40</v>
      </c>
      <c r="D112" s="13">
        <f t="shared" si="26"/>
        <v>21</v>
      </c>
      <c r="E112" s="13">
        <f>'OECD crude subsidies'!G302</f>
        <v>19</v>
      </c>
      <c r="F112" s="13">
        <f>'OECD crude subsidies'!G303</f>
        <v>1</v>
      </c>
      <c r="G112" s="13"/>
    </row>
    <row r="113" spans="2:7" x14ac:dyDescent="0.6">
      <c r="B113" s="1" t="s">
        <v>45</v>
      </c>
      <c r="C113" s="13">
        <f>'OECD coal subsidies'!G593</f>
        <v>59</v>
      </c>
      <c r="D113" s="13">
        <f t="shared" si="26"/>
        <v>42</v>
      </c>
      <c r="E113" s="13">
        <f>'OECD coal subsidies'!G594</f>
        <v>17</v>
      </c>
      <c r="F113" s="13">
        <f>'OECD coal subsidies'!G595</f>
        <v>11</v>
      </c>
      <c r="G113" s="13">
        <f>'OECD coal subsidies'!G126</f>
        <v>0</v>
      </c>
    </row>
    <row r="114" spans="2:7" x14ac:dyDescent="0.6">
      <c r="B114" s="1" t="s">
        <v>1492</v>
      </c>
      <c r="C114" s="13">
        <f>'OECD NG subsidies'!J335</f>
        <v>25</v>
      </c>
      <c r="D114" s="13">
        <f t="shared" si="26"/>
        <v>15</v>
      </c>
      <c r="E114" s="13">
        <f>'OECD NG subsidies'!J336</f>
        <v>10</v>
      </c>
      <c r="F114" s="13">
        <f>'OECD NG subsidies'!J337</f>
        <v>5</v>
      </c>
      <c r="G114" s="13"/>
    </row>
    <row r="115" spans="2:7" x14ac:dyDescent="0.6">
      <c r="B115" s="1" t="s">
        <v>123</v>
      </c>
      <c r="C115" s="13">
        <f>'OECD electricity subsidies'!I117</f>
        <v>0</v>
      </c>
      <c r="D115" s="13">
        <f t="shared" si="26"/>
        <v>0</v>
      </c>
      <c r="E115" s="13">
        <f>'OECD electricity subsidies'!I118</f>
        <v>0</v>
      </c>
      <c r="F115" s="13">
        <f>'OECD electricity subsidies'!I119</f>
        <v>0</v>
      </c>
      <c r="G115" s="13"/>
    </row>
    <row r="116" spans="2:7" x14ac:dyDescent="0.6">
      <c r="C116" s="13"/>
      <c r="D116" s="13"/>
      <c r="E116" s="13"/>
      <c r="F116" s="13"/>
      <c r="G116" s="13"/>
    </row>
    <row r="117" spans="2:7" x14ac:dyDescent="0.6">
      <c r="B117" s="1" t="s">
        <v>42</v>
      </c>
      <c r="C117" s="13">
        <f>SUM(C105:C116)</f>
        <v>180</v>
      </c>
      <c r="D117" s="13">
        <f t="shared" ref="D117:G117" si="27">SUM(D105:D116)</f>
        <v>101</v>
      </c>
      <c r="E117" s="13">
        <f t="shared" si="27"/>
        <v>79</v>
      </c>
      <c r="F117" s="13">
        <f t="shared" si="27"/>
        <v>35</v>
      </c>
      <c r="G117" s="13">
        <f t="shared" si="27"/>
        <v>0</v>
      </c>
    </row>
    <row r="118" spans="2:7" x14ac:dyDescent="0.6">
      <c r="E118" s="239">
        <f>E117/C117</f>
        <v>0.43888888888888888</v>
      </c>
      <c r="F118" s="239">
        <f>F117/C117</f>
        <v>0.19444444444444445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10.5" style="1160" bestFit="1" customWidth="1"/>
    <col min="4" max="4" width="11.34765625" style="13" bestFit="1" customWidth="1"/>
    <col min="5" max="5" width="18.59765625" style="13" bestFit="1" customWidth="1"/>
    <col min="6" max="6" width="10.5" style="55" customWidth="1"/>
    <col min="7" max="7" width="10.5" style="12" customWidth="1"/>
    <col min="8" max="8" width="10.84765625" style="7" bestFit="1" customWidth="1"/>
    <col min="9" max="9" width="11.09765625" style="1" bestFit="1" customWidth="1"/>
    <col min="10" max="10" width="11.09765625" style="10" bestFit="1" customWidth="1"/>
    <col min="11" max="11" width="12.5" style="5" bestFit="1" customWidth="1"/>
    <col min="12" max="12" width="13" style="10" bestFit="1" customWidth="1"/>
    <col min="13" max="13" width="9.5" style="28" customWidth="1"/>
    <col min="14" max="14" width="9.5" style="331" customWidth="1"/>
    <col min="15" max="16" width="10.34765625" style="10" customWidth="1"/>
    <col min="17" max="17" width="15" style="271" customWidth="1"/>
    <col min="18" max="18" width="9.5" style="271" customWidth="1"/>
    <col min="19" max="19" width="15.84765625" style="271" customWidth="1"/>
    <col min="20" max="20" width="9.5" style="10" customWidth="1"/>
    <col min="21" max="21" width="16" style="70" customWidth="1"/>
    <col min="22" max="22" width="19.59765625" style="57" customWidth="1"/>
    <col min="23" max="23" width="15" style="17" bestFit="1" customWidth="1"/>
    <col min="24" max="24" width="17.5" style="17" bestFit="1" customWidth="1"/>
    <col min="25" max="25" width="10.59765625" style="10" bestFit="1" customWidth="1"/>
    <col min="26" max="26" width="18.5" style="17" bestFit="1" customWidth="1"/>
    <col min="27" max="27" width="17.5" style="10" bestFit="1" customWidth="1"/>
    <col min="28" max="16384" width="10.84765625" style="1"/>
  </cols>
  <sheetData>
    <row r="1" spans="1:27" x14ac:dyDescent="0.6">
      <c r="A1" s="24" t="s">
        <v>97</v>
      </c>
      <c r="C1" s="1154" t="s">
        <v>855</v>
      </c>
      <c r="D1" s="19"/>
      <c r="F1" s="107"/>
      <c r="G1" s="1177"/>
      <c r="L1" s="54"/>
    </row>
    <row r="2" spans="1:27" s="2" customFormat="1" x14ac:dyDescent="0.6">
      <c r="A2" s="24" t="s">
        <v>238</v>
      </c>
      <c r="C2" s="1155" t="s">
        <v>1140</v>
      </c>
      <c r="D2" s="14" t="s">
        <v>875</v>
      </c>
      <c r="E2" s="14"/>
      <c r="F2" s="56"/>
      <c r="G2" s="115" t="s">
        <v>25</v>
      </c>
      <c r="H2" s="8" t="s">
        <v>87</v>
      </c>
      <c r="I2" s="11" t="s">
        <v>638</v>
      </c>
      <c r="J2" s="11" t="s">
        <v>638</v>
      </c>
      <c r="K2" s="6" t="s">
        <v>627</v>
      </c>
      <c r="L2" s="11" t="s">
        <v>627</v>
      </c>
      <c r="M2" s="71" t="s">
        <v>194</v>
      </c>
      <c r="N2" s="332" t="s">
        <v>194</v>
      </c>
      <c r="O2" s="11" t="s">
        <v>194</v>
      </c>
      <c r="P2" s="11" t="s">
        <v>650</v>
      </c>
      <c r="Q2" s="272" t="s">
        <v>397</v>
      </c>
      <c r="R2" s="272" t="s">
        <v>881</v>
      </c>
      <c r="S2" s="272" t="s">
        <v>1747</v>
      </c>
      <c r="T2" s="11" t="s">
        <v>881</v>
      </c>
      <c r="U2" s="114"/>
      <c r="V2" s="58" t="s">
        <v>622</v>
      </c>
      <c r="W2" s="18" t="s">
        <v>42</v>
      </c>
      <c r="X2" s="18"/>
      <c r="Y2" s="11" t="s">
        <v>645</v>
      </c>
      <c r="Z2" s="18"/>
      <c r="AA2" s="11"/>
    </row>
    <row r="3" spans="1:27" s="2" customFormat="1" x14ac:dyDescent="0.6">
      <c r="C3" s="1155" t="s">
        <v>94</v>
      </c>
      <c r="D3" s="14" t="s">
        <v>97</v>
      </c>
      <c r="E3" s="14" t="s">
        <v>25</v>
      </c>
      <c r="F3" s="56" t="s">
        <v>41</v>
      </c>
      <c r="G3" s="115" t="s">
        <v>1132</v>
      </c>
      <c r="H3" s="8" t="s">
        <v>22</v>
      </c>
      <c r="I3" s="11" t="s">
        <v>649</v>
      </c>
      <c r="J3" s="11" t="s">
        <v>639</v>
      </c>
      <c r="K3" s="6" t="s">
        <v>661</v>
      </c>
      <c r="L3" s="11" t="s">
        <v>606</v>
      </c>
      <c r="M3" s="71" t="s">
        <v>84</v>
      </c>
      <c r="N3" s="332" t="s">
        <v>651</v>
      </c>
      <c r="O3" s="11" t="s">
        <v>652</v>
      </c>
      <c r="P3" s="11" t="s">
        <v>403</v>
      </c>
      <c r="Q3" s="272" t="s">
        <v>79</v>
      </c>
      <c r="R3" s="272" t="s">
        <v>79</v>
      </c>
      <c r="S3" s="272" t="s">
        <v>85</v>
      </c>
      <c r="T3" s="11" t="s">
        <v>198</v>
      </c>
      <c r="U3" s="114" t="s">
        <v>602</v>
      </c>
      <c r="V3" s="58" t="s">
        <v>707</v>
      </c>
      <c r="W3" s="18" t="s">
        <v>77</v>
      </c>
      <c r="X3" s="18" t="s">
        <v>34</v>
      </c>
      <c r="Y3" s="11" t="s">
        <v>639</v>
      </c>
      <c r="Z3" s="18" t="s">
        <v>642</v>
      </c>
      <c r="AA3" s="11"/>
    </row>
    <row r="4" spans="1:27" x14ac:dyDescent="0.6">
      <c r="A4" s="61">
        <v>1</v>
      </c>
      <c r="B4" s="44" t="s">
        <v>37</v>
      </c>
      <c r="C4" s="1156">
        <v>41369</v>
      </c>
      <c r="D4" s="961">
        <f>C4-'LPG transport'!C4-'LPG Res'!C4-'LPG Comm'!C4</f>
        <v>23163</v>
      </c>
      <c r="E4" s="345">
        <f>D4*Assumptions!$C$30</f>
        <v>11285013600</v>
      </c>
      <c r="F4" s="399">
        <v>1</v>
      </c>
      <c r="G4" s="1178"/>
      <c r="H4" s="297">
        <f>Assumptions!$C$115</f>
        <v>3.7854100000000002</v>
      </c>
      <c r="I4" s="389"/>
      <c r="J4" s="301">
        <f>'State LPG - Ind'!Q64</f>
        <v>0.4569999999999998</v>
      </c>
      <c r="K4" s="87"/>
      <c r="L4" s="306"/>
      <c r="M4" s="329"/>
      <c r="N4" s="329"/>
      <c r="O4" s="329"/>
      <c r="P4" s="313"/>
      <c r="Q4" s="314"/>
      <c r="R4" s="1053">
        <f>'State LPG - Ind'!Q60</f>
        <v>0</v>
      </c>
      <c r="S4" s="1047">
        <f>R4*E4</f>
        <v>0</v>
      </c>
      <c r="T4" s="310">
        <f>'State LPG - Ind'!Q62</f>
        <v>0</v>
      </c>
      <c r="U4" s="366">
        <f>T4*E4</f>
        <v>0</v>
      </c>
      <c r="V4" s="336">
        <f>-'OECD LPG subsidies'!F2</f>
        <v>-1338935838</v>
      </c>
      <c r="W4" s="342">
        <f>V4*F4</f>
        <v>-1338935838</v>
      </c>
      <c r="X4" s="111">
        <f>U4+W4</f>
        <v>-1338935838</v>
      </c>
      <c r="Y4" s="320">
        <f>'State LPG - Ind'!Q65</f>
        <v>0.4569999999999998</v>
      </c>
      <c r="Z4" s="342">
        <f>Y4*E4+W4</f>
        <v>3818315377.1999979</v>
      </c>
    </row>
    <row r="5" spans="1:27" s="2" customFormat="1" x14ac:dyDescent="0.6">
      <c r="A5" s="40" t="s">
        <v>640</v>
      </c>
      <c r="B5" s="40"/>
      <c r="C5" s="1157"/>
      <c r="D5" s="1153"/>
      <c r="E5" s="346"/>
      <c r="F5" s="418"/>
      <c r="G5" s="966"/>
      <c r="H5" s="298"/>
      <c r="I5" s="385"/>
      <c r="J5" s="302"/>
      <c r="K5" s="426"/>
      <c r="L5" s="307"/>
      <c r="M5" s="358"/>
      <c r="N5" s="333"/>
      <c r="O5" s="316"/>
      <c r="P5" s="316"/>
      <c r="Q5" s="317"/>
      <c r="R5" s="1051"/>
      <c r="S5" s="1052"/>
      <c r="T5" s="311"/>
      <c r="U5" s="367"/>
      <c r="V5" s="338"/>
      <c r="W5" s="343"/>
      <c r="X5" s="165"/>
      <c r="Y5" s="316"/>
      <c r="Z5" s="343"/>
      <c r="AA5" s="11"/>
    </row>
    <row r="6" spans="1:27" x14ac:dyDescent="0.6">
      <c r="A6" s="46">
        <f>A4+1</f>
        <v>2</v>
      </c>
      <c r="B6" s="44" t="s">
        <v>0</v>
      </c>
      <c r="C6" s="1156">
        <v>2271</v>
      </c>
      <c r="D6" s="961">
        <f>C6-'LPG transport'!C6-'LPG Res'!C6-'LPG Comm'!C6</f>
        <v>2088</v>
      </c>
      <c r="E6" s="345">
        <f>D6*Assumptions!$C$30</f>
        <v>1017273600</v>
      </c>
      <c r="F6" s="391">
        <f>Assumptions!$H$3</f>
        <v>1.1863330000000001</v>
      </c>
      <c r="G6" s="1178">
        <f>Assumptions!C29</f>
        <v>487.2</v>
      </c>
      <c r="H6" s="297">
        <f>Assumptions!$C$115</f>
        <v>3.7854100000000002</v>
      </c>
      <c r="I6" s="422"/>
      <c r="J6" s="301">
        <f>IF(D6=0,0,'LPG Res'!I6)</f>
        <v>1.8397279077416202</v>
      </c>
      <c r="K6" s="427">
        <f>'LPG Comm'!J6</f>
        <v>44.3996</v>
      </c>
      <c r="L6" s="286">
        <f>K6/G6*F6</f>
        <v>0.10811311713218391</v>
      </c>
      <c r="M6" s="322"/>
      <c r="N6" s="329"/>
      <c r="O6" s="281"/>
      <c r="P6" s="281"/>
      <c r="Q6" s="314">
        <f t="shared" ref="Q6:Q26" si="0">N6*E6</f>
        <v>0</v>
      </c>
      <c r="R6" s="1053">
        <f t="shared" ref="R6:R39" si="1">L6+P6</f>
        <v>0.10811311713218391</v>
      </c>
      <c r="S6" s="1047">
        <f t="shared" ref="S6:S39" si="2">R6*E6</f>
        <v>109980619.87227841</v>
      </c>
      <c r="T6" s="268">
        <f t="shared" ref="T6:T26" si="3">O6+L6</f>
        <v>0.10811311713218391</v>
      </c>
      <c r="U6" s="366">
        <f t="shared" ref="U6:U26" si="4">E6*T6</f>
        <v>109980619.87227841</v>
      </c>
      <c r="V6" s="336">
        <f>-'OECD LPG subsidies'!F11</f>
        <v>0</v>
      </c>
      <c r="W6" s="342">
        <f t="shared" ref="W6:W26" si="5">V6*F6</f>
        <v>0</v>
      </c>
      <c r="X6" s="111">
        <f t="shared" ref="X6:X26" si="6">U6+W6</f>
        <v>109980619.87227841</v>
      </c>
      <c r="Y6" s="281">
        <f t="shared" ref="Y6:Y26" si="7">(J6+L6)*(1+M6)</f>
        <v>1.9478410248738041</v>
      </c>
      <c r="Z6" s="342">
        <f t="shared" ref="Z6:Z26" si="8">Y6*E6+W6</f>
        <v>1981487251.6010642</v>
      </c>
    </row>
    <row r="7" spans="1:27" x14ac:dyDescent="0.6">
      <c r="A7" s="46">
        <f t="shared" ref="A7:A26" si="9">A6+1</f>
        <v>3</v>
      </c>
      <c r="B7" s="44" t="s">
        <v>1</v>
      </c>
      <c r="C7" s="1156">
        <v>279</v>
      </c>
      <c r="D7" s="961">
        <f>C7-'LPG transport'!C7-'LPG Res'!C7-'LPG Comm'!C7</f>
        <v>132</v>
      </c>
      <c r="E7" s="345">
        <f>D7*Assumptions!$C$30</f>
        <v>64310400</v>
      </c>
      <c r="F7" s="391">
        <f>Assumptions!$H$15</f>
        <v>4.5997000000000003E-2</v>
      </c>
      <c r="G7" s="1178">
        <f>G6</f>
        <v>487.2</v>
      </c>
      <c r="H7" s="297">
        <f>Assumptions!$C$115</f>
        <v>3.7854100000000002</v>
      </c>
      <c r="I7" s="386"/>
      <c r="J7" s="301">
        <f>IF(D7=0,0,'LPG Res'!I7)</f>
        <v>1.9180456861166002</v>
      </c>
      <c r="K7" s="428">
        <f>'LPG Comm'!J7</f>
        <v>1290</v>
      </c>
      <c r="L7" s="286">
        <f>K7/G7*F7</f>
        <v>0.12179008620689656</v>
      </c>
      <c r="M7" s="322"/>
      <c r="N7" s="329"/>
      <c r="O7" s="281"/>
      <c r="P7" s="281"/>
      <c r="Q7" s="314">
        <f t="shared" si="0"/>
        <v>0</v>
      </c>
      <c r="R7" s="1053">
        <f t="shared" si="1"/>
        <v>0.12179008620689656</v>
      </c>
      <c r="S7" s="1047">
        <f t="shared" si="2"/>
        <v>7832369.1600000001</v>
      </c>
      <c r="T7" s="268">
        <f t="shared" si="3"/>
        <v>0.12179008620689656</v>
      </c>
      <c r="U7" s="366">
        <f t="shared" si="4"/>
        <v>7832369.1600000001</v>
      </c>
      <c r="V7" s="336">
        <f>-'OECD LPG subsidies'!F16</f>
        <v>0</v>
      </c>
      <c r="W7" s="342">
        <f t="shared" si="5"/>
        <v>0</v>
      </c>
      <c r="X7" s="111">
        <f t="shared" si="6"/>
        <v>7832369.1600000001</v>
      </c>
      <c r="Y7" s="281">
        <f t="shared" si="7"/>
        <v>2.0398357723234968</v>
      </c>
      <c r="Z7" s="342">
        <f t="shared" si="8"/>
        <v>131182654.452433</v>
      </c>
    </row>
    <row r="8" spans="1:27" x14ac:dyDescent="0.6">
      <c r="A8" s="46">
        <f t="shared" si="9"/>
        <v>4</v>
      </c>
      <c r="B8" s="44" t="s">
        <v>2</v>
      </c>
      <c r="C8" s="1156">
        <v>50</v>
      </c>
      <c r="D8" s="961">
        <f>C8-'LPG transport'!C8-'LPG Res'!C8-'LPG Comm'!C8</f>
        <v>26</v>
      </c>
      <c r="E8" s="345">
        <f>D8*Assumptions!$C$30</f>
        <v>12667200</v>
      </c>
      <c r="F8" s="391">
        <f>Assumptions!$H$16</f>
        <v>0.15934999999999999</v>
      </c>
      <c r="G8" s="1178">
        <f t="shared" ref="G8:G26" si="10">G7</f>
        <v>487.2</v>
      </c>
      <c r="H8" s="297">
        <f>Assumptions!$C$115</f>
        <v>3.7854100000000002</v>
      </c>
      <c r="I8" s="423"/>
      <c r="J8" s="1077">
        <f>IF(D8=0,0,Assumptions!$C$94)</f>
        <v>1.75</v>
      </c>
      <c r="K8" s="437">
        <f>'LPG Comm'!J8</f>
        <v>715</v>
      </c>
      <c r="L8" s="286">
        <f t="shared" ref="L8:L26" si="11">K8/G8*F8</f>
        <v>0.23385724548440068</v>
      </c>
      <c r="M8" s="322"/>
      <c r="N8" s="329"/>
      <c r="O8" s="281"/>
      <c r="P8" s="281"/>
      <c r="Q8" s="314">
        <f t="shared" si="0"/>
        <v>0</v>
      </c>
      <c r="R8" s="1053">
        <f t="shared" si="1"/>
        <v>0.23385724548440068</v>
      </c>
      <c r="S8" s="1047">
        <f t="shared" si="2"/>
        <v>2962316.5000000005</v>
      </c>
      <c r="T8" s="268">
        <f t="shared" si="3"/>
        <v>0.23385724548440068</v>
      </c>
      <c r="U8" s="366">
        <f t="shared" si="4"/>
        <v>2962316.5000000005</v>
      </c>
      <c r="V8" s="336">
        <f>-'OECD LPG subsidies'!F18</f>
        <v>0</v>
      </c>
      <c r="W8" s="342">
        <f t="shared" si="5"/>
        <v>0</v>
      </c>
      <c r="X8" s="111">
        <f t="shared" si="6"/>
        <v>2962316.5000000005</v>
      </c>
      <c r="Y8" s="281">
        <f t="shared" si="7"/>
        <v>1.9838572454844008</v>
      </c>
      <c r="Z8" s="342">
        <f t="shared" si="8"/>
        <v>25129916.5</v>
      </c>
    </row>
    <row r="9" spans="1:27" x14ac:dyDescent="0.6">
      <c r="A9" s="46">
        <f t="shared" si="9"/>
        <v>5</v>
      </c>
      <c r="B9" s="44" t="s">
        <v>3</v>
      </c>
      <c r="C9" s="1156">
        <v>2582</v>
      </c>
      <c r="D9" s="961">
        <f>C9-'LPG transport'!C9-'LPG Res'!C9-'LPG Comm'!C9</f>
        <v>1183</v>
      </c>
      <c r="E9" s="345">
        <f>D9*Assumptions!$C$30</f>
        <v>576357600</v>
      </c>
      <c r="F9" s="391">
        <f>Assumptions!$H$3</f>
        <v>1.1863330000000001</v>
      </c>
      <c r="G9" s="1178">
        <f t="shared" si="10"/>
        <v>487.2</v>
      </c>
      <c r="H9" s="297">
        <f>Assumptions!$C$115</f>
        <v>3.7854100000000002</v>
      </c>
      <c r="I9" s="422"/>
      <c r="J9" s="301">
        <f>IF(D9=0,0,'LPG Res'!I9)</f>
        <v>1.9250522869706903</v>
      </c>
      <c r="K9" s="434">
        <f>'LPG Comm'!J9</f>
        <v>180.32</v>
      </c>
      <c r="L9" s="286">
        <f t="shared" si="11"/>
        <v>0.43907957011494253</v>
      </c>
      <c r="M9" s="322"/>
      <c r="N9" s="329"/>
      <c r="O9" s="281"/>
      <c r="P9" s="281"/>
      <c r="Q9" s="314">
        <f t="shared" si="0"/>
        <v>0</v>
      </c>
      <c r="R9" s="1053">
        <f t="shared" si="1"/>
        <v>0.43907957011494253</v>
      </c>
      <c r="S9" s="1047">
        <f t="shared" si="2"/>
        <v>253066847.24048001</v>
      </c>
      <c r="T9" s="268">
        <f t="shared" si="3"/>
        <v>0.43907957011494253</v>
      </c>
      <c r="U9" s="366">
        <f t="shared" si="4"/>
        <v>253066847.24048001</v>
      </c>
      <c r="V9" s="336">
        <f>-'OECD LPG subsidies'!F20</f>
        <v>-2705695</v>
      </c>
      <c r="W9" s="342">
        <f t="shared" si="5"/>
        <v>-3209855.2664350001</v>
      </c>
      <c r="X9" s="111">
        <f t="shared" si="6"/>
        <v>249856991.97404501</v>
      </c>
      <c r="Y9" s="281">
        <f t="shared" si="7"/>
        <v>2.3641318570856327</v>
      </c>
      <c r="Z9" s="342">
        <f t="shared" si="8"/>
        <v>1359375507.9669833</v>
      </c>
    </row>
    <row r="10" spans="1:27" x14ac:dyDescent="0.6">
      <c r="A10" s="46">
        <f t="shared" si="9"/>
        <v>6</v>
      </c>
      <c r="B10" s="44" t="s">
        <v>4</v>
      </c>
      <c r="C10" s="1156">
        <v>13</v>
      </c>
      <c r="D10" s="961">
        <f>C10-'LPG transport'!C10-'LPG Res'!C10-'LPG Comm'!C10</f>
        <v>7</v>
      </c>
      <c r="E10" s="345">
        <f>D10*Assumptions!$C$30</f>
        <v>3410400</v>
      </c>
      <c r="F10" s="391">
        <f>Assumptions!$H$3</f>
        <v>1.1863330000000001</v>
      </c>
      <c r="G10" s="1178">
        <f t="shared" si="10"/>
        <v>487.2</v>
      </c>
      <c r="H10" s="297">
        <f>Assumptions!$C$115</f>
        <v>3.7854100000000002</v>
      </c>
      <c r="I10" s="422"/>
      <c r="J10" s="301">
        <f>IF(D10=0,0,'LPG Res'!I10)</f>
        <v>1.9475060709783401</v>
      </c>
      <c r="K10" s="434">
        <f>'LPG Comm'!J10</f>
        <v>125.26</v>
      </c>
      <c r="L10" s="286">
        <f t="shared" si="11"/>
        <v>0.30500835710180624</v>
      </c>
      <c r="M10" s="322"/>
      <c r="N10" s="329"/>
      <c r="O10" s="281"/>
      <c r="P10" s="281"/>
      <c r="Q10" s="314">
        <f t="shared" si="0"/>
        <v>0</v>
      </c>
      <c r="R10" s="1053">
        <f t="shared" si="1"/>
        <v>0.30500835710180624</v>
      </c>
      <c r="S10" s="1047">
        <f t="shared" si="2"/>
        <v>1040200.50106</v>
      </c>
      <c r="T10" s="268">
        <f t="shared" si="3"/>
        <v>0.30500835710180624</v>
      </c>
      <c r="U10" s="366">
        <f t="shared" si="4"/>
        <v>1040200.50106</v>
      </c>
      <c r="V10" s="336">
        <f>-'OECD LPG subsidies'!F26</f>
        <v>0</v>
      </c>
      <c r="W10" s="342">
        <f t="shared" si="5"/>
        <v>0</v>
      </c>
      <c r="X10" s="111">
        <f t="shared" si="6"/>
        <v>1040200.50106</v>
      </c>
      <c r="Y10" s="281">
        <f t="shared" si="7"/>
        <v>2.2525144280801461</v>
      </c>
      <c r="Z10" s="342">
        <f t="shared" si="8"/>
        <v>7681975.2055245303</v>
      </c>
    </row>
    <row r="11" spans="1:27" x14ac:dyDescent="0.6">
      <c r="A11" s="46">
        <f t="shared" si="9"/>
        <v>7</v>
      </c>
      <c r="B11" s="44" t="s">
        <v>5</v>
      </c>
      <c r="C11" s="1156">
        <v>483</v>
      </c>
      <c r="D11" s="961">
        <f>C11-'LPG transport'!C11-'LPG Res'!C11-'LPG Comm'!C11</f>
        <v>134</v>
      </c>
      <c r="E11" s="345">
        <f>D11*Assumptions!$C$30</f>
        <v>65284800</v>
      </c>
      <c r="F11" s="391">
        <f>Assumptions!$H$3</f>
        <v>1.1863330000000001</v>
      </c>
      <c r="G11" s="1178">
        <f t="shared" si="10"/>
        <v>487.2</v>
      </c>
      <c r="H11" s="297">
        <f>Assumptions!$C$115</f>
        <v>3.7854100000000002</v>
      </c>
      <c r="I11" s="422"/>
      <c r="J11" s="1077">
        <f>IF(D11=0,0,Assumptions!$C$94)</f>
        <v>1.75</v>
      </c>
      <c r="K11" s="434">
        <f>'LPG Comm'!J11</f>
        <v>120</v>
      </c>
      <c r="L11" s="286">
        <f t="shared" si="11"/>
        <v>0.29220024630541874</v>
      </c>
      <c r="M11" s="322"/>
      <c r="N11" s="329"/>
      <c r="O11" s="281"/>
      <c r="P11" s="281"/>
      <c r="Q11" s="314">
        <f t="shared" si="0"/>
        <v>0</v>
      </c>
      <c r="R11" s="1053">
        <f t="shared" si="1"/>
        <v>0.29220024630541874</v>
      </c>
      <c r="S11" s="1047">
        <f t="shared" si="2"/>
        <v>19076234.640000001</v>
      </c>
      <c r="T11" s="268">
        <f t="shared" si="3"/>
        <v>0.29220024630541874</v>
      </c>
      <c r="U11" s="366">
        <f t="shared" si="4"/>
        <v>19076234.640000001</v>
      </c>
      <c r="V11" s="336">
        <f>-'OECD LPG subsidies'!F28</f>
        <v>0</v>
      </c>
      <c r="W11" s="342">
        <f t="shared" si="5"/>
        <v>0</v>
      </c>
      <c r="X11" s="111">
        <f t="shared" si="6"/>
        <v>19076234.640000001</v>
      </c>
      <c r="Y11" s="281">
        <f t="shared" si="7"/>
        <v>2.042200246305419</v>
      </c>
      <c r="Z11" s="342">
        <f t="shared" si="8"/>
        <v>133324634.64000002</v>
      </c>
    </row>
    <row r="12" spans="1:27" x14ac:dyDescent="0.6">
      <c r="A12" s="46">
        <f t="shared" si="9"/>
        <v>8</v>
      </c>
      <c r="B12" s="44" t="s">
        <v>6</v>
      </c>
      <c r="C12" s="1156">
        <v>1874</v>
      </c>
      <c r="D12" s="961">
        <f>C12-'LPG transport'!C12-'LPG Res'!C12-'LPG Comm'!C12</f>
        <v>715</v>
      </c>
      <c r="E12" s="345">
        <f>D12*Assumptions!$C$30</f>
        <v>348348000</v>
      </c>
      <c r="F12" s="391">
        <f>Assumptions!$H$3</f>
        <v>1.1863330000000001</v>
      </c>
      <c r="G12" s="1178">
        <f t="shared" si="10"/>
        <v>487.2</v>
      </c>
      <c r="H12" s="297">
        <f>Assumptions!$C$115</f>
        <v>3.7854100000000002</v>
      </c>
      <c r="I12" s="422"/>
      <c r="J12" s="301">
        <f>IF(D12=0,0,'LPG Res'!I12)</f>
        <v>2.3157481287038002</v>
      </c>
      <c r="K12" s="434">
        <f>'LPG Comm'!J12</f>
        <v>57.47</v>
      </c>
      <c r="L12" s="286">
        <f t="shared" si="11"/>
        <v>0.13993956795977014</v>
      </c>
      <c r="M12" s="322"/>
      <c r="N12" s="329"/>
      <c r="O12" s="281"/>
      <c r="P12" s="281"/>
      <c r="Q12" s="314">
        <f t="shared" si="0"/>
        <v>0</v>
      </c>
      <c r="R12" s="1053">
        <f t="shared" si="1"/>
        <v>0.13993956795977014</v>
      </c>
      <c r="S12" s="1047">
        <f t="shared" si="2"/>
        <v>48747668.619650006</v>
      </c>
      <c r="T12" s="268">
        <f t="shared" si="3"/>
        <v>0.13993956795977014</v>
      </c>
      <c r="U12" s="366">
        <f t="shared" si="4"/>
        <v>48747668.619650006</v>
      </c>
      <c r="V12" s="336">
        <f>-'OECD LPG subsidies'!F30</f>
        <v>-714257</v>
      </c>
      <c r="W12" s="342">
        <f t="shared" si="5"/>
        <v>-847346.64958100009</v>
      </c>
      <c r="X12" s="111">
        <f t="shared" si="6"/>
        <v>47900321.970069006</v>
      </c>
      <c r="Y12" s="281">
        <f t="shared" si="7"/>
        <v>2.4556876966635706</v>
      </c>
      <c r="Z12" s="342">
        <f t="shared" si="8"/>
        <v>854586551.10778058</v>
      </c>
    </row>
    <row r="13" spans="1:27" x14ac:dyDescent="0.6">
      <c r="A13" s="46">
        <f t="shared" si="9"/>
        <v>9</v>
      </c>
      <c r="B13" s="44" t="s">
        <v>7</v>
      </c>
      <c r="C13" s="1156">
        <v>3992</v>
      </c>
      <c r="D13" s="961">
        <f>C13-'LPG transport'!C13-'LPG Res'!C13-'LPG Comm'!C13</f>
        <v>2776</v>
      </c>
      <c r="E13" s="345">
        <f>D13*Assumptions!$C$30</f>
        <v>1352467200</v>
      </c>
      <c r="F13" s="391">
        <f>Assumptions!$H$3</f>
        <v>1.1863330000000001</v>
      </c>
      <c r="G13" s="1178">
        <f t="shared" si="10"/>
        <v>487.2</v>
      </c>
      <c r="H13" s="297">
        <f>Assumptions!$C$115</f>
        <v>3.7854100000000002</v>
      </c>
      <c r="I13" s="422"/>
      <c r="J13" s="301">
        <f>IF(D13=0,0,'LPG Res'!I13)</f>
        <v>2.7333885112460905</v>
      </c>
      <c r="K13" s="434">
        <f>'LPG Comm'!J13</f>
        <v>69.2</v>
      </c>
      <c r="L13" s="286">
        <f t="shared" si="11"/>
        <v>0.16850214203612482</v>
      </c>
      <c r="M13" s="322"/>
      <c r="N13" s="329"/>
      <c r="O13" s="281"/>
      <c r="P13" s="281"/>
      <c r="Q13" s="314">
        <f t="shared" si="0"/>
        <v>0</v>
      </c>
      <c r="R13" s="1053">
        <f t="shared" si="1"/>
        <v>0.16850214203612482</v>
      </c>
      <c r="S13" s="1047">
        <f t="shared" si="2"/>
        <v>227893620.23360002</v>
      </c>
      <c r="T13" s="268">
        <f t="shared" si="3"/>
        <v>0.16850214203612482</v>
      </c>
      <c r="U13" s="366">
        <f t="shared" si="4"/>
        <v>227893620.23360002</v>
      </c>
      <c r="V13" s="336">
        <f>-'OECD LPG subsidies'!F32</f>
        <v>-3826540</v>
      </c>
      <c r="W13" s="342">
        <f t="shared" si="5"/>
        <v>-4539550.6778199999</v>
      </c>
      <c r="X13" s="111">
        <f t="shared" si="6"/>
        <v>223354069.55578002</v>
      </c>
      <c r="Y13" s="281">
        <f t="shared" si="7"/>
        <v>2.9018906532822153</v>
      </c>
      <c r="Z13" s="342">
        <f t="shared" si="8"/>
        <v>3920172375.8729482</v>
      </c>
    </row>
    <row r="14" spans="1:27" x14ac:dyDescent="0.6">
      <c r="A14" s="46">
        <f t="shared" si="9"/>
        <v>10</v>
      </c>
      <c r="B14" s="44" t="s">
        <v>8</v>
      </c>
      <c r="C14" s="1156">
        <v>135</v>
      </c>
      <c r="D14" s="961">
        <f>C14-'LPG transport'!C14-'LPG Res'!C14-'LPG Comm'!C14</f>
        <v>68</v>
      </c>
      <c r="E14" s="345">
        <f>D14*Assumptions!$C$30</f>
        <v>33129600</v>
      </c>
      <c r="F14" s="391">
        <f>Assumptions!$H$3</f>
        <v>1.1863330000000001</v>
      </c>
      <c r="G14" s="1178">
        <f t="shared" si="10"/>
        <v>487.2</v>
      </c>
      <c r="H14" s="297">
        <f>Assumptions!$C$115</f>
        <v>3.7854100000000002</v>
      </c>
      <c r="I14" s="422"/>
      <c r="J14" s="1077">
        <f>IF(D14=0,0,Assumptions!$C$94)</f>
        <v>1.75</v>
      </c>
      <c r="K14" s="434">
        <f>'LPG Comm'!J14</f>
        <v>60.07</v>
      </c>
      <c r="L14" s="286">
        <f t="shared" si="11"/>
        <v>0.14627057329638754</v>
      </c>
      <c r="M14" s="322"/>
      <c r="N14" s="329"/>
      <c r="O14" s="281"/>
      <c r="P14" s="281"/>
      <c r="Q14" s="314">
        <f t="shared" si="0"/>
        <v>0</v>
      </c>
      <c r="R14" s="1053">
        <f t="shared" si="1"/>
        <v>0.14627057329638754</v>
      </c>
      <c r="S14" s="1047">
        <f t="shared" si="2"/>
        <v>4845885.5850800006</v>
      </c>
      <c r="T14" s="268">
        <f t="shared" si="3"/>
        <v>0.14627057329638754</v>
      </c>
      <c r="U14" s="366">
        <f t="shared" si="4"/>
        <v>4845885.5850800006</v>
      </c>
      <c r="V14" s="336">
        <f>-'OECD LPG subsidies'!F40</f>
        <v>-547590</v>
      </c>
      <c r="W14" s="342">
        <f t="shared" si="5"/>
        <v>-649624.08747000003</v>
      </c>
      <c r="X14" s="111">
        <f t="shared" si="6"/>
        <v>4196261.4976100009</v>
      </c>
      <c r="Y14" s="281">
        <f t="shared" si="7"/>
        <v>1.8962705732963876</v>
      </c>
      <c r="Z14" s="342">
        <f t="shared" si="8"/>
        <v>62173061.497610003</v>
      </c>
    </row>
    <row r="15" spans="1:27" x14ac:dyDescent="0.6">
      <c r="A15" s="46">
        <f t="shared" si="9"/>
        <v>11</v>
      </c>
      <c r="B15" s="44" t="s">
        <v>9</v>
      </c>
      <c r="C15" s="1156">
        <v>3308</v>
      </c>
      <c r="D15" s="961">
        <f>C15-'LPG transport'!C15-'LPG Res'!C15-'LPG Comm'!C15</f>
        <v>292</v>
      </c>
      <c r="E15" s="345">
        <f>D15*Assumptions!$C$30</f>
        <v>142262400</v>
      </c>
      <c r="F15" s="391">
        <f>Assumptions!$H$3</f>
        <v>1.1863330000000001</v>
      </c>
      <c r="G15" s="1178">
        <f t="shared" si="10"/>
        <v>487.2</v>
      </c>
      <c r="H15" s="297">
        <f>Assumptions!$C$115</f>
        <v>3.7854100000000002</v>
      </c>
      <c r="I15" s="422"/>
      <c r="J15" s="301">
        <f>IF(D15=0,0,'LPG Res'!I15)</f>
        <v>1.7813480693217303</v>
      </c>
      <c r="K15" s="434">
        <f>'LPG Comm'!J15</f>
        <v>80.33</v>
      </c>
      <c r="L15" s="286">
        <f t="shared" si="11"/>
        <v>0.19560371488095238</v>
      </c>
      <c r="M15" s="322"/>
      <c r="N15" s="329"/>
      <c r="O15" s="281"/>
      <c r="P15" s="281"/>
      <c r="Q15" s="314">
        <f t="shared" si="0"/>
        <v>0</v>
      </c>
      <c r="R15" s="1053">
        <f t="shared" si="1"/>
        <v>0.19560371488095238</v>
      </c>
      <c r="S15" s="1047">
        <f t="shared" si="2"/>
        <v>27827053.92788</v>
      </c>
      <c r="T15" s="268">
        <f t="shared" si="3"/>
        <v>0.19560371488095238</v>
      </c>
      <c r="U15" s="366">
        <f t="shared" si="4"/>
        <v>27827053.92788</v>
      </c>
      <c r="V15" s="336">
        <f>-'OECD LPG subsidies'!F46</f>
        <v>-30812615</v>
      </c>
      <c r="W15" s="342">
        <f t="shared" si="5"/>
        <v>-36554021.990795001</v>
      </c>
      <c r="X15" s="111">
        <f t="shared" si="6"/>
        <v>-8726968.0629150011</v>
      </c>
      <c r="Y15" s="281">
        <f t="shared" si="7"/>
        <v>1.9769517842026827</v>
      </c>
      <c r="Z15" s="342">
        <f t="shared" si="8"/>
        <v>244691883.51416069</v>
      </c>
    </row>
    <row r="16" spans="1:27" x14ac:dyDescent="0.6">
      <c r="A16" s="46">
        <f t="shared" si="9"/>
        <v>12</v>
      </c>
      <c r="B16" s="44" t="s">
        <v>10</v>
      </c>
      <c r="C16" s="1156">
        <v>8</v>
      </c>
      <c r="D16" s="961">
        <f>C16-'LPG transport'!C16-'LPG Res'!C16-'LPG Comm'!C16</f>
        <v>0</v>
      </c>
      <c r="E16" s="345">
        <f>D16*Assumptions!$C$30</f>
        <v>0</v>
      </c>
      <c r="F16" s="391">
        <f>Assumptions!$H$3</f>
        <v>1.1863330000000001</v>
      </c>
      <c r="G16" s="1178">
        <f t="shared" si="10"/>
        <v>487.2</v>
      </c>
      <c r="H16" s="297">
        <f>Assumptions!$C$115</f>
        <v>3.7854100000000002</v>
      </c>
      <c r="I16" s="422"/>
      <c r="J16" s="1077">
        <f>IF(D16=0,0,Assumptions!$C$94)</f>
        <v>0</v>
      </c>
      <c r="K16" s="434">
        <f>'LPG Comm'!J16</f>
        <v>37.183999999999997</v>
      </c>
      <c r="L16" s="286">
        <f t="shared" si="11"/>
        <v>9.0543116321839076E-2</v>
      </c>
      <c r="M16" s="322"/>
      <c r="N16" s="329"/>
      <c r="O16" s="281"/>
      <c r="P16" s="281"/>
      <c r="Q16" s="314">
        <f t="shared" si="0"/>
        <v>0</v>
      </c>
      <c r="R16" s="1053">
        <f t="shared" si="1"/>
        <v>9.0543116321839076E-2</v>
      </c>
      <c r="S16" s="1047">
        <f t="shared" si="2"/>
        <v>0</v>
      </c>
      <c r="T16" s="268">
        <f t="shared" si="3"/>
        <v>9.0543116321839076E-2</v>
      </c>
      <c r="U16" s="366">
        <f t="shared" si="4"/>
        <v>0</v>
      </c>
      <c r="V16" s="336">
        <f>-'OECD LPG subsidies'!F57</f>
        <v>0</v>
      </c>
      <c r="W16" s="342">
        <f t="shared" si="5"/>
        <v>0</v>
      </c>
      <c r="X16" s="111">
        <f t="shared" si="6"/>
        <v>0</v>
      </c>
      <c r="Y16" s="281">
        <f t="shared" si="7"/>
        <v>9.0543116321839076E-2</v>
      </c>
      <c r="Z16" s="342">
        <f t="shared" si="8"/>
        <v>0</v>
      </c>
    </row>
    <row r="17" spans="1:27" x14ac:dyDescent="0.6">
      <c r="A17" s="46">
        <f t="shared" si="9"/>
        <v>13</v>
      </c>
      <c r="B17" s="44" t="s">
        <v>11</v>
      </c>
      <c r="C17" s="1156">
        <v>509</v>
      </c>
      <c r="D17" s="961">
        <f>C17-'LPG transport'!C17-'LPG Res'!C17-'LPG Comm'!C17</f>
        <v>415</v>
      </c>
      <c r="E17" s="345">
        <f>D17*Assumptions!$C$30</f>
        <v>202188000</v>
      </c>
      <c r="F17" s="391">
        <f>Assumptions!$H$17</f>
        <v>3.8049999999999998E-3</v>
      </c>
      <c r="G17" s="1178">
        <f t="shared" si="10"/>
        <v>487.2</v>
      </c>
      <c r="H17" s="297">
        <f>Assumptions!$C$115</f>
        <v>3.7854100000000002</v>
      </c>
      <c r="I17" s="459"/>
      <c r="J17" s="301">
        <f>IF(D17=0,0,'LPG Res'!I17)</f>
        <v>2.2214049987935001</v>
      </c>
      <c r="K17" s="430">
        <f>'LPG Comm'!J17</f>
        <v>12725</v>
      </c>
      <c r="L17" s="286">
        <f t="shared" si="11"/>
        <v>9.9381414203612475E-2</v>
      </c>
      <c r="M17" s="322"/>
      <c r="N17" s="329"/>
      <c r="O17" s="281"/>
      <c r="P17" s="281"/>
      <c r="Q17" s="314">
        <f t="shared" si="0"/>
        <v>0</v>
      </c>
      <c r="R17" s="1053">
        <f t="shared" si="1"/>
        <v>9.9381414203612475E-2</v>
      </c>
      <c r="S17" s="1047">
        <f t="shared" si="2"/>
        <v>20093729.375</v>
      </c>
      <c r="T17" s="268">
        <f t="shared" si="3"/>
        <v>9.9381414203612475E-2</v>
      </c>
      <c r="U17" s="366">
        <f t="shared" si="4"/>
        <v>20093729.375</v>
      </c>
      <c r="V17" s="336">
        <f>-'OECD LPG subsidies'!F60</f>
        <v>0</v>
      </c>
      <c r="W17" s="342">
        <f t="shared" si="5"/>
        <v>0</v>
      </c>
      <c r="X17" s="111">
        <f t="shared" si="6"/>
        <v>20093729.375</v>
      </c>
      <c r="Y17" s="281">
        <f t="shared" si="7"/>
        <v>2.3207864129971125</v>
      </c>
      <c r="Z17" s="342">
        <f t="shared" si="8"/>
        <v>469235163.27106017</v>
      </c>
      <c r="AA17" s="1"/>
    </row>
    <row r="18" spans="1:27" x14ac:dyDescent="0.6">
      <c r="A18" s="46">
        <f t="shared" si="9"/>
        <v>14</v>
      </c>
      <c r="B18" s="44" t="s">
        <v>12</v>
      </c>
      <c r="C18" s="1156">
        <v>2596</v>
      </c>
      <c r="D18" s="961">
        <f>C18-'LPG transport'!C18-'LPG Res'!C18-'LPG Comm'!C18</f>
        <v>2340</v>
      </c>
      <c r="E18" s="345">
        <f>D18*Assumptions!$C$30</f>
        <v>1140048000</v>
      </c>
      <c r="F18" s="391">
        <f>Assumptions!$H$3</f>
        <v>1.1863330000000001</v>
      </c>
      <c r="G18" s="1178">
        <f t="shared" si="10"/>
        <v>487.2</v>
      </c>
      <c r="H18" s="297">
        <f>Assumptions!$C$115</f>
        <v>3.7854100000000002</v>
      </c>
      <c r="I18" s="422"/>
      <c r="J18" s="301">
        <f>IF(D18=0,0,'LPG Res'!I18)</f>
        <v>1.6196808244666501</v>
      </c>
      <c r="K18" s="434">
        <f>'LPG Comm'!J18</f>
        <v>334.67</v>
      </c>
      <c r="L18" s="286">
        <f t="shared" si="11"/>
        <v>0.81492213692528748</v>
      </c>
      <c r="M18" s="322"/>
      <c r="N18" s="329"/>
      <c r="O18" s="281"/>
      <c r="P18" s="281"/>
      <c r="Q18" s="314">
        <f t="shared" si="0"/>
        <v>0</v>
      </c>
      <c r="R18" s="1053">
        <f t="shared" si="1"/>
        <v>0.81492213692528748</v>
      </c>
      <c r="S18" s="1047">
        <f t="shared" si="2"/>
        <v>929050352.35740018</v>
      </c>
      <c r="T18" s="268">
        <f t="shared" si="3"/>
        <v>0.81492213692528748</v>
      </c>
      <c r="U18" s="366">
        <f t="shared" si="4"/>
        <v>929050352.35740018</v>
      </c>
      <c r="V18" s="336">
        <f>-'OECD LPG subsidies'!F62</f>
        <v>0</v>
      </c>
      <c r="W18" s="342">
        <f t="shared" si="5"/>
        <v>0</v>
      </c>
      <c r="X18" s="111">
        <f t="shared" si="6"/>
        <v>929050352.35740018</v>
      </c>
      <c r="Y18" s="281">
        <f t="shared" si="7"/>
        <v>2.4346029613919375</v>
      </c>
      <c r="Z18" s="342">
        <f t="shared" si="8"/>
        <v>2775564236.9289556</v>
      </c>
      <c r="AA18" s="1"/>
    </row>
    <row r="19" spans="1:27" x14ac:dyDescent="0.6">
      <c r="A19" s="46">
        <f t="shared" si="9"/>
        <v>15</v>
      </c>
      <c r="B19" s="44" t="s">
        <v>13</v>
      </c>
      <c r="C19" s="1156">
        <v>92</v>
      </c>
      <c r="D19" s="961">
        <f>C19-'LPG transport'!C19-'LPG Res'!C19-'LPG Comm'!C19</f>
        <v>39</v>
      </c>
      <c r="E19" s="345">
        <f>D19*Assumptions!$C$30</f>
        <v>19000800</v>
      </c>
      <c r="F19" s="391">
        <f>Assumptions!$H$3</f>
        <v>1.1863330000000001</v>
      </c>
      <c r="G19" s="1178">
        <f t="shared" si="10"/>
        <v>487.2</v>
      </c>
      <c r="H19" s="297">
        <f>Assumptions!$C$115</f>
        <v>3.7854100000000002</v>
      </c>
      <c r="I19" s="422"/>
      <c r="J19" s="301">
        <f>IF(D19=0,0,'LPG Res'!I19)</f>
        <v>0.25</v>
      </c>
      <c r="K19" s="434">
        <f>'LPG Comm'!J19</f>
        <v>261</v>
      </c>
      <c r="L19" s="286">
        <f t="shared" si="11"/>
        <v>0.63553553571428578</v>
      </c>
      <c r="M19" s="322"/>
      <c r="N19" s="329"/>
      <c r="O19" s="281"/>
      <c r="P19" s="281"/>
      <c r="Q19" s="314">
        <f t="shared" si="0"/>
        <v>0</v>
      </c>
      <c r="R19" s="1053">
        <f t="shared" si="1"/>
        <v>0.63553553571428578</v>
      </c>
      <c r="S19" s="1047">
        <f t="shared" si="2"/>
        <v>12075683.607000001</v>
      </c>
      <c r="T19" s="268">
        <f t="shared" si="3"/>
        <v>0.63553553571428578</v>
      </c>
      <c r="U19" s="366">
        <f t="shared" si="4"/>
        <v>12075683.607000001</v>
      </c>
      <c r="V19" s="336">
        <f>-'OECD LPG subsidies'!F64</f>
        <v>-7323397</v>
      </c>
      <c r="W19" s="342">
        <f t="shared" si="5"/>
        <v>-8687987.5332009997</v>
      </c>
      <c r="X19" s="111">
        <f t="shared" si="6"/>
        <v>3387696.0737990011</v>
      </c>
      <c r="Y19" s="281">
        <f t="shared" si="7"/>
        <v>0.88553553571428578</v>
      </c>
      <c r="Z19" s="342">
        <f t="shared" si="8"/>
        <v>8137896.0737990011</v>
      </c>
      <c r="AA19" s="1"/>
    </row>
    <row r="20" spans="1:27" x14ac:dyDescent="0.6">
      <c r="A20" s="46">
        <f t="shared" si="9"/>
        <v>16</v>
      </c>
      <c r="B20" s="44" t="s">
        <v>14</v>
      </c>
      <c r="C20" s="1156">
        <v>2318</v>
      </c>
      <c r="D20" s="961">
        <f>C20-'LPG transport'!C20-'LPG Res'!C20-'LPG Comm'!C20</f>
        <v>245</v>
      </c>
      <c r="E20" s="345">
        <f>D20*Assumptions!$C$30</f>
        <v>119364000</v>
      </c>
      <c r="F20" s="391">
        <f>Assumptions!$H$18</f>
        <v>0.28262100000000001</v>
      </c>
      <c r="G20" s="1178">
        <f t="shared" si="10"/>
        <v>487.2</v>
      </c>
      <c r="H20" s="297">
        <f>Assumptions!$C$115</f>
        <v>3.7854100000000002</v>
      </c>
      <c r="I20" s="424"/>
      <c r="J20" s="301">
        <f>IF(D20=0,0,'LPG Res'!I20)</f>
        <v>1.3861662139058202</v>
      </c>
      <c r="K20" s="431">
        <f>'LPG Comm'!J20</f>
        <v>829.71</v>
      </c>
      <c r="L20" s="286">
        <f t="shared" si="11"/>
        <v>0.48130843577586213</v>
      </c>
      <c r="M20" s="322"/>
      <c r="N20" s="329"/>
      <c r="O20" s="281"/>
      <c r="P20" s="281"/>
      <c r="Q20" s="314">
        <f t="shared" si="0"/>
        <v>0</v>
      </c>
      <c r="R20" s="1053">
        <f t="shared" si="1"/>
        <v>0.48130843577586213</v>
      </c>
      <c r="S20" s="1047">
        <f t="shared" si="2"/>
        <v>57450900.127950005</v>
      </c>
      <c r="T20" s="268">
        <f t="shared" si="3"/>
        <v>0.48130843577586213</v>
      </c>
      <c r="U20" s="366">
        <f t="shared" si="4"/>
        <v>57450900.127950005</v>
      </c>
      <c r="V20" s="336">
        <f>-'OECD LPG subsidies'!F67</f>
        <v>0</v>
      </c>
      <c r="W20" s="342">
        <f t="shared" si="5"/>
        <v>0</v>
      </c>
      <c r="X20" s="111">
        <f t="shared" si="6"/>
        <v>57450900.127950005</v>
      </c>
      <c r="Y20" s="281">
        <f t="shared" si="7"/>
        <v>1.8674746496816823</v>
      </c>
      <c r="Z20" s="342">
        <f t="shared" si="8"/>
        <v>222909244.08460432</v>
      </c>
      <c r="AA20" s="1"/>
    </row>
    <row r="21" spans="1:27" x14ac:dyDescent="0.6">
      <c r="A21" s="46">
        <f t="shared" si="9"/>
        <v>17</v>
      </c>
      <c r="B21" s="44" t="s">
        <v>15</v>
      </c>
      <c r="C21" s="1156">
        <v>843</v>
      </c>
      <c r="D21" s="961">
        <f>C21-'LPG transport'!C21-'LPG Res'!C21-'LPG Comm'!C21</f>
        <v>388</v>
      </c>
      <c r="E21" s="345">
        <f>D21*Assumptions!$C$30</f>
        <v>189033600</v>
      </c>
      <c r="F21" s="391">
        <f>Assumptions!$H$3</f>
        <v>1.1863330000000001</v>
      </c>
      <c r="G21" s="1178">
        <f t="shared" si="10"/>
        <v>487.2</v>
      </c>
      <c r="H21" s="297">
        <f>Assumptions!$C$115</f>
        <v>3.7854100000000002</v>
      </c>
      <c r="I21" s="422"/>
      <c r="J21" s="301">
        <f>IF(D21=0,0,'LPG Res'!I21)</f>
        <v>1.7499127717110203</v>
      </c>
      <c r="K21" s="434">
        <f>'LPG Comm'!J21</f>
        <v>265.64999999999998</v>
      </c>
      <c r="L21" s="286">
        <f t="shared" si="11"/>
        <v>0.64685829525862071</v>
      </c>
      <c r="M21" s="322"/>
      <c r="N21" s="329"/>
      <c r="O21" s="281"/>
      <c r="P21" s="281"/>
      <c r="Q21" s="314">
        <f t="shared" si="0"/>
        <v>0</v>
      </c>
      <c r="R21" s="1053">
        <f t="shared" si="1"/>
        <v>0.64685829525862071</v>
      </c>
      <c r="S21" s="1047">
        <f t="shared" si="2"/>
        <v>122277952.24260001</v>
      </c>
      <c r="T21" s="268">
        <f t="shared" si="3"/>
        <v>0.64685829525862071</v>
      </c>
      <c r="U21" s="366">
        <f t="shared" si="4"/>
        <v>122277952.24260001</v>
      </c>
      <c r="V21" s="336">
        <f>-'OECD LPG subsidies'!F69</f>
        <v>-32584981</v>
      </c>
      <c r="W21" s="342">
        <f t="shared" si="5"/>
        <v>-38656638.264673002</v>
      </c>
      <c r="X21" s="111">
        <f t="shared" si="6"/>
        <v>83621313.977926999</v>
      </c>
      <c r="Y21" s="281">
        <f t="shared" si="7"/>
        <v>2.3967710669696412</v>
      </c>
      <c r="Z21" s="342">
        <f t="shared" si="8"/>
        <v>414413624.90043938</v>
      </c>
      <c r="AA21" s="1"/>
    </row>
    <row r="22" spans="1:27" x14ac:dyDescent="0.6">
      <c r="A22" s="46">
        <f t="shared" si="9"/>
        <v>18</v>
      </c>
      <c r="B22" s="44" t="s">
        <v>16</v>
      </c>
      <c r="C22" s="1156">
        <v>82</v>
      </c>
      <c r="D22" s="961">
        <f>C22-'LPG transport'!C22-'LPG Res'!C22-'LPG Comm'!C22</f>
        <v>39</v>
      </c>
      <c r="E22" s="345">
        <f>D22*Assumptions!$C$30</f>
        <v>19000800</v>
      </c>
      <c r="F22" s="391">
        <f>Assumptions!$H$3</f>
        <v>1.1863330000000001</v>
      </c>
      <c r="G22" s="1178">
        <f t="shared" si="10"/>
        <v>487.2</v>
      </c>
      <c r="H22" s="297">
        <f>Assumptions!$C$115</f>
        <v>3.7854100000000002</v>
      </c>
      <c r="I22" s="422"/>
      <c r="J22" s="301">
        <f>IF(D22=0,0,'LPG Res'!I22)</f>
        <v>2.0687565046196505</v>
      </c>
      <c r="K22" s="434">
        <f>'LPG Comm'!J22</f>
        <v>63.75</v>
      </c>
      <c r="L22" s="286">
        <f t="shared" si="11"/>
        <v>0.15523138084975371</v>
      </c>
      <c r="M22" s="322"/>
      <c r="N22" s="329"/>
      <c r="O22" s="281"/>
      <c r="P22" s="281"/>
      <c r="Q22" s="314">
        <f t="shared" si="0"/>
        <v>0</v>
      </c>
      <c r="R22" s="1053">
        <f t="shared" si="1"/>
        <v>0.15523138084975371</v>
      </c>
      <c r="S22" s="1047">
        <f t="shared" si="2"/>
        <v>2949520.4212500006</v>
      </c>
      <c r="T22" s="268">
        <f t="shared" si="3"/>
        <v>0.15523138084975371</v>
      </c>
      <c r="U22" s="366">
        <f t="shared" si="4"/>
        <v>2949520.4212500006</v>
      </c>
      <c r="V22" s="336">
        <f>-'OECD LPG subsidies'!F71</f>
        <v>0</v>
      </c>
      <c r="W22" s="342">
        <f t="shared" si="5"/>
        <v>0</v>
      </c>
      <c r="X22" s="111">
        <f t="shared" si="6"/>
        <v>2949520.4212500006</v>
      </c>
      <c r="Y22" s="281">
        <f t="shared" si="7"/>
        <v>2.2239878854694042</v>
      </c>
      <c r="Z22" s="342">
        <f t="shared" si="8"/>
        <v>42257549.014227055</v>
      </c>
      <c r="AA22" s="1"/>
    </row>
    <row r="23" spans="1:27" x14ac:dyDescent="0.6">
      <c r="A23" s="46">
        <f t="shared" si="9"/>
        <v>19</v>
      </c>
      <c r="B23" s="44" t="s">
        <v>17</v>
      </c>
      <c r="C23" s="1156">
        <v>118</v>
      </c>
      <c r="D23" s="961">
        <f>C23-'LPG transport'!C23-'LPG Res'!C23-'LPG Comm'!C23</f>
        <v>73</v>
      </c>
      <c r="E23" s="345">
        <f>D23*Assumptions!$C$30</f>
        <v>35565600</v>
      </c>
      <c r="F23" s="391">
        <f>Assumptions!$H$3</f>
        <v>1.1863330000000001</v>
      </c>
      <c r="G23" s="1178">
        <f t="shared" si="10"/>
        <v>487.2</v>
      </c>
      <c r="H23" s="297">
        <f>Assumptions!$C$115</f>
        <v>3.7854100000000002</v>
      </c>
      <c r="I23" s="422"/>
      <c r="J23" s="301">
        <f>IF(D23=0,0,'LPG Res'!I23)</f>
        <v>1.3188001187641401</v>
      </c>
      <c r="K23" s="434">
        <f>'LPG Comm'!J23</f>
        <v>182</v>
      </c>
      <c r="L23" s="286">
        <f t="shared" si="11"/>
        <v>0.44317037356321842</v>
      </c>
      <c r="M23" s="322"/>
      <c r="N23" s="329"/>
      <c r="O23" s="281"/>
      <c r="P23" s="281"/>
      <c r="Q23" s="314">
        <f t="shared" si="0"/>
        <v>0</v>
      </c>
      <c r="R23" s="1053">
        <f t="shared" si="1"/>
        <v>0.44317037356321842</v>
      </c>
      <c r="S23" s="1047">
        <f t="shared" si="2"/>
        <v>15761620.238000002</v>
      </c>
      <c r="T23" s="268">
        <f t="shared" si="3"/>
        <v>0.44317037356321842</v>
      </c>
      <c r="U23" s="366">
        <f t="shared" si="4"/>
        <v>15761620.238000002</v>
      </c>
      <c r="V23" s="336">
        <f>-'OECD LPG subsidies'!F73</f>
        <v>0</v>
      </c>
      <c r="W23" s="342">
        <f t="shared" si="5"/>
        <v>0</v>
      </c>
      <c r="X23" s="111">
        <f t="shared" si="6"/>
        <v>15761620.238000002</v>
      </c>
      <c r="Y23" s="281">
        <f t="shared" si="7"/>
        <v>1.7619704923273585</v>
      </c>
      <c r="Z23" s="342">
        <f t="shared" si="8"/>
        <v>62665537.741917901</v>
      </c>
      <c r="AA23" s="1"/>
    </row>
    <row r="24" spans="1:27" x14ac:dyDescent="0.6">
      <c r="A24" s="46">
        <f t="shared" si="9"/>
        <v>20</v>
      </c>
      <c r="B24" s="44" t="s">
        <v>18</v>
      </c>
      <c r="C24" s="1156">
        <v>431</v>
      </c>
      <c r="D24" s="961">
        <f>C24-'LPG transport'!C24-'LPG Res'!C24-'LPG Comm'!C24</f>
        <v>426</v>
      </c>
      <c r="E24" s="345">
        <f>D24*Assumptions!$C$30</f>
        <v>207547200</v>
      </c>
      <c r="F24" s="391">
        <f>Assumptions!$H$3</f>
        <v>1.1863330000000001</v>
      </c>
      <c r="G24" s="1178">
        <f t="shared" si="10"/>
        <v>487.2</v>
      </c>
      <c r="H24" s="297">
        <f>Assumptions!$C$115</f>
        <v>3.7854100000000002</v>
      </c>
      <c r="I24" s="422"/>
      <c r="J24" s="1077">
        <f>IF(D24=0,0,Assumptions!$C$94)</f>
        <v>1.75</v>
      </c>
      <c r="K24" s="427">
        <f>'LPG Comm'!J24</f>
        <v>0</v>
      </c>
      <c r="L24" s="286">
        <f t="shared" si="11"/>
        <v>0</v>
      </c>
      <c r="M24" s="322"/>
      <c r="N24" s="329"/>
      <c r="O24" s="281"/>
      <c r="P24" s="281"/>
      <c r="Q24" s="314">
        <f t="shared" si="0"/>
        <v>0</v>
      </c>
      <c r="R24" s="1053">
        <f t="shared" si="1"/>
        <v>0</v>
      </c>
      <c r="S24" s="1047">
        <f t="shared" si="2"/>
        <v>0</v>
      </c>
      <c r="T24" s="268">
        <f t="shared" si="3"/>
        <v>0</v>
      </c>
      <c r="U24" s="366">
        <f t="shared" si="4"/>
        <v>0</v>
      </c>
      <c r="V24" s="336">
        <f>-'OECD LPG subsidies'!F75</f>
        <v>-10000000</v>
      </c>
      <c r="W24" s="342">
        <f t="shared" si="5"/>
        <v>-11863330</v>
      </c>
      <c r="X24" s="111">
        <f t="shared" si="6"/>
        <v>-11863330</v>
      </c>
      <c r="Y24" s="281">
        <f t="shared" si="7"/>
        <v>1.75</v>
      </c>
      <c r="Z24" s="342">
        <f t="shared" si="8"/>
        <v>351344270</v>
      </c>
      <c r="AA24" s="1"/>
    </row>
    <row r="25" spans="1:27" x14ac:dyDescent="0.6">
      <c r="A25" s="46">
        <f t="shared" si="9"/>
        <v>21</v>
      </c>
      <c r="B25" s="44" t="s">
        <v>19</v>
      </c>
      <c r="C25" s="1156">
        <v>906</v>
      </c>
      <c r="D25" s="961">
        <f>C25-'LPG transport'!C25-'LPG Res'!C25-'LPG Comm'!C25</f>
        <v>901</v>
      </c>
      <c r="E25" s="345">
        <f>D25*Assumptions!$C$30</f>
        <v>438967200</v>
      </c>
      <c r="F25" s="391">
        <f>Assumptions!$H$19</f>
        <v>0.119739</v>
      </c>
      <c r="G25" s="1178">
        <f t="shared" si="10"/>
        <v>487.2</v>
      </c>
      <c r="H25" s="297">
        <f>Assumptions!$C$115</f>
        <v>3.7854100000000002</v>
      </c>
      <c r="I25" s="425"/>
      <c r="J25" s="1077">
        <f>IF(D25=0,0,Assumptions!$C$94)</f>
        <v>1.75</v>
      </c>
      <c r="K25" s="1184">
        <f>'LPG Comm'!J25</f>
        <v>2358.6</v>
      </c>
      <c r="L25" s="286">
        <f t="shared" si="11"/>
        <v>0.57967242487684734</v>
      </c>
      <c r="M25" s="322"/>
      <c r="N25" s="329"/>
      <c r="O25" s="281"/>
      <c r="P25" s="281"/>
      <c r="Q25" s="314">
        <f t="shared" si="0"/>
        <v>0</v>
      </c>
      <c r="R25" s="1053">
        <f t="shared" si="1"/>
        <v>0.57967242487684734</v>
      </c>
      <c r="S25" s="1047">
        <f t="shared" si="2"/>
        <v>254457181.26540002</v>
      </c>
      <c r="T25" s="268">
        <f t="shared" si="3"/>
        <v>0.57967242487684734</v>
      </c>
      <c r="U25" s="366">
        <f t="shared" si="4"/>
        <v>254457181.26540002</v>
      </c>
      <c r="V25" s="336">
        <f>-'OECD LPG subsidies'!F77</f>
        <v>-401770125</v>
      </c>
      <c r="W25" s="342">
        <f t="shared" si="5"/>
        <v>-48107552.997374997</v>
      </c>
      <c r="X25" s="111">
        <f t="shared" si="6"/>
        <v>206349628.26802504</v>
      </c>
      <c r="Y25" s="281">
        <f t="shared" si="7"/>
        <v>2.3296724248768474</v>
      </c>
      <c r="Z25" s="342">
        <f t="shared" si="8"/>
        <v>974542228.26802504</v>
      </c>
      <c r="AA25" s="1"/>
    </row>
    <row r="26" spans="1:27" ht="15.9" thickBot="1" x14ac:dyDescent="0.65">
      <c r="A26" s="15">
        <f t="shared" si="9"/>
        <v>22</v>
      </c>
      <c r="B26" s="47" t="s">
        <v>20</v>
      </c>
      <c r="C26" s="1158">
        <v>3030</v>
      </c>
      <c r="D26" s="962">
        <f>C26-'LPG transport'!C26-'LPG Res'!C26-'LPG Comm'!C26</f>
        <v>2520</v>
      </c>
      <c r="E26" s="347">
        <f>D26*Assumptions!$C$30</f>
        <v>1227744000</v>
      </c>
      <c r="F26" s="419">
        <f>Assumptions!$H$20</f>
        <v>1.337591</v>
      </c>
      <c r="G26" s="1179">
        <f t="shared" si="10"/>
        <v>487.2</v>
      </c>
      <c r="H26" s="299">
        <f>Assumptions!$C$115</f>
        <v>3.7854100000000002</v>
      </c>
      <c r="I26" s="421"/>
      <c r="J26" s="1055">
        <f>IF(D26=0,0,Assumptions!$C$94)</f>
        <v>1.75</v>
      </c>
      <c r="K26" s="433">
        <f>'LPG Comm'!J26</f>
        <v>0</v>
      </c>
      <c r="L26" s="308">
        <f t="shared" si="11"/>
        <v>0</v>
      </c>
      <c r="M26" s="359"/>
      <c r="N26" s="334"/>
      <c r="O26" s="318"/>
      <c r="P26" s="318"/>
      <c r="Q26" s="319">
        <f t="shared" si="0"/>
        <v>0</v>
      </c>
      <c r="R26" s="1054">
        <f t="shared" si="1"/>
        <v>0</v>
      </c>
      <c r="S26" s="1048">
        <f t="shared" si="2"/>
        <v>0</v>
      </c>
      <c r="T26" s="269">
        <f t="shared" si="3"/>
        <v>0</v>
      </c>
      <c r="U26" s="368">
        <f t="shared" si="4"/>
        <v>0</v>
      </c>
      <c r="V26" s="340">
        <f>-'OECD LPG subsidies'!F86</f>
        <v>0</v>
      </c>
      <c r="W26" s="344">
        <f t="shared" si="5"/>
        <v>0</v>
      </c>
      <c r="X26" s="163">
        <f t="shared" si="6"/>
        <v>0</v>
      </c>
      <c r="Y26" s="318">
        <f t="shared" si="7"/>
        <v>1.75</v>
      </c>
      <c r="Z26" s="344">
        <f t="shared" si="8"/>
        <v>2148552000</v>
      </c>
      <c r="AA26" s="1"/>
    </row>
    <row r="27" spans="1:27" ht="15.9" thickTop="1" x14ac:dyDescent="0.6">
      <c r="A27" s="48" t="s">
        <v>882</v>
      </c>
      <c r="B27" s="44"/>
      <c r="C27" s="1156"/>
      <c r="D27" s="961"/>
      <c r="E27" s="345"/>
      <c r="F27" s="399"/>
      <c r="G27" s="1178"/>
      <c r="H27" s="297"/>
      <c r="I27" s="383"/>
      <c r="J27" s="301"/>
      <c r="K27" s="393"/>
      <c r="L27" s="306">
        <f t="shared" ref="L27:L34" si="12">K27*H27*F27</f>
        <v>0</v>
      </c>
      <c r="M27" s="322"/>
      <c r="N27" s="329"/>
      <c r="O27" s="320"/>
      <c r="P27" s="320"/>
      <c r="Q27" s="314"/>
      <c r="R27" s="1053"/>
      <c r="S27" s="1047"/>
      <c r="T27" s="310"/>
      <c r="U27" s="366"/>
      <c r="V27" s="336"/>
      <c r="W27" s="342"/>
      <c r="X27" s="111"/>
      <c r="Y27" s="320"/>
      <c r="Z27" s="342"/>
      <c r="AA27" s="1"/>
    </row>
    <row r="28" spans="1:27" x14ac:dyDescent="0.6">
      <c r="A28" s="61">
        <f>A26+1</f>
        <v>23</v>
      </c>
      <c r="B28" s="44" t="s">
        <v>38</v>
      </c>
      <c r="C28" s="1156">
        <v>2326</v>
      </c>
      <c r="D28" s="961">
        <f>C28-'LPG transport'!C28-'LPG Res'!C28-'LPG Comm'!C28</f>
        <v>1159</v>
      </c>
      <c r="E28" s="345">
        <f>D28*Assumptions!$C$30</f>
        <v>564664800</v>
      </c>
      <c r="F28" s="399">
        <f>Assumptions!$H$4</f>
        <v>0.78824099999999997</v>
      </c>
      <c r="G28" s="1178"/>
      <c r="H28" s="297">
        <f>Assumptions!$C$115</f>
        <v>3.7854100000000002</v>
      </c>
      <c r="I28" s="441"/>
      <c r="J28" s="301">
        <f>IF(D28=0,0,'LPG Res'!I28)</f>
        <v>2.0880302641069601</v>
      </c>
      <c r="K28" s="447"/>
      <c r="L28" s="306">
        <f t="shared" si="12"/>
        <v>0</v>
      </c>
      <c r="M28" s="322"/>
      <c r="N28" s="329"/>
      <c r="O28" s="320"/>
      <c r="P28" s="320"/>
      <c r="Q28" s="314">
        <f t="shared" ref="Q28:Q34" si="13">N28*E28</f>
        <v>0</v>
      </c>
      <c r="R28" s="1053">
        <f t="shared" si="1"/>
        <v>0</v>
      </c>
      <c r="S28" s="1047">
        <f t="shared" si="2"/>
        <v>0</v>
      </c>
      <c r="T28" s="310">
        <f t="shared" ref="T28:T34" si="14">O28+L28</f>
        <v>0</v>
      </c>
      <c r="U28" s="366">
        <f t="shared" ref="U28:U34" si="15">E28*T28</f>
        <v>0</v>
      </c>
      <c r="V28" s="336">
        <f>-'OECD LPG subsidies'!F88</f>
        <v>0</v>
      </c>
      <c r="W28" s="342">
        <f t="shared" ref="W28:W34" si="16">V28*F28</f>
        <v>0</v>
      </c>
      <c r="X28" s="111">
        <f t="shared" ref="X28:X34" si="17">U28+W28</f>
        <v>0</v>
      </c>
      <c r="Y28" s="320">
        <f t="shared" ref="Y28:Y38" si="18">(J28+L28)*(1+M28)</f>
        <v>2.0880302641069601</v>
      </c>
      <c r="Z28" s="342">
        <f t="shared" ref="Z28:Z34" si="19">Y28*E28+W28</f>
        <v>1179037191.4759037</v>
      </c>
      <c r="AA28" s="1"/>
    </row>
    <row r="29" spans="1:27" x14ac:dyDescent="0.6">
      <c r="A29" s="61">
        <f t="shared" ref="A29:A34" si="20">A28+1</f>
        <v>24</v>
      </c>
      <c r="B29" s="44" t="s">
        <v>39</v>
      </c>
      <c r="C29" s="1156">
        <v>758</v>
      </c>
      <c r="D29" s="961">
        <f>C29-'LPG transport'!C29-'LPG Res'!C29-'LPG Comm'!C29</f>
        <v>740</v>
      </c>
      <c r="E29" s="345">
        <f>D29*Assumptions!$C$30</f>
        <v>360528000</v>
      </c>
      <c r="F29" s="399">
        <f>Assumptions!$H$5</f>
        <v>0.12035</v>
      </c>
      <c r="G29" s="1178"/>
      <c r="H29" s="297">
        <f>Assumptions!$C$115</f>
        <v>3.7854100000000002</v>
      </c>
      <c r="I29" s="442"/>
      <c r="J29" s="1077">
        <f>IF(D29=0,0,Assumptions!$C$94)</f>
        <v>1.75</v>
      </c>
      <c r="K29" s="448">
        <f>(1.01*Assumptions!$C$29/1000/H29)+1.59</f>
        <v>1.7199917314108644</v>
      </c>
      <c r="L29" s="306">
        <f t="shared" si="12"/>
        <v>0.78358367386499994</v>
      </c>
      <c r="M29" s="322"/>
      <c r="N29" s="329"/>
      <c r="O29" s="320"/>
      <c r="P29" s="320"/>
      <c r="Q29" s="314">
        <f t="shared" si="13"/>
        <v>0</v>
      </c>
      <c r="R29" s="1053">
        <f t="shared" si="1"/>
        <v>0.78358367386499994</v>
      </c>
      <c r="S29" s="1047">
        <f t="shared" si="2"/>
        <v>282503854.77120072</v>
      </c>
      <c r="T29" s="310">
        <f t="shared" si="14"/>
        <v>0.78358367386499994</v>
      </c>
      <c r="U29" s="366">
        <f t="shared" si="15"/>
        <v>282503854.77120072</v>
      </c>
      <c r="V29" s="336">
        <f>-'OECD LPG subsidies'!F97</f>
        <v>-13809934.5</v>
      </c>
      <c r="W29" s="342">
        <f t="shared" si="16"/>
        <v>-1662025.617075</v>
      </c>
      <c r="X29" s="111">
        <f t="shared" si="17"/>
        <v>280841829.15412569</v>
      </c>
      <c r="Y29" s="320">
        <f t="shared" si="18"/>
        <v>2.5335836738649999</v>
      </c>
      <c r="Z29" s="342">
        <f t="shared" si="19"/>
        <v>911765829.15412569</v>
      </c>
      <c r="AA29" s="1"/>
    </row>
    <row r="30" spans="1:27" x14ac:dyDescent="0.6">
      <c r="A30" s="61">
        <f t="shared" si="20"/>
        <v>25</v>
      </c>
      <c r="B30" s="44" t="s">
        <v>40</v>
      </c>
      <c r="C30" s="1156">
        <v>160</v>
      </c>
      <c r="D30" s="961">
        <f>C30-'LPG transport'!C30-'LPG Res'!C30-'LPG Comm'!C30</f>
        <v>158</v>
      </c>
      <c r="E30" s="345">
        <f>D30*Assumptions!$C$30</f>
        <v>76977600</v>
      </c>
      <c r="F30" s="399">
        <f>Assumptions!$H$6</f>
        <v>1.010632</v>
      </c>
      <c r="G30" s="1178"/>
      <c r="H30" s="297">
        <f>Assumptions!$C$115</f>
        <v>3.7854100000000002</v>
      </c>
      <c r="I30" s="443"/>
      <c r="J30" s="1077">
        <f>IF(D30=0,0,Assumptions!$C$94)</f>
        <v>1.75</v>
      </c>
      <c r="K30" s="449"/>
      <c r="L30" s="306">
        <f t="shared" si="12"/>
        <v>0</v>
      </c>
      <c r="M30" s="322"/>
      <c r="N30" s="329"/>
      <c r="O30" s="320"/>
      <c r="P30" s="320"/>
      <c r="Q30" s="314">
        <f t="shared" si="13"/>
        <v>0</v>
      </c>
      <c r="R30" s="1053">
        <f t="shared" si="1"/>
        <v>0</v>
      </c>
      <c r="S30" s="1047">
        <f t="shared" si="2"/>
        <v>0</v>
      </c>
      <c r="T30" s="310">
        <f t="shared" si="14"/>
        <v>0</v>
      </c>
      <c r="U30" s="366">
        <f t="shared" si="15"/>
        <v>0</v>
      </c>
      <c r="V30" s="336">
        <f>-'OECD LPG subsidies'!F99</f>
        <v>-2893012</v>
      </c>
      <c r="W30" s="342">
        <f t="shared" si="16"/>
        <v>-2923770.5035839998</v>
      </c>
      <c r="X30" s="111">
        <f t="shared" si="17"/>
        <v>-2923770.5035839998</v>
      </c>
      <c r="Y30" s="320">
        <f t="shared" si="18"/>
        <v>1.75</v>
      </c>
      <c r="Z30" s="342">
        <f t="shared" si="19"/>
        <v>131787029.496416</v>
      </c>
      <c r="AA30" s="1"/>
    </row>
    <row r="31" spans="1:27" x14ac:dyDescent="0.6">
      <c r="A31" s="46">
        <f t="shared" si="20"/>
        <v>26</v>
      </c>
      <c r="B31" s="44" t="s">
        <v>31</v>
      </c>
      <c r="C31" s="1156">
        <v>10642</v>
      </c>
      <c r="D31" s="961">
        <f>C31-'LPG transport'!C31-'LPG Res'!C31-'LPG Comm'!C31</f>
        <v>4575</v>
      </c>
      <c r="E31" s="345">
        <f>D31*Assumptions!$C$30</f>
        <v>2228940000</v>
      </c>
      <c r="F31" s="399">
        <f>Assumptions!$H$7</f>
        <v>8.829E-3</v>
      </c>
      <c r="G31" s="1178">
        <f>G26</f>
        <v>487.2</v>
      </c>
      <c r="H31" s="297">
        <f>Assumptions!$C$115</f>
        <v>3.7854100000000002</v>
      </c>
      <c r="I31" s="484"/>
      <c r="J31" s="301">
        <f>IF(D31=0,0,'LPG Res'!I31)</f>
        <v>2.532680587987</v>
      </c>
      <c r="K31" s="469">
        <v>1080</v>
      </c>
      <c r="L31" s="306">
        <f>K31*F31/G31</f>
        <v>1.9571674876847293E-2</v>
      </c>
      <c r="M31" s="322"/>
      <c r="N31" s="329"/>
      <c r="O31" s="320"/>
      <c r="P31" s="320"/>
      <c r="Q31" s="314">
        <f t="shared" si="13"/>
        <v>0</v>
      </c>
      <c r="R31" s="1053">
        <f t="shared" si="1"/>
        <v>1.9571674876847293E-2</v>
      </c>
      <c r="S31" s="1047">
        <f t="shared" si="2"/>
        <v>43624089.000000007</v>
      </c>
      <c r="T31" s="310">
        <f t="shared" si="14"/>
        <v>1.9571674876847293E-2</v>
      </c>
      <c r="U31" s="366">
        <f t="shared" si="15"/>
        <v>43624089.000000007</v>
      </c>
      <c r="V31" s="336">
        <f>-'OECD LPG subsidies'!F101</f>
        <v>-4551175000</v>
      </c>
      <c r="W31" s="342">
        <f t="shared" si="16"/>
        <v>-40182324.075000003</v>
      </c>
      <c r="X31" s="111">
        <f t="shared" si="17"/>
        <v>3441764.9250000045</v>
      </c>
      <c r="Y31" s="320">
        <f t="shared" si="18"/>
        <v>2.5522522628638473</v>
      </c>
      <c r="Z31" s="342">
        <f t="shared" si="19"/>
        <v>5648634834.7127438</v>
      </c>
      <c r="AA31" s="1"/>
    </row>
    <row r="32" spans="1:27" x14ac:dyDescent="0.6">
      <c r="A32" s="46">
        <f t="shared" si="20"/>
        <v>27</v>
      </c>
      <c r="B32" s="44" t="s">
        <v>47</v>
      </c>
      <c r="C32" s="1156">
        <v>7618</v>
      </c>
      <c r="D32" s="961">
        <f>C32-'LPG transport'!C32-'LPG Res'!C32-'LPG Comm'!C32</f>
        <v>2559</v>
      </c>
      <c r="E32" s="345">
        <f>D32*Assumptions!$C$30</f>
        <v>1246744800</v>
      </c>
      <c r="F32" s="399">
        <f>Assumptions!$H$8</f>
        <v>9.3000000000000005E-4</v>
      </c>
      <c r="G32" s="1178"/>
      <c r="H32" s="297">
        <f>Assumptions!$C$115</f>
        <v>3.7854100000000002</v>
      </c>
      <c r="I32" s="446"/>
      <c r="J32" s="301">
        <f>IF(D32=0,0,'LPG Res'!I32)</f>
        <v>2.0355979596729998</v>
      </c>
      <c r="K32" s="470"/>
      <c r="L32" s="306">
        <f t="shared" si="12"/>
        <v>0</v>
      </c>
      <c r="M32" s="322"/>
      <c r="N32" s="329"/>
      <c r="O32" s="320"/>
      <c r="P32" s="320"/>
      <c r="Q32" s="314">
        <f t="shared" si="13"/>
        <v>0</v>
      </c>
      <c r="R32" s="1053">
        <f t="shared" si="1"/>
        <v>0</v>
      </c>
      <c r="S32" s="1047">
        <f t="shared" si="2"/>
        <v>0</v>
      </c>
      <c r="T32" s="310">
        <f t="shared" si="14"/>
        <v>0</v>
      </c>
      <c r="U32" s="366">
        <f t="shared" si="15"/>
        <v>0</v>
      </c>
      <c r="V32" s="336">
        <f>-'OECD LPG subsidies'!F112</f>
        <v>-369000000</v>
      </c>
      <c r="W32" s="342">
        <f t="shared" si="16"/>
        <v>-343170</v>
      </c>
      <c r="X32" s="111">
        <f t="shared" si="17"/>
        <v>-343170</v>
      </c>
      <c r="Y32" s="320">
        <f t="shared" si="18"/>
        <v>2.0355979596729998</v>
      </c>
      <c r="Z32" s="342">
        <f t="shared" si="19"/>
        <v>2537528001.1129222</v>
      </c>
      <c r="AA32" s="1"/>
    </row>
    <row r="33" spans="1:28" x14ac:dyDescent="0.6">
      <c r="A33" s="46">
        <f t="shared" si="20"/>
        <v>28</v>
      </c>
      <c r="B33" s="44" t="s">
        <v>32</v>
      </c>
      <c r="C33" s="1156">
        <v>1848</v>
      </c>
      <c r="D33" s="961">
        <f>C33-'LPG transport'!C33-'LPG Res'!C33-'LPG Comm'!C33</f>
        <v>435</v>
      </c>
      <c r="E33" s="345">
        <f>D33*Assumptions!$C$30</f>
        <v>211932000</v>
      </c>
      <c r="F33" s="399">
        <f>Assumptions!$H$9</f>
        <v>0.77382200000000001</v>
      </c>
      <c r="G33" s="1178"/>
      <c r="H33" s="297">
        <f>Assumptions!$C$115</f>
        <v>3.7854100000000002</v>
      </c>
      <c r="I33" s="389"/>
      <c r="J33" s="301">
        <f>IF(D33=0,0,'LPG Res'!I33)</f>
        <v>1.3865426123637601</v>
      </c>
      <c r="K33" s="452"/>
      <c r="L33" s="306">
        <f t="shared" si="12"/>
        <v>0</v>
      </c>
      <c r="M33" s="322"/>
      <c r="N33" s="329"/>
      <c r="O33" s="320"/>
      <c r="P33" s="320"/>
      <c r="Q33" s="314">
        <f t="shared" si="13"/>
        <v>0</v>
      </c>
      <c r="R33" s="1053">
        <f t="shared" si="1"/>
        <v>0</v>
      </c>
      <c r="S33" s="1047">
        <f t="shared" si="2"/>
        <v>0</v>
      </c>
      <c r="T33" s="310">
        <f t="shared" si="14"/>
        <v>0</v>
      </c>
      <c r="U33" s="366">
        <f t="shared" si="15"/>
        <v>0</v>
      </c>
      <c r="V33" s="336">
        <f>-'OECD LPG subsidies'!F117</f>
        <v>-60440495</v>
      </c>
      <c r="W33" s="342">
        <f t="shared" si="16"/>
        <v>-46770184.721890002</v>
      </c>
      <c r="X33" s="111">
        <f t="shared" si="17"/>
        <v>-46770184.721890002</v>
      </c>
      <c r="Y33" s="320">
        <f t="shared" si="18"/>
        <v>1.3865426123637601</v>
      </c>
      <c r="Z33" s="342">
        <f t="shared" si="19"/>
        <v>247082564.2015864</v>
      </c>
    </row>
    <row r="34" spans="1:28" ht="15.9" thickBot="1" x14ac:dyDescent="0.65">
      <c r="A34" s="15">
        <f t="shared" si="20"/>
        <v>29</v>
      </c>
      <c r="B34" s="47" t="s">
        <v>33</v>
      </c>
      <c r="C34" s="1158">
        <v>160</v>
      </c>
      <c r="D34" s="962">
        <f>C34-'LPG transport'!C34-'LPG Res'!C34-'LPG Comm'!C34</f>
        <v>65</v>
      </c>
      <c r="E34" s="347">
        <f>D34*Assumptions!$C$30</f>
        <v>31668000</v>
      </c>
      <c r="F34" s="417">
        <f>Assumptions!$H$10</f>
        <v>0.70460400000000001</v>
      </c>
      <c r="G34" s="1179"/>
      <c r="H34" s="299">
        <f>Assumptions!$C$115</f>
        <v>3.7854100000000002</v>
      </c>
      <c r="I34" s="445"/>
      <c r="J34" s="1055">
        <f>IF(D34=0,0,'LPG Res'!I34)</f>
        <v>1.3865426123637601</v>
      </c>
      <c r="K34" s="453"/>
      <c r="L34" s="309">
        <f t="shared" si="12"/>
        <v>0</v>
      </c>
      <c r="M34" s="359"/>
      <c r="N34" s="334"/>
      <c r="O34" s="321"/>
      <c r="P34" s="321"/>
      <c r="Q34" s="319">
        <f t="shared" si="13"/>
        <v>0</v>
      </c>
      <c r="R34" s="1054">
        <f t="shared" si="1"/>
        <v>0</v>
      </c>
      <c r="S34" s="1048">
        <f t="shared" si="2"/>
        <v>0</v>
      </c>
      <c r="T34" s="312">
        <f t="shared" si="14"/>
        <v>0</v>
      </c>
      <c r="U34" s="368">
        <f t="shared" si="15"/>
        <v>0</v>
      </c>
      <c r="V34" s="340">
        <f>-'OECD LPG subsidies'!F123</f>
        <v>0</v>
      </c>
      <c r="W34" s="344">
        <f t="shared" si="16"/>
        <v>0</v>
      </c>
      <c r="X34" s="163">
        <f t="shared" si="17"/>
        <v>0</v>
      </c>
      <c r="Y34" s="321">
        <f t="shared" si="18"/>
        <v>1.3865426123637601</v>
      </c>
      <c r="Z34" s="344">
        <f t="shared" si="19"/>
        <v>43909031.448335551</v>
      </c>
    </row>
    <row r="35" spans="1:28" ht="15.9" thickTop="1" x14ac:dyDescent="0.6">
      <c r="A35" s="49" t="s">
        <v>883</v>
      </c>
      <c r="B35" s="50"/>
      <c r="C35" s="1156"/>
      <c r="D35" s="961"/>
      <c r="E35" s="345"/>
      <c r="F35" s="391"/>
      <c r="G35" s="1178"/>
      <c r="H35" s="297"/>
      <c r="I35" s="295"/>
      <c r="J35" s="304"/>
      <c r="K35" s="393"/>
      <c r="L35" s="306"/>
      <c r="M35" s="322"/>
      <c r="N35" s="329"/>
      <c r="O35" s="320"/>
      <c r="P35" s="320"/>
      <c r="Q35" s="314"/>
      <c r="R35" s="1053"/>
      <c r="S35" s="1047"/>
      <c r="T35" s="310"/>
      <c r="U35" s="366"/>
      <c r="V35" s="336"/>
      <c r="W35" s="342"/>
      <c r="X35" s="111"/>
      <c r="Y35" s="320"/>
      <c r="Z35" s="342"/>
    </row>
    <row r="36" spans="1:28" x14ac:dyDescent="0.6">
      <c r="A36" s="72">
        <f>A34+1</f>
        <v>30</v>
      </c>
      <c r="B36" s="50" t="s">
        <v>46</v>
      </c>
      <c r="C36" s="1156">
        <v>33712</v>
      </c>
      <c r="D36" s="961">
        <f>C36-'LPG transport'!C36-'LPG Res'!C36-'LPG Comm'!C36</f>
        <v>5465</v>
      </c>
      <c r="E36" s="348">
        <f>D36*Assumptions!$C$30</f>
        <v>2662548000</v>
      </c>
      <c r="F36" s="399">
        <f>Assumptions!$H$11</f>
        <v>0.152529</v>
      </c>
      <c r="G36" s="1178"/>
      <c r="H36" s="297">
        <f>Assumptions!$C$115</f>
        <v>3.7854100000000002</v>
      </c>
      <c r="I36" s="295"/>
      <c r="J36" s="1163">
        <f>IF(D36=0,0,Assumptions!$C$94)</f>
        <v>1.75</v>
      </c>
      <c r="K36" s="1058"/>
      <c r="L36" s="306">
        <f>K36*H36*F36</f>
        <v>0</v>
      </c>
      <c r="M36" s="322"/>
      <c r="N36" s="329"/>
      <c r="O36" s="320"/>
      <c r="P36" s="320"/>
      <c r="Q36" s="314">
        <f t="shared" ref="Q36:Q39" si="21">N36*E36</f>
        <v>0</v>
      </c>
      <c r="R36" s="1053">
        <f t="shared" si="1"/>
        <v>0</v>
      </c>
      <c r="S36" s="1047">
        <f t="shared" si="2"/>
        <v>0</v>
      </c>
      <c r="T36" s="310">
        <f t="shared" ref="T36:T39" si="22">O36+L36</f>
        <v>0</v>
      </c>
      <c r="U36" s="366">
        <f t="shared" ref="U36:U39" si="23">E36*T36</f>
        <v>0</v>
      </c>
      <c r="V36" s="336">
        <f>-'OECD LPG subsidies'!F125</f>
        <v>0</v>
      </c>
      <c r="W36" s="342">
        <f>V36*F36</f>
        <v>0</v>
      </c>
      <c r="X36" s="111">
        <f>U36+W36</f>
        <v>0</v>
      </c>
      <c r="Y36" s="320">
        <f t="shared" si="18"/>
        <v>1.75</v>
      </c>
      <c r="Z36" s="342">
        <f>Y36*E36+W36</f>
        <v>4659459000</v>
      </c>
    </row>
    <row r="37" spans="1:28" x14ac:dyDescent="0.6">
      <c r="A37" s="46">
        <f>A36+1</f>
        <v>31</v>
      </c>
      <c r="B37" s="50" t="s">
        <v>49</v>
      </c>
      <c r="C37" s="1156">
        <v>19620</v>
      </c>
      <c r="D37" s="961">
        <f>C37-'LPG transport'!C37-'LPG Res'!C37-'LPG Comm'!C37</f>
        <v>802</v>
      </c>
      <c r="E37" s="348">
        <f>D37*Assumptions!$C$30</f>
        <v>390734400</v>
      </c>
      <c r="F37" s="399">
        <f>Assumptions!$H$12</f>
        <v>1.5587E-2</v>
      </c>
      <c r="G37" s="1178"/>
      <c r="H37" s="297">
        <f>Assumptions!$C$115</f>
        <v>3.7854100000000002</v>
      </c>
      <c r="I37" s="1057"/>
      <c r="J37" s="1163">
        <f>IF(D37=0,0,Assumptions!$C$94)</f>
        <v>1.75</v>
      </c>
      <c r="K37" s="1056"/>
      <c r="L37" s="306">
        <f>J37*1.05*1.08*1.08-J37</f>
        <v>0.39326000000000061</v>
      </c>
      <c r="M37" s="322"/>
      <c r="N37" s="329"/>
      <c r="O37" s="320"/>
      <c r="P37" s="320"/>
      <c r="Q37" s="314">
        <f t="shared" si="21"/>
        <v>0</v>
      </c>
      <c r="R37" s="1053">
        <f t="shared" si="1"/>
        <v>0.39326000000000061</v>
      </c>
      <c r="S37" s="1047">
        <f t="shared" si="2"/>
        <v>153660210.14400023</v>
      </c>
      <c r="T37" s="310">
        <f t="shared" si="22"/>
        <v>0.39326000000000061</v>
      </c>
      <c r="U37" s="366">
        <f t="shared" si="23"/>
        <v>153660210.14400023</v>
      </c>
      <c r="V37" s="336">
        <f>-'OECD LPG subsidies'!F129</f>
        <v>-149173475000</v>
      </c>
      <c r="W37" s="342">
        <f>V37*F37</f>
        <v>-2325166954.8249998</v>
      </c>
      <c r="X37" s="111">
        <f>U37+W37</f>
        <v>-2171506744.6809998</v>
      </c>
      <c r="Y37" s="320">
        <f t="shared" si="18"/>
        <v>2.1432600000000006</v>
      </c>
      <c r="Z37" s="342">
        <f>Y37*E37+W37</f>
        <v>-1487721544.6809995</v>
      </c>
    </row>
    <row r="38" spans="1:28" x14ac:dyDescent="0.6">
      <c r="A38" s="46">
        <f>A37+1</f>
        <v>32</v>
      </c>
      <c r="B38" s="44" t="s">
        <v>50</v>
      </c>
      <c r="C38" s="1156">
        <v>7272</v>
      </c>
      <c r="D38" s="961">
        <f>C38-'LPG transport'!C38-'LPG Res'!C38-'LPG Comm'!C38</f>
        <v>791</v>
      </c>
      <c r="E38" s="348">
        <f>D38*Assumptions!$C$30</f>
        <v>385375200</v>
      </c>
      <c r="F38" s="399">
        <f>Assumptions!$H$13</f>
        <v>0.30204900000000001</v>
      </c>
      <c r="G38" s="1178"/>
      <c r="H38" s="297">
        <f>Assumptions!$C$115</f>
        <v>3.7854100000000002</v>
      </c>
      <c r="I38" s="1045"/>
      <c r="J38" s="1077">
        <f>IF(D38=0,0,Assumptions!$C$94)</f>
        <v>1.75</v>
      </c>
      <c r="K38" s="1044"/>
      <c r="L38" s="306">
        <f>K38*H38*F38</f>
        <v>0</v>
      </c>
      <c r="M38" s="322"/>
      <c r="N38" s="329"/>
      <c r="O38" s="320"/>
      <c r="P38" s="320"/>
      <c r="Q38" s="314">
        <f t="shared" si="21"/>
        <v>0</v>
      </c>
      <c r="R38" s="1053">
        <f t="shared" si="1"/>
        <v>0</v>
      </c>
      <c r="S38" s="1047">
        <f t="shared" si="2"/>
        <v>0</v>
      </c>
      <c r="T38" s="310">
        <f t="shared" si="22"/>
        <v>0</v>
      </c>
      <c r="U38" s="366">
        <f t="shared" si="23"/>
        <v>0</v>
      </c>
      <c r="V38" s="336">
        <f>-'OECD LPG subsidies'!F135</f>
        <v>-574498198</v>
      </c>
      <c r="W38" s="342">
        <f>V38*F38</f>
        <v>-173526606.20770201</v>
      </c>
      <c r="X38" s="111">
        <f t="shared" ref="X38" si="24">U38+W38</f>
        <v>-173526606.20770201</v>
      </c>
      <c r="Y38" s="320">
        <f t="shared" si="18"/>
        <v>1.75</v>
      </c>
      <c r="Z38" s="342">
        <f>Y38*E38+W38</f>
        <v>500879993.79229796</v>
      </c>
    </row>
    <row r="39" spans="1:28" ht="15.9" thickBot="1" x14ac:dyDescent="0.65">
      <c r="A39" s="15">
        <f>A38+1</f>
        <v>33</v>
      </c>
      <c r="B39" s="47" t="s">
        <v>51</v>
      </c>
      <c r="C39" s="1158">
        <v>15051</v>
      </c>
      <c r="D39" s="962">
        <f>C39-'LPG transport'!C39-'LPG Res'!C39-'LPG Comm'!C39</f>
        <v>8654</v>
      </c>
      <c r="E39" s="349">
        <f>D39*Assumptions!$C$30</f>
        <v>4216228800</v>
      </c>
      <c r="F39" s="417">
        <f>Assumptions!$H$14</f>
        <v>1.7344999999999999E-2</v>
      </c>
      <c r="G39" s="1179"/>
      <c r="H39" s="299">
        <f>Assumptions!$C$115</f>
        <v>3.7854100000000002</v>
      </c>
      <c r="I39" s="296"/>
      <c r="J39" s="1055">
        <f>IF(D39=0,0,Assumptions!$C$94)</f>
        <v>1.75</v>
      </c>
      <c r="K39" s="1076"/>
      <c r="L39" s="309">
        <f>K39*H39/F39/1000</f>
        <v>0</v>
      </c>
      <c r="M39" s="359"/>
      <c r="N39" s="334"/>
      <c r="O39" s="321"/>
      <c r="P39" s="321"/>
      <c r="Q39" s="319">
        <f t="shared" si="21"/>
        <v>0</v>
      </c>
      <c r="R39" s="1054">
        <f t="shared" si="1"/>
        <v>0</v>
      </c>
      <c r="S39" s="1048">
        <f t="shared" si="2"/>
        <v>0</v>
      </c>
      <c r="T39" s="312">
        <f t="shared" si="22"/>
        <v>0</v>
      </c>
      <c r="U39" s="368">
        <f t="shared" si="23"/>
        <v>0</v>
      </c>
      <c r="V39" s="340">
        <f>-'OECD LPG subsidies'!F137</f>
        <v>0</v>
      </c>
      <c r="W39" s="344">
        <f>V39*F39</f>
        <v>0</v>
      </c>
      <c r="X39" s="163">
        <f>U39+W39</f>
        <v>0</v>
      </c>
      <c r="Y39" s="321">
        <f>J39</f>
        <v>1.75</v>
      </c>
      <c r="Z39" s="344">
        <f>Y39*E39+W39</f>
        <v>7378400400</v>
      </c>
    </row>
    <row r="40" spans="1:28" ht="15.9" thickTop="1" x14ac:dyDescent="0.6">
      <c r="A40" s="48" t="s">
        <v>52</v>
      </c>
      <c r="B40" s="44"/>
      <c r="C40" s="1156"/>
      <c r="D40" s="961"/>
      <c r="E40" s="348"/>
      <c r="F40" s="391"/>
      <c r="G40" s="1178"/>
      <c r="H40" s="390"/>
      <c r="I40" s="293"/>
      <c r="J40" s="301"/>
      <c r="K40" s="393"/>
      <c r="L40" s="394"/>
      <c r="M40" s="322"/>
      <c r="N40" s="329"/>
      <c r="O40" s="320"/>
      <c r="P40" s="320"/>
      <c r="Q40" s="314"/>
      <c r="R40" s="1046"/>
      <c r="S40" s="1047"/>
      <c r="T40" s="395"/>
      <c r="U40" s="396"/>
      <c r="V40" s="542"/>
      <c r="W40" s="543"/>
      <c r="X40" s="573"/>
      <c r="Y40" s="571"/>
      <c r="Z40" s="548"/>
      <c r="AB40" s="55"/>
    </row>
    <row r="41" spans="1:28" x14ac:dyDescent="0.6">
      <c r="A41" s="61">
        <f>A39+1</f>
        <v>34</v>
      </c>
      <c r="B41" s="44" t="s">
        <v>48</v>
      </c>
      <c r="C41" s="1156">
        <v>8734</v>
      </c>
      <c r="D41" s="961">
        <f>C41-'LPG transport'!C41-'LPG Res'!C41-'LPG Comm'!C41</f>
        <v>1038</v>
      </c>
      <c r="E41" s="348">
        <f>D41*Assumptions!$C$30</f>
        <v>505713600</v>
      </c>
      <c r="F41" s="399"/>
      <c r="G41" s="1178"/>
      <c r="H41" s="390">
        <f>Assumptions!$C$115</f>
        <v>3.7854100000000002</v>
      </c>
      <c r="I41" s="1128"/>
      <c r="J41" s="1163">
        <f>IF(D41=0,0,Assumptions!$C$94)</f>
        <v>1.75</v>
      </c>
      <c r="K41" s="382"/>
      <c r="L41" s="394">
        <f>LARGE(L6:L34,3)</f>
        <v>0.64685829525862071</v>
      </c>
      <c r="M41" s="322"/>
      <c r="N41" s="329"/>
      <c r="O41" s="320"/>
      <c r="P41" s="320"/>
      <c r="Q41" s="314"/>
      <c r="R41" s="1046"/>
      <c r="S41" s="1047"/>
      <c r="T41" s="395"/>
      <c r="U41" s="396"/>
      <c r="V41" s="336"/>
      <c r="W41" s="342"/>
      <c r="X41" s="574"/>
      <c r="Y41" s="1043">
        <f t="shared" ref="Y41" si="25">J41</f>
        <v>1.75</v>
      </c>
      <c r="Z41" s="342">
        <f t="shared" ref="Z41:Z65" si="26">Y41*E41</f>
        <v>884998800</v>
      </c>
    </row>
    <row r="42" spans="1:28" x14ac:dyDescent="0.6">
      <c r="A42" s="46">
        <f>A41+1</f>
        <v>35</v>
      </c>
      <c r="B42" s="44" t="s">
        <v>53</v>
      </c>
      <c r="C42" s="1156">
        <v>1898</v>
      </c>
      <c r="D42" s="961">
        <f>C42-'LPG transport'!C42-'LPG Res'!C42-'LPG Comm'!C42</f>
        <v>113</v>
      </c>
      <c r="E42" s="348">
        <f>D42*Assumptions!$C$30</f>
        <v>55053600</v>
      </c>
      <c r="F42" s="391"/>
      <c r="G42" s="1178"/>
      <c r="H42" s="390">
        <f>Assumptions!$C$115</f>
        <v>3.7854100000000002</v>
      </c>
      <c r="I42" s="1128"/>
      <c r="J42" s="1163">
        <f>IF(D42=0,0,Assumptions!$C$94)</f>
        <v>1.75</v>
      </c>
      <c r="K42" s="382"/>
      <c r="L42" s="394"/>
      <c r="M42" s="322"/>
      <c r="N42" s="329"/>
      <c r="O42" s="320"/>
      <c r="P42" s="320"/>
      <c r="Q42" s="314"/>
      <c r="R42" s="1046"/>
      <c r="S42" s="1047"/>
      <c r="T42" s="395"/>
      <c r="U42" s="394"/>
      <c r="V42" s="336"/>
      <c r="W42" s="342"/>
      <c r="X42" s="574"/>
      <c r="Y42" s="363">
        <f>0.08*H42</f>
        <v>0.30283280000000001</v>
      </c>
      <c r="Z42" s="342">
        <f t="shared" si="26"/>
        <v>16672035.83808</v>
      </c>
    </row>
    <row r="43" spans="1:28" x14ac:dyDescent="0.6">
      <c r="A43" s="46">
        <f t="shared" ref="A43:A65" si="27">A42+1</f>
        <v>36</v>
      </c>
      <c r="B43" s="44" t="s">
        <v>54</v>
      </c>
      <c r="C43" s="1156">
        <v>279</v>
      </c>
      <c r="D43" s="961">
        <f>C43-'LPG transport'!C43-'LPG Res'!C43-'LPG Comm'!C43</f>
        <v>2</v>
      </c>
      <c r="E43" s="348">
        <f>D43*Assumptions!$C$30</f>
        <v>974400</v>
      </c>
      <c r="F43" s="391"/>
      <c r="G43" s="1178"/>
      <c r="H43" s="390">
        <f>Assumptions!$C$115</f>
        <v>3.7854100000000002</v>
      </c>
      <c r="I43" s="1128"/>
      <c r="J43" s="1163">
        <f>IF(D43=0,0,Assumptions!$C$94)</f>
        <v>1.75</v>
      </c>
      <c r="K43" s="382"/>
      <c r="L43" s="394"/>
      <c r="M43" s="322"/>
      <c r="N43" s="329"/>
      <c r="O43" s="320"/>
      <c r="P43" s="320"/>
      <c r="Q43" s="314"/>
      <c r="R43" s="1046"/>
      <c r="S43" s="1047"/>
      <c r="T43" s="395"/>
      <c r="U43" s="396"/>
      <c r="V43" s="336"/>
      <c r="W43" s="342"/>
      <c r="X43" s="574"/>
      <c r="Y43" s="363">
        <f>0.54*H43</f>
        <v>2.0441214000000003</v>
      </c>
      <c r="Z43" s="342">
        <f t="shared" si="26"/>
        <v>1991791.8921600003</v>
      </c>
    </row>
    <row r="44" spans="1:28" s="85" customFormat="1" x14ac:dyDescent="0.6">
      <c r="A44" s="61">
        <f t="shared" si="27"/>
        <v>37</v>
      </c>
      <c r="B44" s="86" t="s">
        <v>55</v>
      </c>
      <c r="C44" s="1156">
        <v>152</v>
      </c>
      <c r="D44" s="961">
        <f>C44-'LPG transport'!C44-'LPG Res'!C44-'LPG Comm'!C44</f>
        <v>111</v>
      </c>
      <c r="E44" s="348">
        <f>D44*Assumptions!$C$30</f>
        <v>54079200</v>
      </c>
      <c r="F44" s="1005"/>
      <c r="G44" s="1180"/>
      <c r="H44" s="1006">
        <f>Assumptions!$C$115</f>
        <v>3.7854100000000002</v>
      </c>
      <c r="I44" s="1128"/>
      <c r="J44" s="1163">
        <f>IF(D44=0,0,Assumptions!$C$94)</f>
        <v>1.75</v>
      </c>
      <c r="K44" s="393"/>
      <c r="L44" s="394"/>
      <c r="M44" s="322"/>
      <c r="N44" s="329"/>
      <c r="O44" s="320"/>
      <c r="P44" s="320"/>
      <c r="Q44" s="314"/>
      <c r="R44" s="1046"/>
      <c r="S44" s="1047"/>
      <c r="T44" s="395"/>
      <c r="U44" s="396"/>
      <c r="V44" s="1007"/>
      <c r="W44" s="847"/>
      <c r="X44" s="1008"/>
      <c r="Y44" s="363">
        <f>0.23*H44</f>
        <v>0.87064430000000004</v>
      </c>
      <c r="Z44" s="847">
        <f t="shared" si="26"/>
        <v>47083747.228560001</v>
      </c>
      <c r="AA44" s="506"/>
    </row>
    <row r="45" spans="1:28" s="85" customFormat="1" x14ac:dyDescent="0.6">
      <c r="A45" s="61">
        <f t="shared" si="27"/>
        <v>38</v>
      </c>
      <c r="B45" s="86" t="s">
        <v>56</v>
      </c>
      <c r="C45" s="1156">
        <v>62</v>
      </c>
      <c r="D45" s="961">
        <f>C45-'LPG transport'!C45-'LPG Res'!C45-'LPG Comm'!C45</f>
        <v>0</v>
      </c>
      <c r="E45" s="348">
        <f>D45*Assumptions!$C$30</f>
        <v>0</v>
      </c>
      <c r="F45" s="1005"/>
      <c r="G45" s="1180"/>
      <c r="H45" s="1006">
        <f>Assumptions!$C$115</f>
        <v>3.7854100000000002</v>
      </c>
      <c r="I45" s="1128"/>
      <c r="J45" s="1163">
        <f>IF(D45=0,0,Assumptions!$C$94)</f>
        <v>0</v>
      </c>
      <c r="K45" s="393"/>
      <c r="L45" s="394"/>
      <c r="M45" s="322"/>
      <c r="N45" s="329"/>
      <c r="O45" s="320"/>
      <c r="P45" s="320"/>
      <c r="Q45" s="314"/>
      <c r="R45" s="1046"/>
      <c r="S45" s="1047"/>
      <c r="T45" s="395"/>
      <c r="U45" s="396"/>
      <c r="V45" s="1007"/>
      <c r="W45" s="847"/>
      <c r="X45" s="1008"/>
      <c r="Y45" s="1043">
        <f>J45</f>
        <v>0</v>
      </c>
      <c r="Z45" s="847">
        <f t="shared" si="26"/>
        <v>0</v>
      </c>
      <c r="AA45" s="506"/>
    </row>
    <row r="46" spans="1:28" x14ac:dyDescent="0.6">
      <c r="A46" s="46">
        <f t="shared" si="27"/>
        <v>39</v>
      </c>
      <c r="B46" s="44" t="s">
        <v>57</v>
      </c>
      <c r="C46" s="1156">
        <v>16</v>
      </c>
      <c r="D46" s="961">
        <f>C46-'LPG transport'!C46-'LPG Res'!C46-'LPG Comm'!C46</f>
        <v>0</v>
      </c>
      <c r="E46" s="348">
        <f>D46*Assumptions!$C$30</f>
        <v>0</v>
      </c>
      <c r="F46" s="391"/>
      <c r="G46" s="1178"/>
      <c r="H46" s="390">
        <f>Assumptions!$C$115</f>
        <v>3.7854100000000002</v>
      </c>
      <c r="I46" s="1128"/>
      <c r="J46" s="1163">
        <f>IF(D46=0,0,Assumptions!$C$94)</f>
        <v>0</v>
      </c>
      <c r="K46" s="382"/>
      <c r="L46" s="400"/>
      <c r="M46" s="323"/>
      <c r="N46" s="329"/>
      <c r="O46" s="324"/>
      <c r="P46" s="324"/>
      <c r="Q46" s="314"/>
      <c r="R46" s="1046"/>
      <c r="S46" s="1047"/>
      <c r="T46" s="401"/>
      <c r="U46" s="396"/>
      <c r="V46" s="336"/>
      <c r="W46" s="342"/>
      <c r="X46" s="574"/>
      <c r="Y46" s="1043">
        <f t="shared" ref="Y46:Y65" si="28">J46</f>
        <v>0</v>
      </c>
      <c r="Z46" s="342">
        <f t="shared" si="26"/>
        <v>0</v>
      </c>
    </row>
    <row r="47" spans="1:28" x14ac:dyDescent="0.6">
      <c r="A47" s="46">
        <f t="shared" si="27"/>
        <v>40</v>
      </c>
      <c r="B47" s="44" t="s">
        <v>58</v>
      </c>
      <c r="C47" s="1156">
        <v>1049</v>
      </c>
      <c r="D47" s="961">
        <f>C47-'LPG transport'!C47-'LPG Res'!C47-'LPG Comm'!C47</f>
        <v>183</v>
      </c>
      <c r="E47" s="348">
        <f>D47*Assumptions!$C$30</f>
        <v>89157600</v>
      </c>
      <c r="F47" s="391"/>
      <c r="G47" s="1178"/>
      <c r="H47" s="390">
        <f>Assumptions!$C$115</f>
        <v>3.7854100000000002</v>
      </c>
      <c r="I47" s="1128"/>
      <c r="J47" s="1163">
        <f>IF(D47=0,0,Assumptions!$C$94)</f>
        <v>1.75</v>
      </c>
      <c r="K47" s="382"/>
      <c r="L47" s="392"/>
      <c r="M47" s="325"/>
      <c r="N47" s="329"/>
      <c r="O47" s="281"/>
      <c r="P47" s="281"/>
      <c r="Q47" s="314"/>
      <c r="R47" s="1046"/>
      <c r="S47" s="1047"/>
      <c r="T47" s="402"/>
      <c r="U47" s="403"/>
      <c r="V47" s="336"/>
      <c r="W47" s="342"/>
      <c r="X47" s="574"/>
      <c r="Y47" s="1043">
        <f t="shared" si="28"/>
        <v>1.75</v>
      </c>
      <c r="Z47" s="342">
        <f t="shared" si="26"/>
        <v>156025800</v>
      </c>
    </row>
    <row r="48" spans="1:28" x14ac:dyDescent="0.6">
      <c r="A48" s="46">
        <f t="shared" si="27"/>
        <v>41</v>
      </c>
      <c r="B48" s="44" t="s">
        <v>59</v>
      </c>
      <c r="C48" s="1156">
        <v>4260</v>
      </c>
      <c r="D48" s="961">
        <f>C48-'LPG transport'!C48-'LPG Res'!C48-'LPG Comm'!C48</f>
        <v>19</v>
      </c>
      <c r="E48" s="348">
        <f>D48*Assumptions!$C$30</f>
        <v>9256800</v>
      </c>
      <c r="F48" s="391"/>
      <c r="G48" s="1178"/>
      <c r="H48" s="390">
        <f>Assumptions!$C$115</f>
        <v>3.7854100000000002</v>
      </c>
      <c r="I48" s="1128"/>
      <c r="J48" s="1163">
        <f>IF(D48=0,0,Assumptions!$C$94)</f>
        <v>1.75</v>
      </c>
      <c r="K48" s="382"/>
      <c r="L48" s="392"/>
      <c r="M48" s="325"/>
      <c r="N48" s="329"/>
      <c r="O48" s="281"/>
      <c r="P48" s="281"/>
      <c r="Q48" s="314"/>
      <c r="R48" s="1046"/>
      <c r="S48" s="1047"/>
      <c r="T48" s="402"/>
      <c r="U48" s="396"/>
      <c r="V48" s="336"/>
      <c r="W48" s="342"/>
      <c r="X48" s="574"/>
      <c r="Y48" s="1043">
        <f t="shared" si="28"/>
        <v>1.75</v>
      </c>
      <c r="Z48" s="342">
        <f t="shared" si="26"/>
        <v>16199400</v>
      </c>
    </row>
    <row r="49" spans="1:27" x14ac:dyDescent="0.6">
      <c r="A49" s="46">
        <f t="shared" si="27"/>
        <v>42</v>
      </c>
      <c r="B49" s="44" t="s">
        <v>60</v>
      </c>
      <c r="C49" s="1156">
        <v>36</v>
      </c>
      <c r="D49" s="961">
        <f>C49-'LPG transport'!C49-'LPG Res'!C49-'LPG Comm'!C49</f>
        <v>0</v>
      </c>
      <c r="E49" s="348">
        <f>D49*Assumptions!$C$30</f>
        <v>0</v>
      </c>
      <c r="F49" s="391"/>
      <c r="G49" s="1178"/>
      <c r="H49" s="390">
        <f>Assumptions!$C$115</f>
        <v>3.7854100000000002</v>
      </c>
      <c r="I49" s="1128"/>
      <c r="J49" s="1163">
        <f>IF(D49=0,0,Assumptions!$C$94)</f>
        <v>0</v>
      </c>
      <c r="K49" s="382"/>
      <c r="L49" s="392"/>
      <c r="M49" s="325"/>
      <c r="N49" s="329"/>
      <c r="O49" s="281"/>
      <c r="P49" s="281"/>
      <c r="Q49" s="314"/>
      <c r="R49" s="1046"/>
      <c r="S49" s="1047"/>
      <c r="T49" s="402"/>
      <c r="U49" s="396"/>
      <c r="V49" s="336"/>
      <c r="W49" s="342"/>
      <c r="X49" s="574"/>
      <c r="Y49" s="1043">
        <f t="shared" si="28"/>
        <v>0</v>
      </c>
      <c r="Z49" s="342">
        <f t="shared" si="26"/>
        <v>0</v>
      </c>
    </row>
    <row r="50" spans="1:27" s="85" customFormat="1" x14ac:dyDescent="0.6">
      <c r="A50" s="61">
        <f t="shared" si="27"/>
        <v>43</v>
      </c>
      <c r="B50" s="86" t="s">
        <v>61</v>
      </c>
      <c r="C50" s="1156">
        <v>6376</v>
      </c>
      <c r="D50" s="961">
        <f>C50-'LPG transport'!C50-'LPG Res'!C50-'LPG Comm'!C50</f>
        <v>92</v>
      </c>
      <c r="E50" s="348">
        <f>D50*Assumptions!$C$30</f>
        <v>44822400</v>
      </c>
      <c r="F50" s="1009"/>
      <c r="G50" s="1181"/>
      <c r="H50" s="1006">
        <f>Assumptions!$C$115</f>
        <v>3.7854100000000002</v>
      </c>
      <c r="I50" s="1128"/>
      <c r="J50" s="1163">
        <f>IF(D50=0,0,Assumptions!$C$94)</f>
        <v>1.75</v>
      </c>
      <c r="K50" s="393"/>
      <c r="L50" s="394"/>
      <c r="M50" s="322"/>
      <c r="N50" s="329"/>
      <c r="O50" s="320"/>
      <c r="P50" s="320"/>
      <c r="Q50" s="314"/>
      <c r="R50" s="1046"/>
      <c r="S50" s="1047"/>
      <c r="T50" s="395"/>
      <c r="U50" s="396"/>
      <c r="V50" s="1007"/>
      <c r="W50" s="847"/>
      <c r="X50" s="1008"/>
      <c r="Y50" s="1043">
        <f t="shared" si="28"/>
        <v>1.75</v>
      </c>
      <c r="Z50" s="847">
        <f t="shared" si="26"/>
        <v>78439200</v>
      </c>
      <c r="AA50" s="506"/>
    </row>
    <row r="51" spans="1:27" s="85" customFormat="1" x14ac:dyDescent="0.6">
      <c r="A51" s="61">
        <f t="shared" si="27"/>
        <v>44</v>
      </c>
      <c r="B51" s="86" t="s">
        <v>62</v>
      </c>
      <c r="C51" s="1156">
        <v>1479</v>
      </c>
      <c r="D51" s="961">
        <f>C51-'LPG transport'!C51-'LPG Res'!C51-'LPG Comm'!C51</f>
        <v>0</v>
      </c>
      <c r="E51" s="348">
        <f>D51*Assumptions!$C$30</f>
        <v>0</v>
      </c>
      <c r="F51" s="1005"/>
      <c r="G51" s="1180"/>
      <c r="H51" s="1006">
        <f>Assumptions!$C$115</f>
        <v>3.7854100000000002</v>
      </c>
      <c r="I51" s="1128"/>
      <c r="J51" s="1163">
        <f>IF(D51=0,0,Assumptions!$C$94)</f>
        <v>0</v>
      </c>
      <c r="K51" s="393"/>
      <c r="L51" s="394"/>
      <c r="M51" s="322"/>
      <c r="N51" s="329"/>
      <c r="O51" s="320"/>
      <c r="P51" s="320"/>
      <c r="Q51" s="314"/>
      <c r="R51" s="1046"/>
      <c r="S51" s="1047"/>
      <c r="T51" s="395"/>
      <c r="U51" s="396"/>
      <c r="V51" s="1007"/>
      <c r="W51" s="847"/>
      <c r="X51" s="1008"/>
      <c r="Y51" s="1043">
        <f t="shared" si="28"/>
        <v>0</v>
      </c>
      <c r="Z51" s="847">
        <f t="shared" si="26"/>
        <v>0</v>
      </c>
      <c r="AA51" s="506"/>
    </row>
    <row r="52" spans="1:27" s="85" customFormat="1" x14ac:dyDescent="0.6">
      <c r="A52" s="61">
        <f t="shared" si="27"/>
        <v>45</v>
      </c>
      <c r="B52" s="86" t="s">
        <v>63</v>
      </c>
      <c r="C52" s="1156">
        <v>2003</v>
      </c>
      <c r="D52" s="961">
        <f>C52-'LPG transport'!C52-'LPG Res'!C52-'LPG Comm'!C52</f>
        <v>16</v>
      </c>
      <c r="E52" s="348">
        <f>D52*Assumptions!$C$30</f>
        <v>7795200</v>
      </c>
      <c r="F52" s="1005"/>
      <c r="G52" s="1180"/>
      <c r="H52" s="1006">
        <f>Assumptions!$C$115</f>
        <v>3.7854100000000002</v>
      </c>
      <c r="I52" s="1128"/>
      <c r="J52" s="1163">
        <f>IF(D52=0,0,Assumptions!$C$94)</f>
        <v>1.75</v>
      </c>
      <c r="K52" s="393"/>
      <c r="L52" s="394"/>
      <c r="M52" s="322"/>
      <c r="N52" s="329"/>
      <c r="O52" s="320"/>
      <c r="P52" s="320"/>
      <c r="Q52" s="314"/>
      <c r="R52" s="1046"/>
      <c r="S52" s="1047"/>
      <c r="T52" s="395"/>
      <c r="U52" s="396"/>
      <c r="V52" s="1007"/>
      <c r="W52" s="847"/>
      <c r="X52" s="1008"/>
      <c r="Y52" s="1043">
        <f t="shared" si="28"/>
        <v>1.75</v>
      </c>
      <c r="Z52" s="847">
        <f t="shared" si="26"/>
        <v>13641600</v>
      </c>
      <c r="AA52" s="70"/>
    </row>
    <row r="53" spans="1:27" s="85" customFormat="1" x14ac:dyDescent="0.6">
      <c r="A53" s="61">
        <f t="shared" si="27"/>
        <v>46</v>
      </c>
      <c r="B53" s="86" t="s">
        <v>64</v>
      </c>
      <c r="C53" s="1156">
        <v>414</v>
      </c>
      <c r="D53" s="961">
        <f>C53-'LPG transport'!C53-'LPG Res'!C53-'LPG Comm'!C53</f>
        <v>130</v>
      </c>
      <c r="E53" s="348">
        <f>D53*Assumptions!$C$30</f>
        <v>63336000</v>
      </c>
      <c r="F53" s="1005"/>
      <c r="G53" s="1180"/>
      <c r="H53" s="1006">
        <f>Assumptions!$C$115</f>
        <v>3.7854100000000002</v>
      </c>
      <c r="I53" s="1128"/>
      <c r="J53" s="1163">
        <f>IF(D53=0,0,Assumptions!$C$94)</f>
        <v>1.75</v>
      </c>
      <c r="K53" s="393"/>
      <c r="L53" s="394"/>
      <c r="M53" s="322"/>
      <c r="N53" s="329"/>
      <c r="O53" s="320"/>
      <c r="P53" s="320"/>
      <c r="Q53" s="314"/>
      <c r="R53" s="1046"/>
      <c r="S53" s="1047"/>
      <c r="T53" s="395"/>
      <c r="U53" s="396"/>
      <c r="V53" s="1007"/>
      <c r="W53" s="847"/>
      <c r="X53" s="1008"/>
      <c r="Y53" s="1043">
        <f t="shared" si="28"/>
        <v>1.75</v>
      </c>
      <c r="Z53" s="847">
        <f t="shared" si="26"/>
        <v>110838000</v>
      </c>
      <c r="AA53" s="506"/>
    </row>
    <row r="54" spans="1:27" s="85" customFormat="1" x14ac:dyDescent="0.6">
      <c r="A54" s="61">
        <f t="shared" si="27"/>
        <v>47</v>
      </c>
      <c r="B54" s="86" t="s">
        <v>65</v>
      </c>
      <c r="C54" s="1156">
        <v>153</v>
      </c>
      <c r="D54" s="961">
        <f>C54-'LPG transport'!C54-'LPG Res'!C54-'LPG Comm'!C54</f>
        <v>0</v>
      </c>
      <c r="E54" s="348">
        <f>D54*Assumptions!$C$30</f>
        <v>0</v>
      </c>
      <c r="F54" s="1005"/>
      <c r="G54" s="1180"/>
      <c r="H54" s="1006">
        <f>Assumptions!$C$115</f>
        <v>3.7854100000000002</v>
      </c>
      <c r="I54" s="1128"/>
      <c r="J54" s="1163">
        <f>IF(D54=0,0,Assumptions!$C$94)</f>
        <v>0</v>
      </c>
      <c r="K54" s="393"/>
      <c r="L54" s="394"/>
      <c r="M54" s="322"/>
      <c r="N54" s="329"/>
      <c r="O54" s="320"/>
      <c r="P54" s="320"/>
      <c r="Q54" s="314"/>
      <c r="R54" s="1046"/>
      <c r="S54" s="1047"/>
      <c r="T54" s="395"/>
      <c r="U54" s="396"/>
      <c r="V54" s="1007"/>
      <c r="W54" s="1010"/>
      <c r="X54" s="1011"/>
      <c r="Y54" s="1043">
        <f t="shared" si="28"/>
        <v>0</v>
      </c>
      <c r="Z54" s="847">
        <f t="shared" si="26"/>
        <v>0</v>
      </c>
      <c r="AA54" s="70"/>
    </row>
    <row r="55" spans="1:27" s="85" customFormat="1" x14ac:dyDescent="0.6">
      <c r="A55" s="61">
        <f t="shared" si="27"/>
        <v>48</v>
      </c>
      <c r="B55" s="86" t="s">
        <v>66</v>
      </c>
      <c r="C55" s="1156">
        <v>264</v>
      </c>
      <c r="D55" s="961">
        <f>C55-'LPG transport'!C55-'LPG Res'!C55-'LPG Comm'!C55</f>
        <v>0</v>
      </c>
      <c r="E55" s="348">
        <f>D55*Assumptions!$C$30</f>
        <v>0</v>
      </c>
      <c r="F55" s="1005"/>
      <c r="G55" s="1180"/>
      <c r="H55" s="1006">
        <f>Assumptions!$C$115</f>
        <v>3.7854100000000002</v>
      </c>
      <c r="I55" s="1128"/>
      <c r="J55" s="1163">
        <f>IF(D55=0,0,Assumptions!$C$94)</f>
        <v>0</v>
      </c>
      <c r="K55" s="393"/>
      <c r="L55" s="394"/>
      <c r="M55" s="322"/>
      <c r="N55" s="329"/>
      <c r="O55" s="320"/>
      <c r="P55" s="320"/>
      <c r="Q55" s="314"/>
      <c r="R55" s="1046"/>
      <c r="S55" s="1047"/>
      <c r="T55" s="395"/>
      <c r="U55" s="396"/>
      <c r="V55" s="1007"/>
      <c r="W55" s="1010"/>
      <c r="X55" s="1011"/>
      <c r="Y55" s="1043">
        <f t="shared" si="28"/>
        <v>0</v>
      </c>
      <c r="Z55" s="847">
        <f t="shared" si="26"/>
        <v>0</v>
      </c>
      <c r="AA55" s="506"/>
    </row>
    <row r="56" spans="1:27" s="85" customFormat="1" x14ac:dyDescent="0.6">
      <c r="A56" s="61">
        <f t="shared" si="27"/>
        <v>49</v>
      </c>
      <c r="B56" s="86" t="s">
        <v>67</v>
      </c>
      <c r="C56" s="1156">
        <v>2078</v>
      </c>
      <c r="D56" s="961">
        <f>C56-'LPG transport'!C56-'LPG Res'!C56-'LPG Comm'!C56</f>
        <v>882</v>
      </c>
      <c r="E56" s="348">
        <f>D56*Assumptions!$C$30</f>
        <v>429710400</v>
      </c>
      <c r="F56" s="1005"/>
      <c r="G56" s="1180"/>
      <c r="H56" s="1006">
        <f>Assumptions!$C$115</f>
        <v>3.7854100000000002</v>
      </c>
      <c r="I56" s="1128"/>
      <c r="J56" s="1163">
        <f>IF(D56=0,0,Assumptions!$C$94)</f>
        <v>1.75</v>
      </c>
      <c r="K56" s="393"/>
      <c r="L56" s="394"/>
      <c r="M56" s="322"/>
      <c r="N56" s="329"/>
      <c r="O56" s="320"/>
      <c r="P56" s="320"/>
      <c r="Q56" s="314"/>
      <c r="R56" s="1046"/>
      <c r="S56" s="1047"/>
      <c r="T56" s="395"/>
      <c r="U56" s="396"/>
      <c r="V56" s="1007"/>
      <c r="W56" s="1010"/>
      <c r="X56" s="1011"/>
      <c r="Y56" s="1043">
        <f t="shared" si="28"/>
        <v>1.75</v>
      </c>
      <c r="Z56" s="847">
        <f t="shared" si="26"/>
        <v>751993200</v>
      </c>
      <c r="AA56" s="506"/>
    </row>
    <row r="57" spans="1:27" s="85" customFormat="1" x14ac:dyDescent="0.6">
      <c r="A57" s="61">
        <f t="shared" si="27"/>
        <v>50</v>
      </c>
      <c r="B57" s="86" t="s">
        <v>68</v>
      </c>
      <c r="C57" s="1156">
        <v>23</v>
      </c>
      <c r="D57" s="961">
        <f>C57-'LPG transport'!C57-'LPG Res'!C57-'LPG Comm'!C57</f>
        <v>1</v>
      </c>
      <c r="E57" s="348">
        <f>D57*Assumptions!$C$30</f>
        <v>487200</v>
      </c>
      <c r="F57" s="1005"/>
      <c r="G57" s="1180"/>
      <c r="H57" s="1006">
        <f>Assumptions!$C$115</f>
        <v>3.7854100000000002</v>
      </c>
      <c r="I57" s="1128"/>
      <c r="J57" s="1163">
        <f>IF(D57=0,0,Assumptions!$C$94)</f>
        <v>1.75</v>
      </c>
      <c r="K57" s="393"/>
      <c r="L57" s="394"/>
      <c r="M57" s="322"/>
      <c r="N57" s="329"/>
      <c r="O57" s="320"/>
      <c r="P57" s="320"/>
      <c r="Q57" s="314"/>
      <c r="R57" s="1046"/>
      <c r="S57" s="1047"/>
      <c r="T57" s="395"/>
      <c r="U57" s="396"/>
      <c r="V57" s="1007"/>
      <c r="W57" s="1010"/>
      <c r="X57" s="1011"/>
      <c r="Y57" s="1043">
        <f t="shared" si="28"/>
        <v>1.75</v>
      </c>
      <c r="Z57" s="847">
        <f t="shared" si="26"/>
        <v>852600</v>
      </c>
      <c r="AA57" s="506"/>
    </row>
    <row r="58" spans="1:27" s="85" customFormat="1" x14ac:dyDescent="0.6">
      <c r="A58" s="61">
        <f t="shared" si="27"/>
        <v>51</v>
      </c>
      <c r="B58" s="86" t="s">
        <v>695</v>
      </c>
      <c r="C58" s="1156">
        <v>165</v>
      </c>
      <c r="D58" s="961">
        <f>C58-'LPG transport'!C58-'LPG Res'!C58-'LPG Comm'!C58</f>
        <v>0</v>
      </c>
      <c r="E58" s="348">
        <f>D58*Assumptions!$C$30</f>
        <v>0</v>
      </c>
      <c r="F58" s="1005"/>
      <c r="G58" s="1180"/>
      <c r="H58" s="1006">
        <f>Assumptions!$C$115</f>
        <v>3.7854100000000002</v>
      </c>
      <c r="I58" s="1128"/>
      <c r="J58" s="1163">
        <f>IF(D58=0,0,Assumptions!$C$94)</f>
        <v>0</v>
      </c>
      <c r="K58" s="393"/>
      <c r="L58" s="394"/>
      <c r="M58" s="322"/>
      <c r="N58" s="329"/>
      <c r="O58" s="320"/>
      <c r="P58" s="320"/>
      <c r="Q58" s="314"/>
      <c r="R58" s="1046"/>
      <c r="S58" s="1047"/>
      <c r="T58" s="395"/>
      <c r="U58" s="396"/>
      <c r="V58" s="1007"/>
      <c r="W58" s="1010"/>
      <c r="X58" s="1011"/>
      <c r="Y58" s="1043">
        <f t="shared" si="28"/>
        <v>0</v>
      </c>
      <c r="Z58" s="847">
        <f t="shared" si="26"/>
        <v>0</v>
      </c>
      <c r="AA58" s="506"/>
    </row>
    <row r="59" spans="1:27" s="85" customFormat="1" x14ac:dyDescent="0.6">
      <c r="A59" s="61">
        <f t="shared" si="27"/>
        <v>52</v>
      </c>
      <c r="B59" s="86" t="s">
        <v>69</v>
      </c>
      <c r="C59" s="1156">
        <v>910</v>
      </c>
      <c r="D59" s="961">
        <f>C59-'LPG transport'!C59-'LPG Res'!C59-'LPG Comm'!C59</f>
        <v>794</v>
      </c>
      <c r="E59" s="348">
        <f>D59*Assumptions!$C$30</f>
        <v>386836800</v>
      </c>
      <c r="F59" s="1005"/>
      <c r="G59" s="1180"/>
      <c r="H59" s="1006">
        <f>Assumptions!$C$115</f>
        <v>3.7854100000000002</v>
      </c>
      <c r="I59" s="1128"/>
      <c r="J59" s="1163">
        <f>IF(D59=0,0,Assumptions!$C$94)</f>
        <v>1.75</v>
      </c>
      <c r="K59" s="393"/>
      <c r="L59" s="394"/>
      <c r="M59" s="322"/>
      <c r="N59" s="329"/>
      <c r="O59" s="320"/>
      <c r="P59" s="320"/>
      <c r="Q59" s="314"/>
      <c r="R59" s="1046"/>
      <c r="S59" s="1047"/>
      <c r="T59" s="395"/>
      <c r="U59" s="396"/>
      <c r="V59" s="1007"/>
      <c r="W59" s="1010"/>
      <c r="X59" s="1011"/>
      <c r="Y59" s="1043">
        <f t="shared" si="28"/>
        <v>1.75</v>
      </c>
      <c r="Z59" s="847">
        <f t="shared" si="26"/>
        <v>676964400</v>
      </c>
      <c r="AA59" s="70"/>
    </row>
    <row r="60" spans="1:27" s="85" customFormat="1" x14ac:dyDescent="0.6">
      <c r="A60" s="61">
        <f t="shared" si="27"/>
        <v>53</v>
      </c>
      <c r="B60" s="86" t="s">
        <v>70</v>
      </c>
      <c r="C60" s="1156">
        <v>6777</v>
      </c>
      <c r="D60" s="961">
        <f>C60-'LPG transport'!C60-'LPG Res'!C60-'LPG Comm'!C60</f>
        <v>5691</v>
      </c>
      <c r="E60" s="348">
        <f>D60*Assumptions!$C$30</f>
        <v>2772655200</v>
      </c>
      <c r="F60" s="1005"/>
      <c r="G60" s="1180"/>
      <c r="H60" s="1006">
        <f>Assumptions!$C$115</f>
        <v>3.7854100000000002</v>
      </c>
      <c r="I60" s="1128"/>
      <c r="J60" s="1163">
        <f>IF(D60=0,0,Assumptions!$C$94)</f>
        <v>1.75</v>
      </c>
      <c r="K60" s="393"/>
      <c r="L60" s="394"/>
      <c r="M60" s="322"/>
      <c r="N60" s="329"/>
      <c r="O60" s="320"/>
      <c r="P60" s="320"/>
      <c r="Q60" s="314"/>
      <c r="R60" s="1046"/>
      <c r="S60" s="1047"/>
      <c r="T60" s="395"/>
      <c r="U60" s="396"/>
      <c r="V60" s="1007"/>
      <c r="W60" s="1010"/>
      <c r="X60" s="1011"/>
      <c r="Y60" s="1043">
        <f t="shared" si="28"/>
        <v>1.75</v>
      </c>
      <c r="Z60" s="847">
        <f t="shared" si="26"/>
        <v>4852146600</v>
      </c>
      <c r="AA60" s="70"/>
    </row>
    <row r="61" spans="1:27" s="85" customFormat="1" x14ac:dyDescent="0.6">
      <c r="A61" s="61">
        <f t="shared" si="27"/>
        <v>54</v>
      </c>
      <c r="B61" s="86" t="s">
        <v>71</v>
      </c>
      <c r="C61" s="1156">
        <v>55</v>
      </c>
      <c r="D61" s="961">
        <f>C61-'LPG transport'!C61-'LPG Res'!C61-'LPG Comm'!C61</f>
        <v>0</v>
      </c>
      <c r="E61" s="348">
        <f>D61*Assumptions!$C$30</f>
        <v>0</v>
      </c>
      <c r="F61" s="1005"/>
      <c r="G61" s="1180"/>
      <c r="H61" s="1006">
        <f>Assumptions!$C$115</f>
        <v>3.7854100000000002</v>
      </c>
      <c r="I61" s="1128"/>
      <c r="J61" s="1163">
        <f>IF(D61=0,0,Assumptions!$C$94)</f>
        <v>0</v>
      </c>
      <c r="K61" s="393"/>
      <c r="L61" s="394"/>
      <c r="M61" s="322"/>
      <c r="N61" s="329"/>
      <c r="O61" s="320"/>
      <c r="P61" s="320"/>
      <c r="Q61" s="314"/>
      <c r="R61" s="1046"/>
      <c r="S61" s="1047"/>
      <c r="T61" s="395"/>
      <c r="U61" s="396"/>
      <c r="V61" s="1007"/>
      <c r="W61" s="1010"/>
      <c r="X61" s="1011"/>
      <c r="Y61" s="1043">
        <f t="shared" si="28"/>
        <v>0</v>
      </c>
      <c r="Z61" s="847">
        <f t="shared" si="26"/>
        <v>0</v>
      </c>
      <c r="AA61" s="506"/>
    </row>
    <row r="62" spans="1:27" s="85" customFormat="1" x14ac:dyDescent="0.6">
      <c r="A62" s="61">
        <f t="shared" si="27"/>
        <v>55</v>
      </c>
      <c r="B62" s="86" t="s">
        <v>72</v>
      </c>
      <c r="C62" s="1156">
        <v>1034</v>
      </c>
      <c r="D62" s="961">
        <f>C62-'LPG transport'!C62-'LPG Res'!C62-'LPG Comm'!C62</f>
        <v>1034</v>
      </c>
      <c r="E62" s="348">
        <f>D62*Assumptions!$C$30</f>
        <v>503764800</v>
      </c>
      <c r="F62" s="1005"/>
      <c r="G62" s="1180"/>
      <c r="H62" s="1006">
        <f>Assumptions!$C$115</f>
        <v>3.7854100000000002</v>
      </c>
      <c r="I62" s="1128"/>
      <c r="J62" s="1163">
        <f>IF(D62=0,0,Assumptions!$C$94)</f>
        <v>1.75</v>
      </c>
      <c r="K62" s="393"/>
      <c r="L62" s="394"/>
      <c r="M62" s="322"/>
      <c r="N62" s="329"/>
      <c r="O62" s="320"/>
      <c r="P62" s="320"/>
      <c r="Q62" s="314"/>
      <c r="R62" s="1046"/>
      <c r="S62" s="1047"/>
      <c r="T62" s="395"/>
      <c r="U62" s="396"/>
      <c r="V62" s="1007"/>
      <c r="W62" s="1010"/>
      <c r="X62" s="1011"/>
      <c r="Y62" s="1043">
        <f t="shared" si="28"/>
        <v>1.75</v>
      </c>
      <c r="Z62" s="847">
        <f t="shared" si="26"/>
        <v>881588400</v>
      </c>
      <c r="AA62" s="506"/>
    </row>
    <row r="63" spans="1:27" s="85" customFormat="1" x14ac:dyDescent="0.6">
      <c r="A63" s="61">
        <f t="shared" si="27"/>
        <v>56</v>
      </c>
      <c r="B63" s="86" t="s">
        <v>73</v>
      </c>
      <c r="C63" s="1156">
        <v>1467</v>
      </c>
      <c r="D63" s="961">
        <f>C63-'LPG transport'!C63-'LPG Res'!C63-'LPG Comm'!C63</f>
        <v>1142</v>
      </c>
      <c r="E63" s="348">
        <f>D63*Assumptions!$C$30</f>
        <v>556382400</v>
      </c>
      <c r="F63" s="1005"/>
      <c r="G63" s="1180"/>
      <c r="H63" s="1006">
        <f>Assumptions!$C$115</f>
        <v>3.7854100000000002</v>
      </c>
      <c r="I63" s="1128"/>
      <c r="J63" s="1163">
        <f>IF(D63=0,0,Assumptions!$C$94)</f>
        <v>1.75</v>
      </c>
      <c r="K63" s="393"/>
      <c r="L63" s="394"/>
      <c r="M63" s="322"/>
      <c r="N63" s="329"/>
      <c r="O63" s="320"/>
      <c r="P63" s="320"/>
      <c r="Q63" s="314"/>
      <c r="R63" s="1046"/>
      <c r="S63" s="1047"/>
      <c r="T63" s="395"/>
      <c r="U63" s="396"/>
      <c r="V63" s="1007"/>
      <c r="W63" s="1010"/>
      <c r="X63" s="1011"/>
      <c r="Y63" s="1043">
        <f t="shared" si="28"/>
        <v>1.75</v>
      </c>
      <c r="Z63" s="847">
        <f t="shared" si="26"/>
        <v>973669200</v>
      </c>
      <c r="AA63" s="70"/>
    </row>
    <row r="64" spans="1:27" s="85" customFormat="1" x14ac:dyDescent="0.6">
      <c r="A64" s="61">
        <f t="shared" si="27"/>
        <v>57</v>
      </c>
      <c r="B64" s="86" t="s">
        <v>74</v>
      </c>
      <c r="C64" s="1156">
        <v>16</v>
      </c>
      <c r="D64" s="961">
        <f>C64-'LPG transport'!C64-'LPG Res'!C64-'LPG Comm'!C64</f>
        <v>4</v>
      </c>
      <c r="E64" s="348">
        <f>D64*Assumptions!$C$30</f>
        <v>1948800</v>
      </c>
      <c r="F64" s="1005"/>
      <c r="G64" s="1180"/>
      <c r="H64" s="1006">
        <f>Assumptions!$C$115</f>
        <v>3.7854100000000002</v>
      </c>
      <c r="I64" s="1128"/>
      <c r="J64" s="1163">
        <f>IF(D64=0,0,Assumptions!$C$94)</f>
        <v>1.75</v>
      </c>
      <c r="K64" s="393"/>
      <c r="L64" s="394"/>
      <c r="M64" s="322"/>
      <c r="N64" s="329"/>
      <c r="O64" s="320"/>
      <c r="P64" s="320"/>
      <c r="Q64" s="314"/>
      <c r="R64" s="1046"/>
      <c r="S64" s="1047"/>
      <c r="T64" s="395"/>
      <c r="U64" s="396"/>
      <c r="V64" s="1007"/>
      <c r="W64" s="1010"/>
      <c r="X64" s="1011"/>
      <c r="Y64" s="1043">
        <f t="shared" si="28"/>
        <v>1.75</v>
      </c>
      <c r="Z64" s="847">
        <f t="shared" si="26"/>
        <v>3410400</v>
      </c>
      <c r="AA64" s="506"/>
    </row>
    <row r="65" spans="1:27" s="85" customFormat="1" x14ac:dyDescent="0.6">
      <c r="A65" s="63">
        <f t="shared" si="27"/>
        <v>58</v>
      </c>
      <c r="B65" s="90" t="s">
        <v>75</v>
      </c>
      <c r="C65" s="1159">
        <v>2683</v>
      </c>
      <c r="D65" s="963">
        <f>C65-'LPG transport'!C65-'LPG Res'!C65-'LPG Comm'!C65</f>
        <v>1695</v>
      </c>
      <c r="E65" s="350">
        <f>D65*Assumptions!$C$30</f>
        <v>825804000</v>
      </c>
      <c r="F65" s="1012"/>
      <c r="G65" s="1182"/>
      <c r="H65" s="1013">
        <f>Assumptions!$C$115</f>
        <v>3.7854100000000002</v>
      </c>
      <c r="I65" s="1129"/>
      <c r="J65" s="1164">
        <f>IF(D65=0,0,Assumptions!$C$94)</f>
        <v>1.75</v>
      </c>
      <c r="K65" s="819"/>
      <c r="L65" s="858"/>
      <c r="M65" s="967"/>
      <c r="N65" s="335"/>
      <c r="O65" s="1014"/>
      <c r="P65" s="1014"/>
      <c r="Q65" s="328"/>
      <c r="R65" s="1049"/>
      <c r="S65" s="1050"/>
      <c r="T65" s="1015"/>
      <c r="U65" s="409"/>
      <c r="V65" s="1016"/>
      <c r="W65" s="1017"/>
      <c r="X65" s="1018"/>
      <c r="Y65" s="1172">
        <f t="shared" si="28"/>
        <v>1.75</v>
      </c>
      <c r="Z65" s="1019">
        <f t="shared" si="26"/>
        <v>1445157000</v>
      </c>
      <c r="AA65" s="506"/>
    </row>
    <row r="66" spans="1:27" x14ac:dyDescent="0.6">
      <c r="B66" s="1" t="s">
        <v>42</v>
      </c>
      <c r="E66" s="13">
        <f>SUM(E4:E65)</f>
        <v>37183104000</v>
      </c>
      <c r="F66" s="398"/>
      <c r="G66" s="1183"/>
      <c r="H66" s="410"/>
      <c r="I66" s="83"/>
      <c r="J66" s="278"/>
      <c r="K66" s="411"/>
      <c r="L66" s="278"/>
      <c r="M66" s="412"/>
      <c r="N66" s="413"/>
      <c r="O66" s="278"/>
      <c r="P66" s="278"/>
      <c r="Q66" s="414"/>
      <c r="R66" s="414"/>
      <c r="S66" s="414"/>
      <c r="T66" s="278"/>
      <c r="U66" s="415"/>
      <c r="V66" s="397"/>
      <c r="W66" s="83"/>
      <c r="X66" s="1"/>
    </row>
    <row r="67" spans="1:27" x14ac:dyDescent="0.6">
      <c r="B67" s="1" t="s">
        <v>357</v>
      </c>
      <c r="C67" s="1160">
        <v>245916</v>
      </c>
      <c r="D67" s="13">
        <f>C67-'LPG transport'!C67-'LPG Res'!C67-'LPG Comm'!C67</f>
        <v>84446</v>
      </c>
      <c r="E67" s="13">
        <f>D67*Assumptions!$C$30</f>
        <v>41142091200</v>
      </c>
      <c r="F67" s="398"/>
      <c r="G67" s="1183"/>
      <c r="H67" s="410"/>
      <c r="I67" s="83"/>
      <c r="J67" s="278"/>
      <c r="K67" s="411"/>
      <c r="L67" s="278"/>
      <c r="M67" s="412"/>
      <c r="N67" s="413"/>
      <c r="O67" s="278"/>
      <c r="P67" s="278"/>
      <c r="Q67" s="414"/>
      <c r="R67" s="414"/>
      <c r="S67" s="414"/>
      <c r="T67" s="278"/>
      <c r="U67" s="415"/>
      <c r="V67" s="397"/>
      <c r="W67" s="83"/>
      <c r="X67" s="1"/>
    </row>
    <row r="68" spans="1:27" x14ac:dyDescent="0.6">
      <c r="C68" s="1161"/>
      <c r="D68" s="28"/>
      <c r="E68" s="28">
        <f>E66/E67</f>
        <v>0.90377282523742986</v>
      </c>
      <c r="F68" s="398"/>
      <c r="G68" s="1183"/>
      <c r="H68" s="410"/>
      <c r="I68" s="83"/>
      <c r="J68" s="278"/>
      <c r="K68" s="411"/>
      <c r="L68" s="278"/>
      <c r="M68" s="412"/>
      <c r="N68" s="413"/>
      <c r="O68" s="278"/>
      <c r="P68" s="278"/>
      <c r="Q68" s="414"/>
      <c r="R68" s="414"/>
      <c r="S68" s="414"/>
      <c r="T68" s="278"/>
      <c r="U68" s="415"/>
      <c r="V68" s="397"/>
      <c r="W68" s="83"/>
      <c r="X68" s="1"/>
    </row>
    <row r="69" spans="1:27" x14ac:dyDescent="0.6">
      <c r="A69" s="1"/>
      <c r="E69" s="1"/>
      <c r="F69" s="398"/>
      <c r="G69" s="1183"/>
      <c r="H69" s="83"/>
      <c r="I69" s="83"/>
      <c r="J69" s="278"/>
      <c r="K69" s="83"/>
      <c r="L69" s="83"/>
      <c r="M69" s="412"/>
      <c r="N69" s="413"/>
      <c r="O69" s="83"/>
      <c r="P69" s="83"/>
      <c r="Q69" s="414"/>
      <c r="R69" s="414"/>
      <c r="S69" s="414"/>
      <c r="T69" s="83"/>
      <c r="U69" s="416"/>
      <c r="V69" s="397"/>
      <c r="W69" s="83"/>
      <c r="X69" s="1"/>
    </row>
    <row r="70" spans="1:27" x14ac:dyDescent="0.6">
      <c r="E70" s="239"/>
      <c r="F70" s="398"/>
      <c r="G70" s="1183"/>
      <c r="H70" s="410"/>
      <c r="I70" s="83"/>
      <c r="J70" s="278"/>
      <c r="K70" s="411"/>
      <c r="L70" s="278"/>
      <c r="M70" s="412"/>
      <c r="N70" s="413"/>
      <c r="O70" s="278"/>
      <c r="P70" s="278"/>
      <c r="Q70" s="414"/>
      <c r="R70" s="414"/>
      <c r="S70" s="414"/>
      <c r="T70" s="278"/>
      <c r="U70" s="415"/>
      <c r="V70" s="397"/>
      <c r="W70" s="276"/>
    </row>
    <row r="71" spans="1:27" x14ac:dyDescent="0.6">
      <c r="F71" s="398"/>
      <c r="G71" s="1183"/>
      <c r="H71" s="410"/>
      <c r="I71" s="83"/>
      <c r="J71" s="278"/>
      <c r="K71" s="411"/>
      <c r="L71" s="278"/>
      <c r="M71" s="412"/>
      <c r="N71" s="413"/>
      <c r="O71" s="278"/>
      <c r="P71" s="278"/>
      <c r="Q71" s="414"/>
      <c r="R71" s="414"/>
      <c r="S71" s="414"/>
      <c r="T71" s="278"/>
      <c r="U71" s="415"/>
      <c r="V71" s="397"/>
      <c r="W71" s="276"/>
    </row>
    <row r="72" spans="1:27" x14ac:dyDescent="0.6">
      <c r="F72" s="398"/>
      <c r="G72" s="1183"/>
      <c r="H72" s="410"/>
      <c r="I72" s="83"/>
      <c r="J72" s="278"/>
      <c r="K72" s="411"/>
      <c r="L72" s="278"/>
      <c r="M72" s="412"/>
      <c r="N72" s="413"/>
      <c r="O72" s="278"/>
      <c r="P72" s="278"/>
      <c r="Q72" s="414"/>
      <c r="R72" s="414"/>
      <c r="S72" s="414"/>
      <c r="T72" s="278"/>
      <c r="U72" s="415"/>
      <c r="V72" s="397"/>
      <c r="W72" s="276"/>
    </row>
    <row r="73" spans="1:27" x14ac:dyDescent="0.6">
      <c r="F73" s="398"/>
      <c r="G73" s="1183"/>
      <c r="H73" s="410"/>
      <c r="I73" s="83"/>
      <c r="J73" s="278"/>
      <c r="K73" s="411"/>
      <c r="L73" s="278"/>
      <c r="M73" s="412"/>
      <c r="N73" s="413"/>
      <c r="O73" s="278"/>
      <c r="P73" s="278"/>
      <c r="Q73" s="414"/>
      <c r="R73" s="414"/>
      <c r="S73" s="414"/>
      <c r="T73" s="278"/>
      <c r="U73" s="415"/>
      <c r="V73" s="397"/>
      <c r="W73" s="276"/>
    </row>
    <row r="74" spans="1:27" x14ac:dyDescent="0.6">
      <c r="F74" s="398"/>
      <c r="G74" s="1183"/>
      <c r="H74" s="410"/>
      <c r="I74" s="83"/>
      <c r="J74" s="278"/>
      <c r="K74" s="411"/>
      <c r="L74" s="278"/>
      <c r="M74" s="412"/>
      <c r="N74" s="413"/>
      <c r="O74" s="278"/>
      <c r="P74" s="278"/>
      <c r="Q74" s="414"/>
      <c r="R74" s="414"/>
      <c r="S74" s="414"/>
      <c r="T74" s="278"/>
      <c r="U74" s="415"/>
      <c r="V74" s="397"/>
      <c r="W74" s="276"/>
    </row>
    <row r="75" spans="1:27" x14ac:dyDescent="0.6">
      <c r="F75" s="398"/>
      <c r="G75" s="1183"/>
      <c r="H75" s="410"/>
      <c r="I75" s="83"/>
      <c r="J75" s="278"/>
      <c r="K75" s="411"/>
      <c r="L75" s="278"/>
      <c r="M75" s="412"/>
      <c r="N75" s="413"/>
      <c r="O75" s="278"/>
      <c r="P75" s="278"/>
      <c r="Q75" s="414"/>
      <c r="R75" s="414"/>
      <c r="S75" s="414"/>
      <c r="T75" s="278"/>
      <c r="U75" s="415"/>
      <c r="V75" s="397"/>
      <c r="W75" s="276"/>
    </row>
    <row r="76" spans="1:27" x14ac:dyDescent="0.6">
      <c r="F76" s="398"/>
      <c r="G76" s="1183"/>
      <c r="H76" s="410"/>
      <c r="I76" s="83"/>
      <c r="J76" s="278"/>
      <c r="K76" s="411"/>
      <c r="L76" s="278"/>
      <c r="M76" s="412"/>
      <c r="N76" s="413"/>
      <c r="O76" s="278"/>
      <c r="P76" s="278"/>
      <c r="Q76" s="414"/>
      <c r="R76" s="414"/>
      <c r="S76" s="414"/>
      <c r="T76" s="278"/>
      <c r="U76" s="415"/>
      <c r="V76" s="397"/>
      <c r="W76" s="276"/>
    </row>
    <row r="77" spans="1:27" x14ac:dyDescent="0.6">
      <c r="F77" s="398"/>
      <c r="G77" s="1183"/>
      <c r="H77" s="410"/>
      <c r="I77" s="83"/>
      <c r="J77" s="278"/>
      <c r="K77" s="411"/>
      <c r="L77" s="278"/>
      <c r="M77" s="412"/>
      <c r="N77" s="413"/>
      <c r="O77" s="278"/>
      <c r="P77" s="278"/>
      <c r="Q77" s="414"/>
      <c r="R77" s="414"/>
      <c r="S77" s="414"/>
      <c r="T77" s="278"/>
      <c r="U77" s="415"/>
      <c r="V77" s="397"/>
      <c r="W77" s="276"/>
    </row>
    <row r="78" spans="1:27" x14ac:dyDescent="0.6">
      <c r="F78" s="398"/>
      <c r="G78" s="1183"/>
      <c r="H78" s="410"/>
      <c r="I78" s="83"/>
      <c r="J78" s="278"/>
      <c r="K78" s="411"/>
      <c r="L78" s="278"/>
      <c r="M78" s="412"/>
      <c r="N78" s="413"/>
      <c r="O78" s="278"/>
      <c r="P78" s="278"/>
      <c r="Q78" s="414"/>
      <c r="R78" s="414"/>
      <c r="S78" s="414"/>
      <c r="T78" s="278"/>
      <c r="U78" s="415"/>
      <c r="V78" s="397"/>
      <c r="W78" s="276"/>
    </row>
    <row r="79" spans="1:27" x14ac:dyDescent="0.6">
      <c r="F79" s="398"/>
      <c r="G79" s="1183"/>
      <c r="H79" s="410"/>
      <c r="I79" s="83"/>
      <c r="J79" s="278"/>
      <c r="K79" s="411"/>
      <c r="L79" s="278"/>
      <c r="M79" s="412"/>
      <c r="N79" s="413"/>
      <c r="O79" s="278"/>
      <c r="P79" s="278"/>
      <c r="Q79" s="414"/>
      <c r="R79" s="414"/>
      <c r="S79" s="414"/>
      <c r="T79" s="278"/>
      <c r="U79" s="415"/>
      <c r="V79" s="397"/>
      <c r="W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3" width="10.09765625" style="55" customWidth="1"/>
    <col min="4" max="4" width="10.09765625" style="89" customWidth="1"/>
    <col min="5" max="5" width="10.09765625" style="55" customWidth="1"/>
    <col min="6" max="6" width="9.5" style="55" customWidth="1"/>
    <col min="7" max="7" width="8.84765625" style="96" bestFit="1" customWidth="1"/>
    <col min="8" max="8" width="14.09765625" style="122" customWidth="1"/>
    <col min="9" max="9" width="17.59765625" style="1" bestFit="1" customWidth="1"/>
    <col min="10" max="10" width="8.3476562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1141</v>
      </c>
      <c r="E1" s="89"/>
      <c r="F1" s="879"/>
      <c r="I1" s="13"/>
      <c r="J1" s="95" t="s">
        <v>1091</v>
      </c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958"/>
      <c r="E2" s="56" t="s">
        <v>100</v>
      </c>
      <c r="F2" s="56"/>
      <c r="G2" s="97" t="s">
        <v>189</v>
      </c>
      <c r="H2" s="1185" t="s">
        <v>24</v>
      </c>
      <c r="I2" s="60" t="s">
        <v>24</v>
      </c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/>
      <c r="B3" s="60"/>
      <c r="C3" s="56" t="s">
        <v>136</v>
      </c>
      <c r="D3" s="958" t="s">
        <v>137</v>
      </c>
      <c r="E3" s="56" t="s">
        <v>604</v>
      </c>
      <c r="F3" s="56" t="s">
        <v>42</v>
      </c>
      <c r="G3" s="97" t="s">
        <v>79</v>
      </c>
      <c r="H3" s="157" t="s">
        <v>1139</v>
      </c>
      <c r="I3" s="2" t="s">
        <v>400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60">
        <v>1</v>
      </c>
      <c r="B4" s="85" t="s">
        <v>178</v>
      </c>
      <c r="C4" s="89"/>
      <c r="D4" s="89"/>
      <c r="E4" s="89"/>
      <c r="F4" s="89">
        <f t="shared" ref="F4:F54" si="0">D4+C4</f>
        <v>0</v>
      </c>
      <c r="G4" s="174">
        <v>8.9099999999999999E-2</v>
      </c>
      <c r="H4" s="948">
        <v>1.2</v>
      </c>
      <c r="I4" s="897">
        <f>H4*Assumptions!$C$32</f>
        <v>13186813.186813187</v>
      </c>
      <c r="J4" s="156">
        <v>0.45700000000000002</v>
      </c>
      <c r="K4" s="156">
        <f>J4</f>
        <v>0.45700000000000002</v>
      </c>
      <c r="L4" s="156">
        <f>J4</f>
        <v>0.45700000000000002</v>
      </c>
      <c r="M4" s="952">
        <f>J4-K4</f>
        <v>0</v>
      </c>
      <c r="N4" s="70">
        <f t="shared" ref="N4:N54" si="1">J4*I4</f>
        <v>6026373.6263736263</v>
      </c>
      <c r="O4" s="70">
        <f t="shared" ref="O4:O54" si="2">K4*I4</f>
        <v>6026373.6263736263</v>
      </c>
      <c r="P4" s="70">
        <f t="shared" ref="P4:P54" si="3">L4*I4</f>
        <v>6026373.6263736263</v>
      </c>
      <c r="Q4" s="70">
        <f t="shared" ref="Q4:Q54" si="4">N4-P4</f>
        <v>0</v>
      </c>
    </row>
    <row r="5" spans="1:17" s="85" customFormat="1" x14ac:dyDescent="0.6">
      <c r="A5" s="60">
        <f t="shared" ref="A5:A54" si="5">A4+1</f>
        <v>2</v>
      </c>
      <c r="B5" s="85" t="s">
        <v>188</v>
      </c>
      <c r="C5" s="89">
        <f t="shared" ref="C5:C54" si="6">C4</f>
        <v>0</v>
      </c>
      <c r="D5" s="89"/>
      <c r="E5" s="89"/>
      <c r="F5" s="89">
        <f t="shared" si="0"/>
        <v>0</v>
      </c>
      <c r="G5" s="174">
        <v>1.7600000000000001E-2</v>
      </c>
      <c r="H5" s="948">
        <v>0</v>
      </c>
      <c r="I5" s="897">
        <f>H5*Assumptions!$C$32</f>
        <v>0</v>
      </c>
      <c r="J5" s="156">
        <f>J4</f>
        <v>0.45700000000000002</v>
      </c>
      <c r="K5" s="156">
        <f>J5</f>
        <v>0.45700000000000002</v>
      </c>
      <c r="L5" s="156">
        <f>J5</f>
        <v>0.45700000000000002</v>
      </c>
      <c r="M5" s="952">
        <f t="shared" ref="M5:M54" si="7">J5-K5</f>
        <v>0</v>
      </c>
      <c r="N5" s="70">
        <f t="shared" si="1"/>
        <v>0</v>
      </c>
      <c r="O5" s="70">
        <f t="shared" si="2"/>
        <v>0</v>
      </c>
      <c r="P5" s="70">
        <f t="shared" si="3"/>
        <v>0</v>
      </c>
      <c r="Q5" s="70">
        <f t="shared" si="4"/>
        <v>0</v>
      </c>
    </row>
    <row r="6" spans="1:17" s="85" customFormat="1" x14ac:dyDescent="0.6">
      <c r="A6" s="60">
        <f t="shared" si="5"/>
        <v>3</v>
      </c>
      <c r="B6" s="85" t="s">
        <v>181</v>
      </c>
      <c r="C6" s="89">
        <f t="shared" si="6"/>
        <v>0</v>
      </c>
      <c r="D6" s="89"/>
      <c r="E6" s="89"/>
      <c r="F6" s="89">
        <f t="shared" si="0"/>
        <v>0</v>
      </c>
      <c r="G6" s="174">
        <v>8.1699999999999995E-2</v>
      </c>
      <c r="H6" s="948">
        <v>1.2</v>
      </c>
      <c r="I6" s="897">
        <f>H6*Assumptions!$C$32</f>
        <v>13186813.186813187</v>
      </c>
      <c r="J6" s="156">
        <f t="shared" ref="J6:J54" si="8">J5</f>
        <v>0.45700000000000002</v>
      </c>
      <c r="K6" s="156">
        <f t="shared" ref="K6:K54" si="9">J6</f>
        <v>0.45700000000000002</v>
      </c>
      <c r="L6" s="156">
        <f t="shared" ref="L6:L54" si="10">J6</f>
        <v>0.45700000000000002</v>
      </c>
      <c r="M6" s="952">
        <f t="shared" si="7"/>
        <v>0</v>
      </c>
      <c r="N6" s="70">
        <f t="shared" si="1"/>
        <v>6026373.6263736263</v>
      </c>
      <c r="O6" s="70">
        <f t="shared" si="2"/>
        <v>6026373.6263736263</v>
      </c>
      <c r="P6" s="70">
        <f t="shared" si="3"/>
        <v>6026373.6263736263</v>
      </c>
      <c r="Q6" s="70">
        <f t="shared" si="4"/>
        <v>0</v>
      </c>
    </row>
    <row r="7" spans="1:17" s="85" customFormat="1" x14ac:dyDescent="0.6">
      <c r="A7" s="60">
        <f t="shared" si="5"/>
        <v>4</v>
      </c>
      <c r="B7" s="85" t="s">
        <v>176</v>
      </c>
      <c r="C7" s="89">
        <f t="shared" si="6"/>
        <v>0</v>
      </c>
      <c r="D7" s="89"/>
      <c r="E7" s="89"/>
      <c r="F7" s="89">
        <f t="shared" si="0"/>
        <v>0</v>
      </c>
      <c r="G7" s="174">
        <v>9.2600000000000002E-2</v>
      </c>
      <c r="H7" s="948">
        <v>2.2000000000000002</v>
      </c>
      <c r="I7" s="897">
        <f>H7*Assumptions!$C$32</f>
        <v>24175824.17582418</v>
      </c>
      <c r="J7" s="156">
        <f t="shared" si="8"/>
        <v>0.45700000000000002</v>
      </c>
      <c r="K7" s="156">
        <f t="shared" si="9"/>
        <v>0.45700000000000002</v>
      </c>
      <c r="L7" s="156">
        <f t="shared" si="10"/>
        <v>0.45700000000000002</v>
      </c>
      <c r="M7" s="952">
        <f t="shared" si="7"/>
        <v>0</v>
      </c>
      <c r="N7" s="70">
        <f t="shared" si="1"/>
        <v>11048351.648351651</v>
      </c>
      <c r="O7" s="70">
        <f t="shared" si="2"/>
        <v>11048351.648351651</v>
      </c>
      <c r="P7" s="70">
        <f t="shared" si="3"/>
        <v>11048351.648351651</v>
      </c>
      <c r="Q7" s="70">
        <f t="shared" si="4"/>
        <v>0</v>
      </c>
    </row>
    <row r="8" spans="1:17" s="85" customFormat="1" x14ac:dyDescent="0.6">
      <c r="A8" s="60">
        <f t="shared" si="5"/>
        <v>5</v>
      </c>
      <c r="B8" s="85" t="s">
        <v>142</v>
      </c>
      <c r="C8" s="89">
        <f t="shared" si="6"/>
        <v>0</v>
      </c>
      <c r="D8" s="89"/>
      <c r="E8" s="89"/>
      <c r="F8" s="89">
        <f t="shared" si="0"/>
        <v>0</v>
      </c>
      <c r="G8" s="174">
        <v>8.4400000000000003E-2</v>
      </c>
      <c r="H8" s="948">
        <v>17.5</v>
      </c>
      <c r="I8" s="897">
        <f>H8*Assumptions!$C$32</f>
        <v>192307692.30769232</v>
      </c>
      <c r="J8" s="156">
        <f t="shared" si="8"/>
        <v>0.45700000000000002</v>
      </c>
      <c r="K8" s="156">
        <f t="shared" si="9"/>
        <v>0.45700000000000002</v>
      </c>
      <c r="L8" s="156">
        <f t="shared" si="10"/>
        <v>0.45700000000000002</v>
      </c>
      <c r="M8" s="952">
        <f t="shared" si="7"/>
        <v>0</v>
      </c>
      <c r="N8" s="70">
        <f t="shared" si="1"/>
        <v>87884615.384615391</v>
      </c>
      <c r="O8" s="70">
        <f t="shared" si="2"/>
        <v>87884615.384615391</v>
      </c>
      <c r="P8" s="70">
        <f t="shared" si="3"/>
        <v>87884615.384615391</v>
      </c>
      <c r="Q8" s="70">
        <f t="shared" si="4"/>
        <v>0</v>
      </c>
    </row>
    <row r="9" spans="1:17" s="85" customFormat="1" x14ac:dyDescent="0.6">
      <c r="A9" s="60">
        <f t="shared" si="5"/>
        <v>6</v>
      </c>
      <c r="B9" s="85" t="s">
        <v>175</v>
      </c>
      <c r="C9" s="89">
        <f t="shared" si="6"/>
        <v>0</v>
      </c>
      <c r="D9" s="89"/>
      <c r="E9" s="89"/>
      <c r="F9" s="89">
        <f t="shared" si="0"/>
        <v>0</v>
      </c>
      <c r="G9" s="174">
        <v>7.4399999999999994E-2</v>
      </c>
      <c r="H9" s="948">
        <v>1.8</v>
      </c>
      <c r="I9" s="897">
        <f>H9*Assumptions!$C$32</f>
        <v>19780219.780219782</v>
      </c>
      <c r="J9" s="156">
        <f t="shared" si="8"/>
        <v>0.45700000000000002</v>
      </c>
      <c r="K9" s="156">
        <f t="shared" si="9"/>
        <v>0.45700000000000002</v>
      </c>
      <c r="L9" s="156">
        <f t="shared" si="10"/>
        <v>0.45700000000000002</v>
      </c>
      <c r="M9" s="952">
        <f t="shared" si="7"/>
        <v>0</v>
      </c>
      <c r="N9" s="70">
        <f t="shared" si="1"/>
        <v>9039560.4395604413</v>
      </c>
      <c r="O9" s="70">
        <f t="shared" si="2"/>
        <v>9039560.4395604413</v>
      </c>
      <c r="P9" s="70">
        <f t="shared" si="3"/>
        <v>9039560.4395604413</v>
      </c>
      <c r="Q9" s="70">
        <f t="shared" si="4"/>
        <v>0</v>
      </c>
    </row>
    <row r="10" spans="1:17" s="85" customFormat="1" x14ac:dyDescent="0.6">
      <c r="A10" s="60">
        <f t="shared" si="5"/>
        <v>7</v>
      </c>
      <c r="B10" s="85" t="s">
        <v>143</v>
      </c>
      <c r="C10" s="89">
        <f t="shared" si="6"/>
        <v>0</v>
      </c>
      <c r="D10" s="89"/>
      <c r="E10" s="89"/>
      <c r="F10" s="89">
        <f t="shared" si="0"/>
        <v>0</v>
      </c>
      <c r="G10" s="174">
        <v>6.3500000000000001E-2</v>
      </c>
      <c r="H10" s="948">
        <v>0.5</v>
      </c>
      <c r="I10" s="897">
        <f>H10*Assumptions!$C$32</f>
        <v>5494505.4945054948</v>
      </c>
      <c r="J10" s="156">
        <f t="shared" si="8"/>
        <v>0.45700000000000002</v>
      </c>
      <c r="K10" s="156">
        <f t="shared" si="9"/>
        <v>0.45700000000000002</v>
      </c>
      <c r="L10" s="156">
        <f t="shared" si="10"/>
        <v>0.45700000000000002</v>
      </c>
      <c r="M10" s="952">
        <f t="shared" si="7"/>
        <v>0</v>
      </c>
      <c r="N10" s="70">
        <f t="shared" si="1"/>
        <v>2510989.0109890113</v>
      </c>
      <c r="O10" s="70">
        <f t="shared" si="2"/>
        <v>2510989.0109890113</v>
      </c>
      <c r="P10" s="70">
        <f t="shared" si="3"/>
        <v>2510989.0109890113</v>
      </c>
      <c r="Q10" s="70">
        <f t="shared" si="4"/>
        <v>0</v>
      </c>
    </row>
    <row r="11" spans="1:17" s="85" customFormat="1" x14ac:dyDescent="0.6">
      <c r="A11" s="60">
        <f t="shared" si="5"/>
        <v>8</v>
      </c>
      <c r="B11" s="85" t="s">
        <v>172</v>
      </c>
      <c r="C11" s="89">
        <f t="shared" si="6"/>
        <v>0</v>
      </c>
      <c r="D11" s="89"/>
      <c r="E11" s="89"/>
      <c r="F11" s="89">
        <f t="shared" si="0"/>
        <v>0</v>
      </c>
      <c r="G11" s="174">
        <v>0</v>
      </c>
      <c r="H11" s="948">
        <v>0.6</v>
      </c>
      <c r="I11" s="897">
        <f>H11*Assumptions!$C$32</f>
        <v>6593406.5934065934</v>
      </c>
      <c r="J11" s="156">
        <f t="shared" si="8"/>
        <v>0.45700000000000002</v>
      </c>
      <c r="K11" s="156">
        <f t="shared" si="9"/>
        <v>0.45700000000000002</v>
      </c>
      <c r="L11" s="156">
        <f t="shared" si="10"/>
        <v>0.45700000000000002</v>
      </c>
      <c r="M11" s="952">
        <f t="shared" si="7"/>
        <v>0</v>
      </c>
      <c r="N11" s="70">
        <f t="shared" si="1"/>
        <v>3013186.8131868131</v>
      </c>
      <c r="O11" s="70">
        <f t="shared" si="2"/>
        <v>3013186.8131868131</v>
      </c>
      <c r="P11" s="70">
        <f t="shared" si="3"/>
        <v>3013186.8131868131</v>
      </c>
      <c r="Q11" s="70">
        <f t="shared" si="4"/>
        <v>0</v>
      </c>
    </row>
    <row r="12" spans="1:17" s="85" customFormat="1" x14ac:dyDescent="0.6">
      <c r="A12" s="60">
        <f t="shared" si="5"/>
        <v>9</v>
      </c>
      <c r="B12" s="85" t="s">
        <v>171</v>
      </c>
      <c r="C12" s="89">
        <f t="shared" si="6"/>
        <v>0</v>
      </c>
      <c r="D12" s="89"/>
      <c r="E12" s="89"/>
      <c r="F12" s="89">
        <f t="shared" si="0"/>
        <v>0</v>
      </c>
      <c r="G12" s="174">
        <v>5.7500000000000002E-2</v>
      </c>
      <c r="H12" s="948">
        <v>0</v>
      </c>
      <c r="I12" s="897">
        <f>H12*Assumptions!$C$32</f>
        <v>0</v>
      </c>
      <c r="J12" s="156">
        <f t="shared" si="8"/>
        <v>0.45700000000000002</v>
      </c>
      <c r="K12" s="156">
        <f t="shared" si="9"/>
        <v>0.45700000000000002</v>
      </c>
      <c r="L12" s="156">
        <f t="shared" si="10"/>
        <v>0.45700000000000002</v>
      </c>
      <c r="M12" s="952">
        <f t="shared" si="7"/>
        <v>0</v>
      </c>
      <c r="N12" s="70">
        <f t="shared" si="1"/>
        <v>0</v>
      </c>
      <c r="O12" s="70">
        <f t="shared" si="2"/>
        <v>0</v>
      </c>
      <c r="P12" s="70">
        <f t="shared" si="3"/>
        <v>0</v>
      </c>
      <c r="Q12" s="70">
        <f t="shared" si="4"/>
        <v>0</v>
      </c>
    </row>
    <row r="13" spans="1:17" s="85" customFormat="1" x14ac:dyDescent="0.6">
      <c r="A13" s="60">
        <f t="shared" si="5"/>
        <v>10</v>
      </c>
      <c r="B13" s="85" t="s">
        <v>144</v>
      </c>
      <c r="C13" s="89">
        <f t="shared" si="6"/>
        <v>0</v>
      </c>
      <c r="D13" s="89"/>
      <c r="E13" s="89"/>
      <c r="F13" s="89">
        <f t="shared" si="0"/>
        <v>0</v>
      </c>
      <c r="G13" s="174">
        <v>6.6500000000000004E-2</v>
      </c>
      <c r="H13" s="948">
        <v>2.4</v>
      </c>
      <c r="I13" s="897">
        <f>H13*Assumptions!$C$32</f>
        <v>26373626.373626374</v>
      </c>
      <c r="J13" s="156">
        <f t="shared" si="8"/>
        <v>0.45700000000000002</v>
      </c>
      <c r="K13" s="156">
        <f t="shared" si="9"/>
        <v>0.45700000000000002</v>
      </c>
      <c r="L13" s="156">
        <f t="shared" si="10"/>
        <v>0.45700000000000002</v>
      </c>
      <c r="M13" s="952">
        <f t="shared" si="7"/>
        <v>0</v>
      </c>
      <c r="N13" s="70">
        <f t="shared" si="1"/>
        <v>12052747.252747253</v>
      </c>
      <c r="O13" s="70">
        <f t="shared" si="2"/>
        <v>12052747.252747253</v>
      </c>
      <c r="P13" s="70">
        <f t="shared" si="3"/>
        <v>12052747.252747253</v>
      </c>
      <c r="Q13" s="70">
        <f t="shared" si="4"/>
        <v>0</v>
      </c>
    </row>
    <row r="14" spans="1:17" s="85" customFormat="1" x14ac:dyDescent="0.6">
      <c r="A14" s="60">
        <f t="shared" si="5"/>
        <v>11</v>
      </c>
      <c r="B14" s="85" t="s">
        <v>154</v>
      </c>
      <c r="C14" s="89">
        <f t="shared" si="6"/>
        <v>0</v>
      </c>
      <c r="D14" s="89"/>
      <c r="E14" s="89"/>
      <c r="F14" s="89">
        <f t="shared" si="0"/>
        <v>0</v>
      </c>
      <c r="G14" s="174">
        <v>6.9599999999999995E-2</v>
      </c>
      <c r="H14" s="948">
        <v>4.4000000000000004</v>
      </c>
      <c r="I14" s="897">
        <f>H14*Assumptions!$C$32</f>
        <v>48351648.35164836</v>
      </c>
      <c r="J14" s="156">
        <f t="shared" si="8"/>
        <v>0.45700000000000002</v>
      </c>
      <c r="K14" s="156">
        <f t="shared" si="9"/>
        <v>0.45700000000000002</v>
      </c>
      <c r="L14" s="156">
        <f t="shared" si="10"/>
        <v>0.45700000000000002</v>
      </c>
      <c r="M14" s="952">
        <f t="shared" si="7"/>
        <v>0</v>
      </c>
      <c r="N14" s="70">
        <f t="shared" si="1"/>
        <v>22096703.296703301</v>
      </c>
      <c r="O14" s="70">
        <f t="shared" si="2"/>
        <v>22096703.296703301</v>
      </c>
      <c r="P14" s="70">
        <f t="shared" si="3"/>
        <v>22096703.296703301</v>
      </c>
      <c r="Q14" s="70">
        <f t="shared" si="4"/>
        <v>0</v>
      </c>
    </row>
    <row r="15" spans="1:17" s="85" customFormat="1" x14ac:dyDescent="0.6">
      <c r="A15" s="60">
        <f t="shared" si="5"/>
        <v>12</v>
      </c>
      <c r="B15" s="85" t="s">
        <v>141</v>
      </c>
      <c r="C15" s="89">
        <f t="shared" si="6"/>
        <v>0</v>
      </c>
      <c r="D15" s="89"/>
      <c r="E15" s="89"/>
      <c r="F15" s="89">
        <f t="shared" si="0"/>
        <v>0</v>
      </c>
      <c r="G15" s="174">
        <v>4.3499999999999997E-2</v>
      </c>
      <c r="H15" s="948">
        <v>0</v>
      </c>
      <c r="I15" s="897">
        <f>H15*Assumptions!$C$32</f>
        <v>0</v>
      </c>
      <c r="J15" s="156">
        <f t="shared" si="8"/>
        <v>0.45700000000000002</v>
      </c>
      <c r="K15" s="156">
        <f t="shared" si="9"/>
        <v>0.45700000000000002</v>
      </c>
      <c r="L15" s="156">
        <f t="shared" si="10"/>
        <v>0.45700000000000002</v>
      </c>
      <c r="M15" s="952">
        <f t="shared" si="7"/>
        <v>0</v>
      </c>
      <c r="N15" s="70">
        <f t="shared" si="1"/>
        <v>0</v>
      </c>
      <c r="O15" s="70">
        <f t="shared" si="2"/>
        <v>0</v>
      </c>
      <c r="P15" s="70">
        <f t="shared" si="3"/>
        <v>0</v>
      </c>
      <c r="Q15" s="70">
        <f t="shared" si="4"/>
        <v>0</v>
      </c>
    </row>
    <row r="16" spans="1:17" s="85" customFormat="1" x14ac:dyDescent="0.6">
      <c r="A16" s="60">
        <f t="shared" si="5"/>
        <v>13</v>
      </c>
      <c r="B16" s="85" t="s">
        <v>152</v>
      </c>
      <c r="C16" s="89">
        <f t="shared" si="6"/>
        <v>0</v>
      </c>
      <c r="D16" s="89"/>
      <c r="E16" s="89"/>
      <c r="F16" s="89">
        <f t="shared" si="0"/>
        <v>0</v>
      </c>
      <c r="G16" s="174">
        <v>6.0100000000000001E-2</v>
      </c>
      <c r="H16" s="948">
        <v>0.3</v>
      </c>
      <c r="I16" s="897">
        <f>H16*Assumptions!$C$32</f>
        <v>3296703.2967032967</v>
      </c>
      <c r="J16" s="156">
        <f t="shared" si="8"/>
        <v>0.45700000000000002</v>
      </c>
      <c r="K16" s="156">
        <f t="shared" si="9"/>
        <v>0.45700000000000002</v>
      </c>
      <c r="L16" s="156">
        <f t="shared" si="10"/>
        <v>0.45700000000000002</v>
      </c>
      <c r="M16" s="952">
        <f t="shared" si="7"/>
        <v>0</v>
      </c>
      <c r="N16" s="70">
        <f t="shared" si="1"/>
        <v>1506593.4065934066</v>
      </c>
      <c r="O16" s="70">
        <f t="shared" si="2"/>
        <v>1506593.4065934066</v>
      </c>
      <c r="P16" s="70">
        <f t="shared" si="3"/>
        <v>1506593.4065934066</v>
      </c>
      <c r="Q16" s="70">
        <f t="shared" si="4"/>
        <v>0</v>
      </c>
    </row>
    <row r="17" spans="1:17" s="85" customFormat="1" x14ac:dyDescent="0.6">
      <c r="A17" s="60">
        <f t="shared" si="5"/>
        <v>14</v>
      </c>
      <c r="B17" s="85" t="s">
        <v>157</v>
      </c>
      <c r="C17" s="89">
        <f t="shared" si="6"/>
        <v>0</v>
      </c>
      <c r="D17" s="89"/>
      <c r="E17" s="89"/>
      <c r="F17" s="89">
        <f t="shared" si="0"/>
        <v>0</v>
      </c>
      <c r="G17" s="174">
        <v>8.1900000000000001E-2</v>
      </c>
      <c r="H17" s="948">
        <v>40.4</v>
      </c>
      <c r="I17" s="897">
        <f>H17*Assumptions!$C$32</f>
        <v>443956043.95604396</v>
      </c>
      <c r="J17" s="156">
        <f t="shared" si="8"/>
        <v>0.45700000000000002</v>
      </c>
      <c r="K17" s="156">
        <f t="shared" si="9"/>
        <v>0.45700000000000002</v>
      </c>
      <c r="L17" s="156">
        <f t="shared" si="10"/>
        <v>0.45700000000000002</v>
      </c>
      <c r="M17" s="952">
        <f t="shared" si="7"/>
        <v>0</v>
      </c>
      <c r="N17" s="70">
        <f t="shared" si="1"/>
        <v>202887912.08791208</v>
      </c>
      <c r="O17" s="70">
        <f t="shared" si="2"/>
        <v>202887912.08791208</v>
      </c>
      <c r="P17" s="70">
        <f t="shared" si="3"/>
        <v>202887912.08791208</v>
      </c>
      <c r="Q17" s="70">
        <f t="shared" si="4"/>
        <v>0</v>
      </c>
    </row>
    <row r="18" spans="1:17" s="85" customFormat="1" x14ac:dyDescent="0.6">
      <c r="A18" s="60">
        <f t="shared" si="5"/>
        <v>15</v>
      </c>
      <c r="B18" s="85" t="s">
        <v>160</v>
      </c>
      <c r="C18" s="89">
        <f t="shared" si="6"/>
        <v>0</v>
      </c>
      <c r="D18" s="89"/>
      <c r="E18" s="89"/>
      <c r="F18" s="89">
        <f t="shared" si="0"/>
        <v>0</v>
      </c>
      <c r="G18" s="174">
        <v>7.0000000000000007E-2</v>
      </c>
      <c r="H18" s="948">
        <v>4</v>
      </c>
      <c r="I18" s="897">
        <f>H18*Assumptions!$C$32</f>
        <v>43956043.956043959</v>
      </c>
      <c r="J18" s="156">
        <f t="shared" si="8"/>
        <v>0.45700000000000002</v>
      </c>
      <c r="K18" s="156">
        <f t="shared" si="9"/>
        <v>0.45700000000000002</v>
      </c>
      <c r="L18" s="156">
        <f t="shared" si="10"/>
        <v>0.45700000000000002</v>
      </c>
      <c r="M18" s="952">
        <f t="shared" si="7"/>
        <v>0</v>
      </c>
      <c r="N18" s="70">
        <f t="shared" si="1"/>
        <v>20087912.08791209</v>
      </c>
      <c r="O18" s="70">
        <f t="shared" si="2"/>
        <v>20087912.08791209</v>
      </c>
      <c r="P18" s="70">
        <f t="shared" si="3"/>
        <v>20087912.08791209</v>
      </c>
      <c r="Q18" s="70">
        <f t="shared" si="4"/>
        <v>0</v>
      </c>
    </row>
    <row r="19" spans="1:17" s="85" customFormat="1" x14ac:dyDescent="0.6">
      <c r="A19" s="60">
        <f t="shared" si="5"/>
        <v>16</v>
      </c>
      <c r="B19" s="85" t="s">
        <v>151</v>
      </c>
      <c r="C19" s="89">
        <f t="shared" si="6"/>
        <v>0</v>
      </c>
      <c r="D19" s="89"/>
      <c r="E19" s="89"/>
      <c r="F19" s="89">
        <f t="shared" si="0"/>
        <v>0</v>
      </c>
      <c r="G19" s="174">
        <v>6.7799999999999999E-2</v>
      </c>
      <c r="H19" s="948">
        <v>45.2</v>
      </c>
      <c r="I19" s="897">
        <f>H19*Assumptions!$C$32</f>
        <v>496703296.70329678</v>
      </c>
      <c r="J19" s="156">
        <f t="shared" si="8"/>
        <v>0.45700000000000002</v>
      </c>
      <c r="K19" s="156">
        <f t="shared" si="9"/>
        <v>0.45700000000000002</v>
      </c>
      <c r="L19" s="156">
        <f t="shared" si="10"/>
        <v>0.45700000000000002</v>
      </c>
      <c r="M19" s="952">
        <f t="shared" si="7"/>
        <v>0</v>
      </c>
      <c r="N19" s="70">
        <f t="shared" si="1"/>
        <v>226993406.59340665</v>
      </c>
      <c r="O19" s="70">
        <f t="shared" si="2"/>
        <v>226993406.59340665</v>
      </c>
      <c r="P19" s="70">
        <f t="shared" si="3"/>
        <v>226993406.59340665</v>
      </c>
      <c r="Q19" s="70">
        <f t="shared" si="4"/>
        <v>0</v>
      </c>
    </row>
    <row r="20" spans="1:17" s="85" customFormat="1" x14ac:dyDescent="0.6">
      <c r="A20" s="60">
        <f t="shared" si="5"/>
        <v>17</v>
      </c>
      <c r="B20" s="85" t="s">
        <v>168</v>
      </c>
      <c r="C20" s="89">
        <f t="shared" si="6"/>
        <v>0</v>
      </c>
      <c r="D20" s="89"/>
      <c r="E20" s="89"/>
      <c r="F20" s="89">
        <f t="shared" si="0"/>
        <v>0</v>
      </c>
      <c r="G20" s="174">
        <v>8.2000000000000003E-2</v>
      </c>
      <c r="H20" s="948">
        <v>1.4</v>
      </c>
      <c r="I20" s="897">
        <f>H20*Assumptions!$C$32</f>
        <v>15384615.384615384</v>
      </c>
      <c r="J20" s="156">
        <f t="shared" si="8"/>
        <v>0.45700000000000002</v>
      </c>
      <c r="K20" s="156">
        <f t="shared" si="9"/>
        <v>0.45700000000000002</v>
      </c>
      <c r="L20" s="156">
        <f t="shared" si="10"/>
        <v>0.45700000000000002</v>
      </c>
      <c r="M20" s="952">
        <f t="shared" si="7"/>
        <v>0</v>
      </c>
      <c r="N20" s="70">
        <f t="shared" si="1"/>
        <v>7030769.230769231</v>
      </c>
      <c r="O20" s="70">
        <f t="shared" si="2"/>
        <v>7030769.230769231</v>
      </c>
      <c r="P20" s="70">
        <f t="shared" si="3"/>
        <v>7030769.230769231</v>
      </c>
      <c r="Q20" s="70">
        <f t="shared" si="4"/>
        <v>0</v>
      </c>
    </row>
    <row r="21" spans="1:17" s="85" customFormat="1" x14ac:dyDescent="0.6">
      <c r="A21" s="60">
        <f t="shared" si="5"/>
        <v>18</v>
      </c>
      <c r="B21" s="85" t="s">
        <v>167</v>
      </c>
      <c r="C21" s="89">
        <f t="shared" si="6"/>
        <v>0</v>
      </c>
      <c r="D21" s="89"/>
      <c r="E21" s="89"/>
      <c r="F21" s="89">
        <f t="shared" si="0"/>
        <v>0</v>
      </c>
      <c r="G21" s="174">
        <v>0.06</v>
      </c>
      <c r="H21" s="948">
        <v>22.7</v>
      </c>
      <c r="I21" s="897">
        <f>H21*Assumptions!$C$32</f>
        <v>249450549.45054945</v>
      </c>
      <c r="J21" s="156">
        <f t="shared" si="8"/>
        <v>0.45700000000000002</v>
      </c>
      <c r="K21" s="156">
        <f t="shared" si="9"/>
        <v>0.45700000000000002</v>
      </c>
      <c r="L21" s="156">
        <f t="shared" si="10"/>
        <v>0.45700000000000002</v>
      </c>
      <c r="M21" s="952">
        <f t="shared" si="7"/>
        <v>0</v>
      </c>
      <c r="N21" s="70">
        <f t="shared" si="1"/>
        <v>113998901.09890111</v>
      </c>
      <c r="O21" s="70">
        <f t="shared" si="2"/>
        <v>113998901.09890111</v>
      </c>
      <c r="P21" s="70">
        <f t="shared" si="3"/>
        <v>113998901.09890111</v>
      </c>
      <c r="Q21" s="70">
        <f t="shared" si="4"/>
        <v>0</v>
      </c>
    </row>
    <row r="22" spans="1:17" s="85" customFormat="1" x14ac:dyDescent="0.6">
      <c r="A22" s="60">
        <f t="shared" si="5"/>
        <v>19</v>
      </c>
      <c r="B22" s="85" t="s">
        <v>179</v>
      </c>
      <c r="C22" s="89">
        <f t="shared" si="6"/>
        <v>0</v>
      </c>
      <c r="D22" s="89"/>
      <c r="E22" s="89"/>
      <c r="F22" s="89">
        <f t="shared" si="0"/>
        <v>0</v>
      </c>
      <c r="G22" s="174">
        <v>8.9099999999999999E-2</v>
      </c>
      <c r="H22" s="948">
        <v>625.29999999999995</v>
      </c>
      <c r="I22" s="897">
        <f>H22*Assumptions!$C$32</f>
        <v>6871428571.4285717</v>
      </c>
      <c r="J22" s="156">
        <f t="shared" si="8"/>
        <v>0.45700000000000002</v>
      </c>
      <c r="K22" s="156">
        <f t="shared" si="9"/>
        <v>0.45700000000000002</v>
      </c>
      <c r="L22" s="156">
        <f t="shared" si="10"/>
        <v>0.45700000000000002</v>
      </c>
      <c r="M22" s="952">
        <f t="shared" si="7"/>
        <v>0</v>
      </c>
      <c r="N22" s="70">
        <f t="shared" si="1"/>
        <v>3140242857.1428576</v>
      </c>
      <c r="O22" s="70">
        <f t="shared" si="2"/>
        <v>3140242857.1428576</v>
      </c>
      <c r="P22" s="70">
        <f t="shared" si="3"/>
        <v>3140242857.1428576</v>
      </c>
      <c r="Q22" s="70">
        <f t="shared" si="4"/>
        <v>0</v>
      </c>
    </row>
    <row r="23" spans="1:17" s="85" customFormat="1" x14ac:dyDescent="0.6">
      <c r="A23" s="60">
        <f t="shared" si="5"/>
        <v>20</v>
      </c>
      <c r="B23" s="85" t="s">
        <v>158</v>
      </c>
      <c r="C23" s="89">
        <f t="shared" si="6"/>
        <v>0</v>
      </c>
      <c r="D23" s="89"/>
      <c r="E23" s="89"/>
      <c r="F23" s="89">
        <f t="shared" si="0"/>
        <v>0</v>
      </c>
      <c r="G23" s="174">
        <v>5.5E-2</v>
      </c>
      <c r="H23" s="948">
        <v>0.3</v>
      </c>
      <c r="I23" s="897">
        <f>H23*Assumptions!$C$32</f>
        <v>3296703.2967032967</v>
      </c>
      <c r="J23" s="156">
        <f t="shared" si="8"/>
        <v>0.45700000000000002</v>
      </c>
      <c r="K23" s="156">
        <f t="shared" si="9"/>
        <v>0.45700000000000002</v>
      </c>
      <c r="L23" s="156">
        <f t="shared" si="10"/>
        <v>0.45700000000000002</v>
      </c>
      <c r="M23" s="952">
        <f t="shared" si="7"/>
        <v>0</v>
      </c>
      <c r="N23" s="70">
        <f t="shared" si="1"/>
        <v>1506593.4065934066</v>
      </c>
      <c r="O23" s="70">
        <f t="shared" si="2"/>
        <v>1506593.4065934066</v>
      </c>
      <c r="P23" s="70">
        <f t="shared" si="3"/>
        <v>1506593.4065934066</v>
      </c>
      <c r="Q23" s="70">
        <f t="shared" si="4"/>
        <v>0</v>
      </c>
    </row>
    <row r="24" spans="1:17" s="85" customFormat="1" x14ac:dyDescent="0.6">
      <c r="A24" s="60">
        <f t="shared" si="5"/>
        <v>21</v>
      </c>
      <c r="B24" s="85" t="s">
        <v>150</v>
      </c>
      <c r="C24" s="89">
        <f t="shared" si="6"/>
        <v>0</v>
      </c>
      <c r="D24" s="89"/>
      <c r="E24" s="89"/>
      <c r="F24" s="89">
        <f t="shared" si="0"/>
        <v>0</v>
      </c>
      <c r="G24" s="174">
        <v>0.06</v>
      </c>
      <c r="H24" s="948">
        <v>1.4</v>
      </c>
      <c r="I24" s="897">
        <f>H24*Assumptions!$C$32</f>
        <v>15384615.384615384</v>
      </c>
      <c r="J24" s="156">
        <f t="shared" si="8"/>
        <v>0.45700000000000002</v>
      </c>
      <c r="K24" s="156">
        <f t="shared" si="9"/>
        <v>0.45700000000000002</v>
      </c>
      <c r="L24" s="156">
        <f t="shared" si="10"/>
        <v>0.45700000000000002</v>
      </c>
      <c r="M24" s="952">
        <f t="shared" si="7"/>
        <v>0</v>
      </c>
      <c r="N24" s="70">
        <f t="shared" si="1"/>
        <v>7030769.230769231</v>
      </c>
      <c r="O24" s="70">
        <f t="shared" si="2"/>
        <v>7030769.230769231</v>
      </c>
      <c r="P24" s="70">
        <f t="shared" si="3"/>
        <v>7030769.230769231</v>
      </c>
      <c r="Q24" s="70">
        <f t="shared" si="4"/>
        <v>0</v>
      </c>
    </row>
    <row r="25" spans="1:17" s="85" customFormat="1" x14ac:dyDescent="0.6">
      <c r="A25" s="60">
        <f t="shared" si="5"/>
        <v>22</v>
      </c>
      <c r="B25" s="85" t="s">
        <v>166</v>
      </c>
      <c r="C25" s="89">
        <f t="shared" si="6"/>
        <v>0</v>
      </c>
      <c r="D25" s="89"/>
      <c r="E25" s="89"/>
      <c r="F25" s="89">
        <f t="shared" si="0"/>
        <v>0</v>
      </c>
      <c r="G25" s="174">
        <v>6.25E-2</v>
      </c>
      <c r="H25" s="948">
        <v>0.4</v>
      </c>
      <c r="I25" s="897">
        <f>H25*Assumptions!$C$32</f>
        <v>4395604.3956043962</v>
      </c>
      <c r="J25" s="156">
        <f t="shared" si="8"/>
        <v>0.45700000000000002</v>
      </c>
      <c r="K25" s="156">
        <f t="shared" si="9"/>
        <v>0.45700000000000002</v>
      </c>
      <c r="L25" s="156">
        <f t="shared" si="10"/>
        <v>0.45700000000000002</v>
      </c>
      <c r="M25" s="952">
        <f t="shared" si="7"/>
        <v>0</v>
      </c>
      <c r="N25" s="70">
        <f t="shared" si="1"/>
        <v>2008791.2087912092</v>
      </c>
      <c r="O25" s="70">
        <f t="shared" si="2"/>
        <v>2008791.2087912092</v>
      </c>
      <c r="P25" s="70">
        <f t="shared" si="3"/>
        <v>2008791.2087912092</v>
      </c>
      <c r="Q25" s="70">
        <f t="shared" si="4"/>
        <v>0</v>
      </c>
    </row>
    <row r="26" spans="1:17" s="85" customFormat="1" x14ac:dyDescent="0.6">
      <c r="A26" s="60">
        <f t="shared" si="5"/>
        <v>23</v>
      </c>
      <c r="B26" s="85" t="s">
        <v>155</v>
      </c>
      <c r="C26" s="89">
        <f t="shared" si="6"/>
        <v>0</v>
      </c>
      <c r="D26" s="89"/>
      <c r="E26" s="89"/>
      <c r="F26" s="89">
        <f t="shared" si="0"/>
        <v>0</v>
      </c>
      <c r="G26" s="174">
        <v>0.06</v>
      </c>
      <c r="H26" s="948">
        <v>3.9</v>
      </c>
      <c r="I26" s="897">
        <f>H26*Assumptions!$C$32</f>
        <v>42857142.857142858</v>
      </c>
      <c r="J26" s="156">
        <f t="shared" si="8"/>
        <v>0.45700000000000002</v>
      </c>
      <c r="K26" s="156">
        <f t="shared" si="9"/>
        <v>0.45700000000000002</v>
      </c>
      <c r="L26" s="156">
        <f t="shared" si="10"/>
        <v>0.45700000000000002</v>
      </c>
      <c r="M26" s="952">
        <f t="shared" si="7"/>
        <v>0</v>
      </c>
      <c r="N26" s="70">
        <f t="shared" si="1"/>
        <v>19585714.285714287</v>
      </c>
      <c r="O26" s="70">
        <f t="shared" si="2"/>
        <v>19585714.285714287</v>
      </c>
      <c r="P26" s="70">
        <f t="shared" si="3"/>
        <v>19585714.285714287</v>
      </c>
      <c r="Q26" s="70">
        <f t="shared" si="4"/>
        <v>0</v>
      </c>
    </row>
    <row r="27" spans="1:17" s="85" customFormat="1" x14ac:dyDescent="0.6">
      <c r="A27" s="60">
        <f t="shared" si="5"/>
        <v>24</v>
      </c>
      <c r="B27" s="85" t="s">
        <v>162</v>
      </c>
      <c r="C27" s="89">
        <f t="shared" si="6"/>
        <v>0</v>
      </c>
      <c r="D27" s="89"/>
      <c r="E27" s="89"/>
      <c r="F27" s="89">
        <f t="shared" si="0"/>
        <v>0</v>
      </c>
      <c r="G27" s="174">
        <v>7.1999999999999995E-2</v>
      </c>
      <c r="H27" s="948">
        <v>8.1999999999999993</v>
      </c>
      <c r="I27" s="897">
        <f>H27*Assumptions!$C$32</f>
        <v>90109890.109890103</v>
      </c>
      <c r="J27" s="156">
        <f t="shared" si="8"/>
        <v>0.45700000000000002</v>
      </c>
      <c r="K27" s="156">
        <f t="shared" si="9"/>
        <v>0.45700000000000002</v>
      </c>
      <c r="L27" s="156">
        <f t="shared" si="10"/>
        <v>0.45700000000000002</v>
      </c>
      <c r="M27" s="952">
        <f t="shared" si="7"/>
        <v>0</v>
      </c>
      <c r="N27" s="70">
        <f t="shared" si="1"/>
        <v>41180219.780219778</v>
      </c>
      <c r="O27" s="70">
        <f t="shared" si="2"/>
        <v>41180219.780219778</v>
      </c>
      <c r="P27" s="70">
        <f t="shared" si="3"/>
        <v>41180219.780219778</v>
      </c>
      <c r="Q27" s="70">
        <f t="shared" si="4"/>
        <v>0</v>
      </c>
    </row>
    <row r="28" spans="1:17" s="85" customFormat="1" x14ac:dyDescent="0.6">
      <c r="A28" s="60">
        <f t="shared" si="5"/>
        <v>25</v>
      </c>
      <c r="B28" s="85" t="s">
        <v>183</v>
      </c>
      <c r="C28" s="89">
        <f t="shared" si="6"/>
        <v>0</v>
      </c>
      <c r="D28" s="89"/>
      <c r="E28" s="89"/>
      <c r="F28" s="89">
        <f t="shared" si="0"/>
        <v>0</v>
      </c>
      <c r="G28" s="174">
        <v>7.0699999999999999E-2</v>
      </c>
      <c r="H28" s="948">
        <v>1.7</v>
      </c>
      <c r="I28" s="897">
        <f>H28*Assumptions!$C$32</f>
        <v>18681318.681318682</v>
      </c>
      <c r="J28" s="156">
        <f t="shared" si="8"/>
        <v>0.45700000000000002</v>
      </c>
      <c r="K28" s="156">
        <f t="shared" si="9"/>
        <v>0.45700000000000002</v>
      </c>
      <c r="L28" s="156">
        <f t="shared" si="10"/>
        <v>0.45700000000000002</v>
      </c>
      <c r="M28" s="952">
        <f t="shared" si="7"/>
        <v>0</v>
      </c>
      <c r="N28" s="70">
        <f t="shared" si="1"/>
        <v>8537362.6373626385</v>
      </c>
      <c r="O28" s="70">
        <f t="shared" si="2"/>
        <v>8537362.6373626385</v>
      </c>
      <c r="P28" s="70">
        <f t="shared" si="3"/>
        <v>8537362.6373626385</v>
      </c>
      <c r="Q28" s="70">
        <f t="shared" si="4"/>
        <v>0</v>
      </c>
    </row>
    <row r="29" spans="1:17" s="85" customFormat="1" x14ac:dyDescent="0.6">
      <c r="A29" s="60">
        <f t="shared" si="5"/>
        <v>26</v>
      </c>
      <c r="B29" s="85" t="s">
        <v>184</v>
      </c>
      <c r="C29" s="89">
        <f t="shared" si="6"/>
        <v>0</v>
      </c>
      <c r="D29" s="89"/>
      <c r="E29" s="89"/>
      <c r="F29" s="89">
        <f t="shared" si="0"/>
        <v>0</v>
      </c>
      <c r="G29" s="174">
        <v>7.8100000000000003E-2</v>
      </c>
      <c r="H29" s="948">
        <v>3.8</v>
      </c>
      <c r="I29" s="897">
        <f>H29*Assumptions!$C$32</f>
        <v>41758241.758241758</v>
      </c>
      <c r="J29" s="156">
        <f t="shared" si="8"/>
        <v>0.45700000000000002</v>
      </c>
      <c r="K29" s="156">
        <f t="shared" si="9"/>
        <v>0.45700000000000002</v>
      </c>
      <c r="L29" s="156">
        <f t="shared" si="10"/>
        <v>0.45700000000000002</v>
      </c>
      <c r="M29" s="952">
        <f t="shared" si="7"/>
        <v>0</v>
      </c>
      <c r="N29" s="70">
        <f t="shared" si="1"/>
        <v>19083516.483516484</v>
      </c>
      <c r="O29" s="70">
        <f t="shared" si="2"/>
        <v>19083516.483516484</v>
      </c>
      <c r="P29" s="70">
        <f t="shared" si="3"/>
        <v>19083516.483516484</v>
      </c>
      <c r="Q29" s="70">
        <f t="shared" si="4"/>
        <v>0</v>
      </c>
    </row>
    <row r="30" spans="1:17" s="85" customFormat="1" x14ac:dyDescent="0.6">
      <c r="A30" s="60">
        <f t="shared" si="5"/>
        <v>27</v>
      </c>
      <c r="B30" s="85" t="s">
        <v>164</v>
      </c>
      <c r="C30" s="89">
        <f t="shared" si="6"/>
        <v>0</v>
      </c>
      <c r="D30" s="89"/>
      <c r="E30" s="89"/>
      <c r="F30" s="89">
        <f t="shared" si="0"/>
        <v>0</v>
      </c>
      <c r="G30" s="174">
        <v>0</v>
      </c>
      <c r="H30" s="948">
        <v>0.3</v>
      </c>
      <c r="I30" s="897">
        <f>H30*Assumptions!$C$32</f>
        <v>3296703.2967032967</v>
      </c>
      <c r="J30" s="156">
        <f t="shared" si="8"/>
        <v>0.45700000000000002</v>
      </c>
      <c r="K30" s="156">
        <f t="shared" si="9"/>
        <v>0.45700000000000002</v>
      </c>
      <c r="L30" s="156">
        <f t="shared" si="10"/>
        <v>0.45700000000000002</v>
      </c>
      <c r="M30" s="952">
        <f t="shared" si="7"/>
        <v>0</v>
      </c>
      <c r="N30" s="70">
        <f t="shared" si="1"/>
        <v>1506593.4065934066</v>
      </c>
      <c r="O30" s="70">
        <f t="shared" si="2"/>
        <v>1506593.4065934066</v>
      </c>
      <c r="P30" s="70">
        <f t="shared" si="3"/>
        <v>1506593.4065934066</v>
      </c>
      <c r="Q30" s="70">
        <f t="shared" si="4"/>
        <v>0</v>
      </c>
    </row>
    <row r="31" spans="1:17" s="85" customFormat="1" x14ac:dyDescent="0.6">
      <c r="A31" s="60">
        <f t="shared" si="5"/>
        <v>28</v>
      </c>
      <c r="B31" s="85" t="s">
        <v>165</v>
      </c>
      <c r="C31" s="89">
        <f t="shared" si="6"/>
        <v>0</v>
      </c>
      <c r="D31" s="89"/>
      <c r="E31" s="89"/>
      <c r="F31" s="89">
        <f t="shared" si="0"/>
        <v>0</v>
      </c>
      <c r="G31" s="174">
        <v>6.8000000000000005E-2</v>
      </c>
      <c r="H31" s="948">
        <v>2.1</v>
      </c>
      <c r="I31" s="897">
        <f>H31*Assumptions!$C$32</f>
        <v>23076923.07692308</v>
      </c>
      <c r="J31" s="156">
        <f t="shared" si="8"/>
        <v>0.45700000000000002</v>
      </c>
      <c r="K31" s="156">
        <f t="shared" si="9"/>
        <v>0.45700000000000002</v>
      </c>
      <c r="L31" s="156">
        <f t="shared" si="10"/>
        <v>0.45700000000000002</v>
      </c>
      <c r="M31" s="952">
        <f t="shared" si="7"/>
        <v>0</v>
      </c>
      <c r="N31" s="70">
        <f t="shared" si="1"/>
        <v>10546153.846153848</v>
      </c>
      <c r="O31" s="70">
        <f t="shared" si="2"/>
        <v>10546153.846153848</v>
      </c>
      <c r="P31" s="70">
        <f t="shared" si="3"/>
        <v>10546153.846153848</v>
      </c>
      <c r="Q31" s="70">
        <f t="shared" si="4"/>
        <v>0</v>
      </c>
    </row>
    <row r="32" spans="1:17" s="85" customFormat="1" x14ac:dyDescent="0.6">
      <c r="A32" s="60">
        <f t="shared" si="5"/>
        <v>29</v>
      </c>
      <c r="B32" s="85" t="s">
        <v>147</v>
      </c>
      <c r="C32" s="89">
        <f t="shared" si="6"/>
        <v>0</v>
      </c>
      <c r="D32" s="89"/>
      <c r="E32" s="89"/>
      <c r="F32" s="89">
        <f t="shared" si="0"/>
        <v>0</v>
      </c>
      <c r="G32" s="174">
        <v>7.9399999999999998E-2</v>
      </c>
      <c r="H32" s="948">
        <v>0.4</v>
      </c>
      <c r="I32" s="897">
        <f>H32*Assumptions!$C$32</f>
        <v>4395604.3956043962</v>
      </c>
      <c r="J32" s="156">
        <f t="shared" si="8"/>
        <v>0.45700000000000002</v>
      </c>
      <c r="K32" s="156">
        <f t="shared" si="9"/>
        <v>0.45700000000000002</v>
      </c>
      <c r="L32" s="156">
        <f t="shared" si="10"/>
        <v>0.45700000000000002</v>
      </c>
      <c r="M32" s="952">
        <f t="shared" si="7"/>
        <v>0</v>
      </c>
      <c r="N32" s="70">
        <f t="shared" si="1"/>
        <v>2008791.2087912092</v>
      </c>
      <c r="O32" s="70">
        <f t="shared" si="2"/>
        <v>2008791.2087912092</v>
      </c>
      <c r="P32" s="70">
        <f t="shared" si="3"/>
        <v>2008791.2087912092</v>
      </c>
      <c r="Q32" s="70">
        <f t="shared" si="4"/>
        <v>0</v>
      </c>
    </row>
    <row r="33" spans="1:17" s="85" customFormat="1" x14ac:dyDescent="0.6">
      <c r="A33" s="60">
        <f t="shared" si="5"/>
        <v>30</v>
      </c>
      <c r="B33" s="85" t="s">
        <v>170</v>
      </c>
      <c r="C33" s="89">
        <f t="shared" si="6"/>
        <v>0</v>
      </c>
      <c r="D33" s="89"/>
      <c r="E33" s="89"/>
      <c r="F33" s="89">
        <f t="shared" si="0"/>
        <v>0</v>
      </c>
      <c r="G33" s="174">
        <v>0</v>
      </c>
      <c r="H33" s="948">
        <v>0.4</v>
      </c>
      <c r="I33" s="897">
        <f>H33*Assumptions!$C$32</f>
        <v>4395604.3956043962</v>
      </c>
      <c r="J33" s="156">
        <f t="shared" si="8"/>
        <v>0.45700000000000002</v>
      </c>
      <c r="K33" s="156">
        <f t="shared" si="9"/>
        <v>0.45700000000000002</v>
      </c>
      <c r="L33" s="156">
        <f t="shared" si="10"/>
        <v>0.45700000000000002</v>
      </c>
      <c r="M33" s="952">
        <f t="shared" si="7"/>
        <v>0</v>
      </c>
      <c r="N33" s="70">
        <f t="shared" si="1"/>
        <v>2008791.2087912092</v>
      </c>
      <c r="O33" s="70">
        <f t="shared" si="2"/>
        <v>2008791.2087912092</v>
      </c>
      <c r="P33" s="70">
        <f t="shared" si="3"/>
        <v>2008791.2087912092</v>
      </c>
      <c r="Q33" s="70">
        <f t="shared" si="4"/>
        <v>0</v>
      </c>
    </row>
    <row r="34" spans="1:17" s="85" customFormat="1" x14ac:dyDescent="0.6">
      <c r="A34" s="60">
        <f t="shared" si="5"/>
        <v>31</v>
      </c>
      <c r="B34" s="85" t="s">
        <v>187</v>
      </c>
      <c r="C34" s="89">
        <f t="shared" si="6"/>
        <v>0</v>
      </c>
      <c r="D34" s="89"/>
      <c r="E34" s="89"/>
      <c r="F34" s="89">
        <f t="shared" si="0"/>
        <v>0</v>
      </c>
      <c r="G34" s="174">
        <v>6.9699999999999998E-2</v>
      </c>
      <c r="H34" s="948">
        <v>0.9</v>
      </c>
      <c r="I34" s="897">
        <f>H34*Assumptions!$C$32</f>
        <v>9890109.8901098911</v>
      </c>
      <c r="J34" s="156">
        <f t="shared" si="8"/>
        <v>0.45700000000000002</v>
      </c>
      <c r="K34" s="156">
        <f t="shared" si="9"/>
        <v>0.45700000000000002</v>
      </c>
      <c r="L34" s="156">
        <f t="shared" si="10"/>
        <v>0.45700000000000002</v>
      </c>
      <c r="M34" s="952">
        <f t="shared" si="7"/>
        <v>0</v>
      </c>
      <c r="N34" s="70">
        <f t="shared" si="1"/>
        <v>4519780.2197802207</v>
      </c>
      <c r="O34" s="70">
        <f t="shared" si="2"/>
        <v>4519780.2197802207</v>
      </c>
      <c r="P34" s="70">
        <f t="shared" si="3"/>
        <v>4519780.2197802207</v>
      </c>
      <c r="Q34" s="70">
        <f t="shared" si="4"/>
        <v>0</v>
      </c>
    </row>
    <row r="35" spans="1:17" s="85" customFormat="1" x14ac:dyDescent="0.6">
      <c r="A35" s="60">
        <f t="shared" si="5"/>
        <v>32</v>
      </c>
      <c r="B35" s="85" t="s">
        <v>182</v>
      </c>
      <c r="C35" s="89">
        <f t="shared" si="6"/>
        <v>0</v>
      </c>
      <c r="D35" s="89"/>
      <c r="E35" s="89"/>
      <c r="F35" s="89">
        <f t="shared" si="0"/>
        <v>0</v>
      </c>
      <c r="G35" s="174">
        <v>7.3499999999999996E-2</v>
      </c>
      <c r="H35" s="948">
        <v>0.6</v>
      </c>
      <c r="I35" s="897">
        <f>H35*Assumptions!$C$32</f>
        <v>6593406.5934065934</v>
      </c>
      <c r="J35" s="156">
        <f t="shared" si="8"/>
        <v>0.45700000000000002</v>
      </c>
      <c r="K35" s="156">
        <f t="shared" si="9"/>
        <v>0.45700000000000002</v>
      </c>
      <c r="L35" s="156">
        <f t="shared" si="10"/>
        <v>0.45700000000000002</v>
      </c>
      <c r="M35" s="952">
        <f t="shared" si="7"/>
        <v>0</v>
      </c>
      <c r="N35" s="70">
        <f t="shared" si="1"/>
        <v>3013186.8131868131</v>
      </c>
      <c r="O35" s="70">
        <f t="shared" si="2"/>
        <v>3013186.8131868131</v>
      </c>
      <c r="P35" s="70">
        <f t="shared" si="3"/>
        <v>3013186.8131868131</v>
      </c>
      <c r="Q35" s="70">
        <f t="shared" si="4"/>
        <v>0</v>
      </c>
    </row>
    <row r="36" spans="1:17" s="85" customFormat="1" x14ac:dyDescent="0.6">
      <c r="A36" s="60">
        <f t="shared" si="5"/>
        <v>33</v>
      </c>
      <c r="B36" s="85" t="s">
        <v>140</v>
      </c>
      <c r="C36" s="89">
        <f t="shared" si="6"/>
        <v>0</v>
      </c>
      <c r="D36" s="89"/>
      <c r="E36" s="89"/>
      <c r="F36" s="89">
        <f t="shared" si="0"/>
        <v>0</v>
      </c>
      <c r="G36" s="174">
        <v>8.48E-2</v>
      </c>
      <c r="H36" s="948">
        <v>1.9</v>
      </c>
      <c r="I36" s="897">
        <f>H36*Assumptions!$C$32</f>
        <v>20879120.879120879</v>
      </c>
      <c r="J36" s="156">
        <f t="shared" si="8"/>
        <v>0.45700000000000002</v>
      </c>
      <c r="K36" s="156">
        <f t="shared" si="9"/>
        <v>0.45700000000000002</v>
      </c>
      <c r="L36" s="156">
        <f t="shared" si="10"/>
        <v>0.45700000000000002</v>
      </c>
      <c r="M36" s="952">
        <f t="shared" si="7"/>
        <v>0</v>
      </c>
      <c r="N36" s="70">
        <f t="shared" si="1"/>
        <v>9541758.2417582422</v>
      </c>
      <c r="O36" s="70">
        <f t="shared" si="2"/>
        <v>9541758.2417582422</v>
      </c>
      <c r="P36" s="70">
        <f t="shared" si="3"/>
        <v>9541758.2417582422</v>
      </c>
      <c r="Q36" s="70">
        <f t="shared" si="4"/>
        <v>0</v>
      </c>
    </row>
    <row r="37" spans="1:17" s="85" customFormat="1" x14ac:dyDescent="0.6">
      <c r="A37" s="60">
        <f t="shared" si="5"/>
        <v>34</v>
      </c>
      <c r="B37" s="85" t="s">
        <v>145</v>
      </c>
      <c r="C37" s="89">
        <f t="shared" si="6"/>
        <v>0</v>
      </c>
      <c r="D37" s="89"/>
      <c r="E37" s="89"/>
      <c r="F37" s="89">
        <f t="shared" si="0"/>
        <v>0</v>
      </c>
      <c r="G37" s="174">
        <v>6.9000000000000006E-2</v>
      </c>
      <c r="H37" s="948">
        <v>8.1</v>
      </c>
      <c r="I37" s="897">
        <f>H37*Assumptions!$C$32</f>
        <v>89010989.01098901</v>
      </c>
      <c r="J37" s="156">
        <f t="shared" si="8"/>
        <v>0.45700000000000002</v>
      </c>
      <c r="K37" s="156">
        <f t="shared" si="9"/>
        <v>0.45700000000000002</v>
      </c>
      <c r="L37" s="156">
        <f t="shared" si="10"/>
        <v>0.45700000000000002</v>
      </c>
      <c r="M37" s="952">
        <f t="shared" si="7"/>
        <v>0</v>
      </c>
      <c r="N37" s="70">
        <f t="shared" si="1"/>
        <v>40678021.978021979</v>
      </c>
      <c r="O37" s="70">
        <f t="shared" si="2"/>
        <v>40678021.978021979</v>
      </c>
      <c r="P37" s="70">
        <f t="shared" si="3"/>
        <v>40678021.978021979</v>
      </c>
      <c r="Q37" s="70">
        <f t="shared" si="4"/>
        <v>0</v>
      </c>
    </row>
    <row r="38" spans="1:17" s="85" customFormat="1" x14ac:dyDescent="0.6">
      <c r="A38" s="60">
        <f t="shared" si="5"/>
        <v>35</v>
      </c>
      <c r="B38" s="85" t="s">
        <v>173</v>
      </c>
      <c r="C38" s="89">
        <f t="shared" si="6"/>
        <v>0</v>
      </c>
      <c r="D38" s="89"/>
      <c r="E38" s="89"/>
      <c r="F38" s="89">
        <f t="shared" si="0"/>
        <v>0</v>
      </c>
      <c r="G38" s="174">
        <v>6.5600000000000006E-2</v>
      </c>
      <c r="H38" s="948">
        <v>2.2000000000000002</v>
      </c>
      <c r="I38" s="897">
        <f>H38*Assumptions!$C$32</f>
        <v>24175824.17582418</v>
      </c>
      <c r="J38" s="156">
        <f t="shared" si="8"/>
        <v>0.45700000000000002</v>
      </c>
      <c r="K38" s="156">
        <f t="shared" si="9"/>
        <v>0.45700000000000002</v>
      </c>
      <c r="L38" s="156">
        <f t="shared" si="10"/>
        <v>0.45700000000000002</v>
      </c>
      <c r="M38" s="952">
        <f t="shared" si="7"/>
        <v>0</v>
      </c>
      <c r="N38" s="70">
        <f t="shared" si="1"/>
        <v>11048351.648351651</v>
      </c>
      <c r="O38" s="70">
        <f t="shared" si="2"/>
        <v>11048351.648351651</v>
      </c>
      <c r="P38" s="70">
        <f t="shared" si="3"/>
        <v>11048351.648351651</v>
      </c>
      <c r="Q38" s="70">
        <f t="shared" si="4"/>
        <v>0</v>
      </c>
    </row>
    <row r="39" spans="1:17" s="85" customFormat="1" x14ac:dyDescent="0.6">
      <c r="A39" s="60">
        <f t="shared" si="5"/>
        <v>36</v>
      </c>
      <c r="B39" s="85" t="s">
        <v>163</v>
      </c>
      <c r="C39" s="89">
        <f t="shared" si="6"/>
        <v>0</v>
      </c>
      <c r="D39" s="89"/>
      <c r="E39" s="89"/>
      <c r="F39" s="89">
        <f t="shared" si="0"/>
        <v>0</v>
      </c>
      <c r="G39" s="174">
        <v>7.0999999999999994E-2</v>
      </c>
      <c r="H39" s="948">
        <v>3.9</v>
      </c>
      <c r="I39" s="897">
        <f>H39*Assumptions!$C$32</f>
        <v>42857142.857142858</v>
      </c>
      <c r="J39" s="156">
        <f t="shared" si="8"/>
        <v>0.45700000000000002</v>
      </c>
      <c r="K39" s="156">
        <f t="shared" si="9"/>
        <v>0.45700000000000002</v>
      </c>
      <c r="L39" s="156">
        <f t="shared" si="10"/>
        <v>0.45700000000000002</v>
      </c>
      <c r="M39" s="952">
        <f t="shared" si="7"/>
        <v>0</v>
      </c>
      <c r="N39" s="70">
        <f t="shared" si="1"/>
        <v>19585714.285714287</v>
      </c>
      <c r="O39" s="70">
        <f t="shared" si="2"/>
        <v>19585714.285714287</v>
      </c>
      <c r="P39" s="70">
        <f t="shared" si="3"/>
        <v>19585714.285714287</v>
      </c>
      <c r="Q39" s="70">
        <f t="shared" si="4"/>
        <v>0</v>
      </c>
    </row>
    <row r="40" spans="1:17" s="85" customFormat="1" x14ac:dyDescent="0.6">
      <c r="A40" s="60">
        <f t="shared" si="5"/>
        <v>37</v>
      </c>
      <c r="B40" s="85" t="s">
        <v>185</v>
      </c>
      <c r="C40" s="89">
        <f t="shared" si="6"/>
        <v>0</v>
      </c>
      <c r="D40" s="89"/>
      <c r="E40" s="89"/>
      <c r="F40" s="89">
        <f t="shared" si="0"/>
        <v>0</v>
      </c>
      <c r="G40" s="174">
        <v>8.77E-2</v>
      </c>
      <c r="H40" s="948">
        <v>1.2</v>
      </c>
      <c r="I40" s="897">
        <f>H40*Assumptions!$C$32</f>
        <v>13186813.186813187</v>
      </c>
      <c r="J40" s="156">
        <f t="shared" si="8"/>
        <v>0.45700000000000002</v>
      </c>
      <c r="K40" s="156">
        <f t="shared" si="9"/>
        <v>0.45700000000000002</v>
      </c>
      <c r="L40" s="156">
        <f t="shared" si="10"/>
        <v>0.45700000000000002</v>
      </c>
      <c r="M40" s="952">
        <f t="shared" si="7"/>
        <v>0</v>
      </c>
      <c r="N40" s="70">
        <f t="shared" si="1"/>
        <v>6026373.6263736263</v>
      </c>
      <c r="O40" s="70">
        <f t="shared" si="2"/>
        <v>6026373.6263736263</v>
      </c>
      <c r="P40" s="70">
        <f t="shared" si="3"/>
        <v>6026373.6263736263</v>
      </c>
      <c r="Q40" s="70">
        <f t="shared" si="4"/>
        <v>0</v>
      </c>
    </row>
    <row r="41" spans="1:17" s="85" customFormat="1" x14ac:dyDescent="0.6">
      <c r="A41" s="60">
        <f t="shared" si="5"/>
        <v>38</v>
      </c>
      <c r="B41" s="85" t="s">
        <v>153</v>
      </c>
      <c r="C41" s="89">
        <f t="shared" si="6"/>
        <v>0</v>
      </c>
      <c r="D41" s="89"/>
      <c r="E41" s="89"/>
      <c r="F41" s="89">
        <f t="shared" si="0"/>
        <v>0</v>
      </c>
      <c r="G41" s="174">
        <v>0</v>
      </c>
      <c r="H41" s="948">
        <v>1.7</v>
      </c>
      <c r="I41" s="897">
        <f>H41*Assumptions!$C$32</f>
        <v>18681318.681318682</v>
      </c>
      <c r="J41" s="156">
        <f t="shared" si="8"/>
        <v>0.45700000000000002</v>
      </c>
      <c r="K41" s="156">
        <f t="shared" si="9"/>
        <v>0.45700000000000002</v>
      </c>
      <c r="L41" s="156">
        <f t="shared" si="10"/>
        <v>0.45700000000000002</v>
      </c>
      <c r="M41" s="952">
        <f t="shared" si="7"/>
        <v>0</v>
      </c>
      <c r="N41" s="70">
        <f t="shared" si="1"/>
        <v>8537362.6373626385</v>
      </c>
      <c r="O41" s="70">
        <f t="shared" si="2"/>
        <v>8537362.6373626385</v>
      </c>
      <c r="P41" s="70">
        <f t="shared" si="3"/>
        <v>8537362.6373626385</v>
      </c>
      <c r="Q41" s="70">
        <f t="shared" si="4"/>
        <v>0</v>
      </c>
    </row>
    <row r="42" spans="1:17" s="85" customFormat="1" x14ac:dyDescent="0.6">
      <c r="A42" s="60">
        <f t="shared" si="5"/>
        <v>39</v>
      </c>
      <c r="B42" s="85" t="s">
        <v>138</v>
      </c>
      <c r="C42" s="89">
        <f t="shared" si="6"/>
        <v>0</v>
      </c>
      <c r="D42" s="89"/>
      <c r="E42" s="89"/>
      <c r="F42" s="89">
        <f t="shared" si="0"/>
        <v>0</v>
      </c>
      <c r="G42" s="174">
        <v>6.3399999999999998E-2</v>
      </c>
      <c r="H42" s="948">
        <v>19.3</v>
      </c>
      <c r="I42" s="897">
        <f>H42*Assumptions!$C$32</f>
        <v>212087912.08791211</v>
      </c>
      <c r="J42" s="156">
        <f t="shared" si="8"/>
        <v>0.45700000000000002</v>
      </c>
      <c r="K42" s="156">
        <f t="shared" si="9"/>
        <v>0.45700000000000002</v>
      </c>
      <c r="L42" s="156">
        <f t="shared" si="10"/>
        <v>0.45700000000000002</v>
      </c>
      <c r="M42" s="952">
        <f t="shared" si="7"/>
        <v>0</v>
      </c>
      <c r="N42" s="70">
        <f t="shared" si="1"/>
        <v>96924175.824175835</v>
      </c>
      <c r="O42" s="70">
        <f t="shared" si="2"/>
        <v>96924175.824175835</v>
      </c>
      <c r="P42" s="70">
        <f t="shared" si="3"/>
        <v>96924175.824175835</v>
      </c>
      <c r="Q42" s="70">
        <f t="shared" si="4"/>
        <v>0</v>
      </c>
    </row>
    <row r="43" spans="1:17" s="85" customFormat="1" x14ac:dyDescent="0.6">
      <c r="A43" s="60">
        <f t="shared" si="5"/>
        <v>40</v>
      </c>
      <c r="B43" s="85" t="s">
        <v>146</v>
      </c>
      <c r="C43" s="89">
        <f t="shared" si="6"/>
        <v>0</v>
      </c>
      <c r="D43" s="89"/>
      <c r="E43" s="89"/>
      <c r="F43" s="89">
        <f t="shared" si="0"/>
        <v>0</v>
      </c>
      <c r="G43" s="174">
        <v>7.0000000000000007E-2</v>
      </c>
      <c r="H43" s="948">
        <v>0.3</v>
      </c>
      <c r="I43" s="897">
        <f>H43*Assumptions!$C$32</f>
        <v>3296703.2967032967</v>
      </c>
      <c r="J43" s="156">
        <f t="shared" si="8"/>
        <v>0.45700000000000002</v>
      </c>
      <c r="K43" s="156">
        <f t="shared" si="9"/>
        <v>0.45700000000000002</v>
      </c>
      <c r="L43" s="156">
        <f t="shared" si="10"/>
        <v>0.45700000000000002</v>
      </c>
      <c r="M43" s="952">
        <f t="shared" si="7"/>
        <v>0</v>
      </c>
      <c r="N43" s="70">
        <f t="shared" si="1"/>
        <v>1506593.4065934066</v>
      </c>
      <c r="O43" s="70">
        <f t="shared" si="2"/>
        <v>1506593.4065934066</v>
      </c>
      <c r="P43" s="70">
        <f t="shared" si="3"/>
        <v>1506593.4065934066</v>
      </c>
      <c r="Q43" s="70">
        <f t="shared" si="4"/>
        <v>0</v>
      </c>
    </row>
    <row r="44" spans="1:17" s="85" customFormat="1" x14ac:dyDescent="0.6">
      <c r="A44" s="60">
        <f t="shared" si="5"/>
        <v>41</v>
      </c>
      <c r="B44" s="85" t="s">
        <v>186</v>
      </c>
      <c r="C44" s="89">
        <f t="shared" si="6"/>
        <v>0</v>
      </c>
      <c r="D44" s="89"/>
      <c r="E44" s="89"/>
      <c r="F44" s="89">
        <f t="shared" si="0"/>
        <v>0</v>
      </c>
      <c r="G44" s="174">
        <v>7.1300000000000002E-2</v>
      </c>
      <c r="H44" s="948">
        <v>1.7</v>
      </c>
      <c r="I44" s="897">
        <f>H44*Assumptions!$C$32</f>
        <v>18681318.681318682</v>
      </c>
      <c r="J44" s="156">
        <f t="shared" si="8"/>
        <v>0.45700000000000002</v>
      </c>
      <c r="K44" s="156">
        <f t="shared" si="9"/>
        <v>0.45700000000000002</v>
      </c>
      <c r="L44" s="156">
        <f t="shared" si="10"/>
        <v>0.45700000000000002</v>
      </c>
      <c r="M44" s="952">
        <f t="shared" si="7"/>
        <v>0</v>
      </c>
      <c r="N44" s="70">
        <f t="shared" si="1"/>
        <v>8537362.6373626385</v>
      </c>
      <c r="O44" s="70">
        <f t="shared" si="2"/>
        <v>8537362.6373626385</v>
      </c>
      <c r="P44" s="70">
        <f t="shared" si="3"/>
        <v>8537362.6373626385</v>
      </c>
      <c r="Q44" s="70">
        <f t="shared" si="4"/>
        <v>0</v>
      </c>
    </row>
    <row r="45" spans="1:17" s="85" customFormat="1" x14ac:dyDescent="0.6">
      <c r="A45" s="60">
        <f t="shared" si="5"/>
        <v>42</v>
      </c>
      <c r="B45" s="85" t="s">
        <v>159</v>
      </c>
      <c r="C45" s="89">
        <f t="shared" si="6"/>
        <v>0</v>
      </c>
      <c r="D45" s="89"/>
      <c r="E45" s="89"/>
      <c r="F45" s="89">
        <f t="shared" si="0"/>
        <v>0</v>
      </c>
      <c r="G45" s="174">
        <v>5.8299999999999998E-2</v>
      </c>
      <c r="H45" s="948">
        <v>1.3</v>
      </c>
      <c r="I45" s="897">
        <f>H45*Assumptions!$C$32</f>
        <v>14285714.285714287</v>
      </c>
      <c r="J45" s="156">
        <f t="shared" si="8"/>
        <v>0.45700000000000002</v>
      </c>
      <c r="K45" s="156">
        <f t="shared" si="9"/>
        <v>0.45700000000000002</v>
      </c>
      <c r="L45" s="156">
        <f t="shared" si="10"/>
        <v>0.45700000000000002</v>
      </c>
      <c r="M45" s="952">
        <f t="shared" si="7"/>
        <v>0</v>
      </c>
      <c r="N45" s="70">
        <f t="shared" si="1"/>
        <v>6528571.4285714291</v>
      </c>
      <c r="O45" s="70">
        <f t="shared" si="2"/>
        <v>6528571.4285714291</v>
      </c>
      <c r="P45" s="70">
        <f t="shared" si="3"/>
        <v>6528571.4285714291</v>
      </c>
      <c r="Q45" s="70">
        <f t="shared" si="4"/>
        <v>0</v>
      </c>
    </row>
    <row r="46" spans="1:17" s="85" customFormat="1" x14ac:dyDescent="0.6">
      <c r="A46" s="60">
        <f t="shared" si="5"/>
        <v>43</v>
      </c>
      <c r="B46" s="85" t="s">
        <v>177</v>
      </c>
      <c r="C46" s="89">
        <f t="shared" si="6"/>
        <v>0</v>
      </c>
      <c r="D46" s="89"/>
      <c r="E46" s="89"/>
      <c r="F46" s="89">
        <f t="shared" si="0"/>
        <v>0</v>
      </c>
      <c r="G46" s="174">
        <v>9.4500000000000001E-2</v>
      </c>
      <c r="H46" s="948">
        <v>1.1000000000000001</v>
      </c>
      <c r="I46" s="897">
        <f>H46*Assumptions!$C$32</f>
        <v>12087912.08791209</v>
      </c>
      <c r="J46" s="156">
        <f t="shared" si="8"/>
        <v>0.45700000000000002</v>
      </c>
      <c r="K46" s="156">
        <f t="shared" si="9"/>
        <v>0.45700000000000002</v>
      </c>
      <c r="L46" s="156">
        <f t="shared" si="10"/>
        <v>0.45700000000000002</v>
      </c>
      <c r="M46" s="952">
        <f t="shared" si="7"/>
        <v>0</v>
      </c>
      <c r="N46" s="70">
        <f t="shared" si="1"/>
        <v>5524175.8241758253</v>
      </c>
      <c r="O46" s="70">
        <f t="shared" si="2"/>
        <v>5524175.8241758253</v>
      </c>
      <c r="P46" s="70">
        <f t="shared" si="3"/>
        <v>5524175.8241758253</v>
      </c>
      <c r="Q46" s="70">
        <f t="shared" si="4"/>
        <v>0</v>
      </c>
    </row>
    <row r="47" spans="1:17" s="85" customFormat="1" x14ac:dyDescent="0.6">
      <c r="A47" s="60">
        <f t="shared" si="5"/>
        <v>44</v>
      </c>
      <c r="B47" s="85" t="s">
        <v>180</v>
      </c>
      <c r="C47" s="89">
        <f t="shared" si="6"/>
        <v>0</v>
      </c>
      <c r="D47" s="89"/>
      <c r="E47" s="89"/>
      <c r="F47" s="89">
        <f t="shared" si="0"/>
        <v>0</v>
      </c>
      <c r="G47" s="174">
        <v>8.0500000000000002E-2</v>
      </c>
      <c r="H47" s="948">
        <v>1715.3</v>
      </c>
      <c r="I47" s="897">
        <f>H47*Assumptions!$C$32</f>
        <v>18849450549.45055</v>
      </c>
      <c r="J47" s="156">
        <f t="shared" si="8"/>
        <v>0.45700000000000002</v>
      </c>
      <c r="K47" s="156">
        <f t="shared" si="9"/>
        <v>0.45700000000000002</v>
      </c>
      <c r="L47" s="156">
        <f t="shared" si="10"/>
        <v>0.45700000000000002</v>
      </c>
      <c r="M47" s="952">
        <f t="shared" si="7"/>
        <v>0</v>
      </c>
      <c r="N47" s="70">
        <f t="shared" si="1"/>
        <v>8614198901.0989017</v>
      </c>
      <c r="O47" s="70">
        <f t="shared" si="2"/>
        <v>8614198901.0989017</v>
      </c>
      <c r="P47" s="70">
        <f t="shared" si="3"/>
        <v>8614198901.0989017</v>
      </c>
      <c r="Q47" s="70">
        <f t="shared" si="4"/>
        <v>0</v>
      </c>
    </row>
    <row r="48" spans="1:17" s="85" customFormat="1" x14ac:dyDescent="0.6">
      <c r="A48" s="60">
        <f t="shared" si="5"/>
        <v>45</v>
      </c>
      <c r="B48" s="85" t="s">
        <v>161</v>
      </c>
      <c r="C48" s="89">
        <f t="shared" si="6"/>
        <v>0</v>
      </c>
      <c r="D48" s="89"/>
      <c r="E48" s="89"/>
      <c r="F48" s="89">
        <f t="shared" si="0"/>
        <v>0</v>
      </c>
      <c r="G48" s="174">
        <v>6.6799999999999998E-2</v>
      </c>
      <c r="H48" s="948">
        <v>0.5</v>
      </c>
      <c r="I48" s="897">
        <f>H48*Assumptions!$C$32</f>
        <v>5494505.4945054948</v>
      </c>
      <c r="J48" s="156">
        <f t="shared" si="8"/>
        <v>0.45700000000000002</v>
      </c>
      <c r="K48" s="156">
        <f t="shared" si="9"/>
        <v>0.45700000000000002</v>
      </c>
      <c r="L48" s="156">
        <f t="shared" si="10"/>
        <v>0.45700000000000002</v>
      </c>
      <c r="M48" s="952">
        <f t="shared" si="7"/>
        <v>0</v>
      </c>
      <c r="N48" s="70">
        <f t="shared" si="1"/>
        <v>2510989.0109890113</v>
      </c>
      <c r="O48" s="70">
        <f t="shared" si="2"/>
        <v>2510989.0109890113</v>
      </c>
      <c r="P48" s="70">
        <f t="shared" si="3"/>
        <v>2510989.0109890113</v>
      </c>
      <c r="Q48" s="70">
        <f t="shared" si="4"/>
        <v>0</v>
      </c>
    </row>
    <row r="49" spans="1:18" s="85" customFormat="1" x14ac:dyDescent="0.6">
      <c r="A49" s="60">
        <f t="shared" si="5"/>
        <v>46</v>
      </c>
      <c r="B49" s="85" t="s">
        <v>156</v>
      </c>
      <c r="C49" s="89">
        <f t="shared" si="6"/>
        <v>0</v>
      </c>
      <c r="D49" s="89"/>
      <c r="E49" s="89"/>
      <c r="F49" s="89">
        <f t="shared" si="0"/>
        <v>0</v>
      </c>
      <c r="G49" s="174">
        <v>6.1400000000000003E-2</v>
      </c>
      <c r="H49" s="948">
        <v>0.2</v>
      </c>
      <c r="I49" s="897">
        <f>H49*Assumptions!$C$32</f>
        <v>2197802.1978021981</v>
      </c>
      <c r="J49" s="156">
        <f t="shared" si="8"/>
        <v>0.45700000000000002</v>
      </c>
      <c r="K49" s="156">
        <f t="shared" si="9"/>
        <v>0.45700000000000002</v>
      </c>
      <c r="L49" s="156">
        <f t="shared" si="10"/>
        <v>0.45700000000000002</v>
      </c>
      <c r="M49" s="952">
        <f t="shared" si="7"/>
        <v>0</v>
      </c>
      <c r="N49" s="70">
        <f t="shared" si="1"/>
        <v>1004395.6043956046</v>
      </c>
      <c r="O49" s="70">
        <f t="shared" si="2"/>
        <v>1004395.6043956046</v>
      </c>
      <c r="P49" s="70">
        <f t="shared" si="3"/>
        <v>1004395.6043956046</v>
      </c>
      <c r="Q49" s="70">
        <f t="shared" si="4"/>
        <v>0</v>
      </c>
    </row>
    <row r="50" spans="1:18" s="85" customFormat="1" x14ac:dyDescent="0.6">
      <c r="A50" s="60">
        <f t="shared" si="5"/>
        <v>47</v>
      </c>
      <c r="B50" s="85" t="s">
        <v>174</v>
      </c>
      <c r="C50" s="89">
        <f t="shared" si="6"/>
        <v>0</v>
      </c>
      <c r="D50" s="89"/>
      <c r="E50" s="89"/>
      <c r="F50" s="89">
        <f t="shared" si="0"/>
        <v>0</v>
      </c>
      <c r="G50" s="174">
        <v>5.6300000000000003E-2</v>
      </c>
      <c r="H50" s="948">
        <v>2.7</v>
      </c>
      <c r="I50" s="897">
        <f>H50*Assumptions!$C$32</f>
        <v>29670329.670329675</v>
      </c>
      <c r="J50" s="156">
        <f t="shared" si="8"/>
        <v>0.45700000000000002</v>
      </c>
      <c r="K50" s="156">
        <f t="shared" si="9"/>
        <v>0.45700000000000002</v>
      </c>
      <c r="L50" s="156">
        <f t="shared" si="10"/>
        <v>0.45700000000000002</v>
      </c>
      <c r="M50" s="952">
        <f t="shared" si="7"/>
        <v>0</v>
      </c>
      <c r="N50" s="70">
        <f t="shared" si="1"/>
        <v>13559340.659340663</v>
      </c>
      <c r="O50" s="70">
        <f t="shared" si="2"/>
        <v>13559340.659340663</v>
      </c>
      <c r="P50" s="70">
        <f t="shared" si="3"/>
        <v>13559340.659340663</v>
      </c>
      <c r="Q50" s="70">
        <f t="shared" si="4"/>
        <v>0</v>
      </c>
    </row>
    <row r="51" spans="1:18" s="85" customFormat="1" x14ac:dyDescent="0.6">
      <c r="A51" s="60">
        <f t="shared" si="5"/>
        <v>48</v>
      </c>
      <c r="B51" s="85" t="s">
        <v>139</v>
      </c>
      <c r="C51" s="89">
        <f t="shared" si="6"/>
        <v>0</v>
      </c>
      <c r="D51" s="89"/>
      <c r="E51" s="89"/>
      <c r="F51" s="89">
        <f t="shared" si="0"/>
        <v>0</v>
      </c>
      <c r="G51" s="174">
        <v>8.8900000000000007E-2</v>
      </c>
      <c r="H51" s="948">
        <v>3.8</v>
      </c>
      <c r="I51" s="897">
        <f>H51*Assumptions!$C$32</f>
        <v>41758241.758241758</v>
      </c>
      <c r="J51" s="156">
        <f t="shared" si="8"/>
        <v>0.45700000000000002</v>
      </c>
      <c r="K51" s="156">
        <f t="shared" si="9"/>
        <v>0.45700000000000002</v>
      </c>
      <c r="L51" s="156">
        <f t="shared" si="10"/>
        <v>0.45700000000000002</v>
      </c>
      <c r="M51" s="952">
        <f t="shared" si="7"/>
        <v>0</v>
      </c>
      <c r="N51" s="70">
        <f t="shared" si="1"/>
        <v>19083516.483516484</v>
      </c>
      <c r="O51" s="70">
        <f t="shared" si="2"/>
        <v>19083516.483516484</v>
      </c>
      <c r="P51" s="70">
        <f t="shared" si="3"/>
        <v>19083516.483516484</v>
      </c>
      <c r="Q51" s="70">
        <f t="shared" si="4"/>
        <v>0</v>
      </c>
    </row>
    <row r="52" spans="1:18" s="85" customFormat="1" x14ac:dyDescent="0.6">
      <c r="A52" s="60">
        <f t="shared" si="5"/>
        <v>49</v>
      </c>
      <c r="B52" s="85" t="s">
        <v>148</v>
      </c>
      <c r="C52" s="89">
        <f t="shared" si="6"/>
        <v>0</v>
      </c>
      <c r="D52" s="89"/>
      <c r="E52" s="89"/>
      <c r="F52" s="89">
        <f t="shared" si="0"/>
        <v>0</v>
      </c>
      <c r="G52" s="174">
        <v>6.0699999999999997E-2</v>
      </c>
      <c r="H52" s="948">
        <v>0.3</v>
      </c>
      <c r="I52" s="897">
        <f>H52*Assumptions!$C$32</f>
        <v>3296703.2967032967</v>
      </c>
      <c r="J52" s="156">
        <f t="shared" si="8"/>
        <v>0.45700000000000002</v>
      </c>
      <c r="K52" s="156">
        <f t="shared" si="9"/>
        <v>0.45700000000000002</v>
      </c>
      <c r="L52" s="156">
        <f t="shared" si="10"/>
        <v>0.45700000000000002</v>
      </c>
      <c r="M52" s="952">
        <f t="shared" si="7"/>
        <v>0</v>
      </c>
      <c r="N52" s="70">
        <f t="shared" si="1"/>
        <v>1506593.4065934066</v>
      </c>
      <c r="O52" s="70">
        <f t="shared" si="2"/>
        <v>1506593.4065934066</v>
      </c>
      <c r="P52" s="70">
        <f t="shared" si="3"/>
        <v>1506593.4065934066</v>
      </c>
      <c r="Q52" s="70">
        <f t="shared" si="4"/>
        <v>0</v>
      </c>
    </row>
    <row r="53" spans="1:18" s="85" customFormat="1" x14ac:dyDescent="0.6">
      <c r="A53" s="60">
        <f t="shared" si="5"/>
        <v>50</v>
      </c>
      <c r="B53" s="85" t="s">
        <v>149</v>
      </c>
      <c r="C53" s="89">
        <f t="shared" si="6"/>
        <v>0</v>
      </c>
      <c r="D53" s="89"/>
      <c r="E53" s="89"/>
      <c r="F53" s="89">
        <f t="shared" si="0"/>
        <v>0</v>
      </c>
      <c r="G53" s="174">
        <v>5.4300000000000001E-2</v>
      </c>
      <c r="H53" s="948">
        <v>5.5</v>
      </c>
      <c r="I53" s="897">
        <f>H53*Assumptions!$C$32</f>
        <v>60439560.439560443</v>
      </c>
      <c r="J53" s="156">
        <f t="shared" si="8"/>
        <v>0.45700000000000002</v>
      </c>
      <c r="K53" s="156">
        <f t="shared" si="9"/>
        <v>0.45700000000000002</v>
      </c>
      <c r="L53" s="156">
        <f t="shared" si="10"/>
        <v>0.45700000000000002</v>
      </c>
      <c r="M53" s="952">
        <f t="shared" si="7"/>
        <v>0</v>
      </c>
      <c r="N53" s="70">
        <f t="shared" si="1"/>
        <v>27620879.120879125</v>
      </c>
      <c r="O53" s="70">
        <f t="shared" si="2"/>
        <v>27620879.120879125</v>
      </c>
      <c r="P53" s="70">
        <f t="shared" si="3"/>
        <v>27620879.120879125</v>
      </c>
      <c r="Q53" s="70">
        <f t="shared" si="4"/>
        <v>0</v>
      </c>
    </row>
    <row r="54" spans="1:18" s="85" customFormat="1" x14ac:dyDescent="0.6">
      <c r="A54" s="60">
        <f t="shared" si="5"/>
        <v>51</v>
      </c>
      <c r="B54" s="85" t="s">
        <v>169</v>
      </c>
      <c r="C54" s="89">
        <f t="shared" si="6"/>
        <v>0</v>
      </c>
      <c r="D54" s="89"/>
      <c r="E54" s="89"/>
      <c r="F54" s="89">
        <f t="shared" si="0"/>
        <v>0</v>
      </c>
      <c r="G54" s="174">
        <v>5.4699999999999999E-2</v>
      </c>
      <c r="H54" s="948">
        <v>0.3</v>
      </c>
      <c r="I54" s="897">
        <f>H54*Assumptions!$C$32</f>
        <v>3296703.2967032967</v>
      </c>
      <c r="J54" s="156">
        <f t="shared" si="8"/>
        <v>0.45700000000000002</v>
      </c>
      <c r="K54" s="156">
        <f t="shared" si="9"/>
        <v>0.45700000000000002</v>
      </c>
      <c r="L54" s="156">
        <f t="shared" si="10"/>
        <v>0.45700000000000002</v>
      </c>
      <c r="M54" s="952">
        <f t="shared" si="7"/>
        <v>0</v>
      </c>
      <c r="N54" s="70">
        <f t="shared" si="1"/>
        <v>1506593.4065934066</v>
      </c>
      <c r="O54" s="70">
        <f t="shared" si="2"/>
        <v>1506593.4065934066</v>
      </c>
      <c r="P54" s="70">
        <f t="shared" si="3"/>
        <v>1506593.4065934066</v>
      </c>
      <c r="Q54" s="70">
        <f t="shared" si="4"/>
        <v>0</v>
      </c>
    </row>
    <row r="55" spans="1:18" s="85" customFormat="1" x14ac:dyDescent="0.6">
      <c r="C55" s="89"/>
      <c r="D55" s="89"/>
      <c r="E55" s="89"/>
      <c r="F55" s="89"/>
      <c r="G55" s="174"/>
      <c r="H55" s="948"/>
      <c r="I55" s="913"/>
      <c r="J55" s="156"/>
      <c r="K55" s="156"/>
      <c r="L55" s="156"/>
      <c r="M55" s="952"/>
      <c r="N55" s="70"/>
      <c r="O55" s="70"/>
      <c r="P55" s="70"/>
    </row>
    <row r="56" spans="1:18" s="104" customFormat="1" x14ac:dyDescent="0.6">
      <c r="B56" s="104" t="s">
        <v>42</v>
      </c>
      <c r="C56" s="942"/>
      <c r="D56" s="942">
        <f>SUMPRODUCT(D4:D54,I4:I54)/I56</f>
        <v>0</v>
      </c>
      <c r="E56" s="942"/>
      <c r="F56" s="942"/>
      <c r="G56" s="943"/>
      <c r="H56" s="1186">
        <f>SUM(H4:H55)</f>
        <v>2566.8000000000002</v>
      </c>
      <c r="I56" s="951">
        <f>SUM(I4:I55)</f>
        <v>28206593406.593414</v>
      </c>
      <c r="J56" s="881"/>
      <c r="K56" s="156"/>
      <c r="L56" s="881"/>
      <c r="M56" s="952"/>
      <c r="N56" s="593">
        <f>SUM(N4:N55)</f>
        <v>12890413186.813185</v>
      </c>
      <c r="O56" s="593">
        <f>SUM(O4:O55)</f>
        <v>12890413186.813185</v>
      </c>
      <c r="P56" s="593">
        <f>SUM(P4:P55)</f>
        <v>12890413186.813185</v>
      </c>
      <c r="Q56" s="593">
        <f>SUM(Q4:Q55)</f>
        <v>0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44"/>
      <c r="G57" s="945"/>
      <c r="H57" s="953"/>
      <c r="I57" s="954"/>
      <c r="J57" s="237"/>
      <c r="K57" s="237"/>
      <c r="L57" s="237"/>
      <c r="M57" s="955"/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89"/>
      <c r="G58" s="174"/>
      <c r="H58" s="178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89"/>
      <c r="G59" s="178"/>
      <c r="H59" s="1654" t="s">
        <v>1746</v>
      </c>
      <c r="I59" s="21">
        <f>LARGE($I$4:$I$54,1)</f>
        <v>18849450549.45055</v>
      </c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 t="s">
        <v>401</v>
      </c>
      <c r="D60" s="812">
        <f>Assumptions!C31/Assumptions!C8</f>
        <v>0.72799999999999998</v>
      </c>
      <c r="E60" s="89" t="s">
        <v>128</v>
      </c>
      <c r="F60" s="89"/>
      <c r="G60" s="178"/>
      <c r="H60" s="1660" t="s">
        <v>1744</v>
      </c>
      <c r="I60" s="21">
        <f>LARGE($I$4:$I$54,2)</f>
        <v>6871428571.4285717</v>
      </c>
      <c r="K60" s="156"/>
      <c r="L60" s="156"/>
      <c r="M60" s="156"/>
      <c r="N60" s="70"/>
      <c r="O60" s="70" t="s">
        <v>26</v>
      </c>
      <c r="P60" s="70">
        <f>N56-O56</f>
        <v>0</v>
      </c>
      <c r="Q60" s="881">
        <f>P60/$I$56</f>
        <v>0</v>
      </c>
    </row>
    <row r="61" spans="1:18" s="85" customFormat="1" x14ac:dyDescent="0.6">
      <c r="C61" s="89"/>
      <c r="D61" s="89"/>
      <c r="E61" s="89"/>
      <c r="F61" s="89"/>
      <c r="G61" s="174"/>
      <c r="H61" s="1267" t="s">
        <v>1745</v>
      </c>
      <c r="I61" s="21">
        <f>LARGE($I$4:$I$54,3)</f>
        <v>496703296.70329678</v>
      </c>
      <c r="J61" s="156"/>
      <c r="K61" s="156"/>
      <c r="L61" s="156"/>
      <c r="M61" s="156"/>
      <c r="N61" s="70"/>
      <c r="O61" s="70" t="s">
        <v>654</v>
      </c>
      <c r="P61" s="70">
        <f>P56-O56</f>
        <v>0</v>
      </c>
      <c r="Q61" s="881">
        <f>P61/$I$56</f>
        <v>0</v>
      </c>
    </row>
    <row r="62" spans="1:18" s="85" customFormat="1" x14ac:dyDescent="0.6">
      <c r="C62" s="1187" t="s">
        <v>1142</v>
      </c>
      <c r="D62" s="360">
        <f>H47/H56</f>
        <v>0.66826398628642658</v>
      </c>
      <c r="E62" s="156" t="s">
        <v>1143</v>
      </c>
      <c r="F62" s="89"/>
      <c r="G62" s="174"/>
      <c r="H62" s="178"/>
      <c r="J62" s="156"/>
      <c r="K62" s="156"/>
      <c r="L62" s="156"/>
      <c r="M62" s="156"/>
      <c r="N62" s="70"/>
      <c r="O62" s="70" t="s">
        <v>602</v>
      </c>
      <c r="P62" s="70">
        <f>P60-P61</f>
        <v>0</v>
      </c>
      <c r="Q62" s="881">
        <f>P62/$I$56</f>
        <v>0</v>
      </c>
    </row>
    <row r="63" spans="1:18" s="85" customFormat="1" x14ac:dyDescent="0.6">
      <c r="C63" s="89"/>
      <c r="D63" s="89"/>
      <c r="E63" s="89"/>
      <c r="F63" s="89"/>
      <c r="G63" s="174"/>
      <c r="H63" s="178"/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89"/>
      <c r="G64" s="174"/>
      <c r="H64" s="178"/>
      <c r="J64" s="156"/>
      <c r="K64" s="156"/>
      <c r="L64" s="156"/>
      <c r="M64" s="156"/>
      <c r="N64" s="70"/>
      <c r="O64" s="70" t="s">
        <v>686</v>
      </c>
      <c r="Q64" s="506">
        <f>O56/I56</f>
        <v>0.4569999999999998</v>
      </c>
    </row>
    <row r="65" spans="3:18" s="85" customFormat="1" x14ac:dyDescent="0.6">
      <c r="C65" s="89"/>
      <c r="D65" s="89"/>
      <c r="E65" s="89"/>
      <c r="F65" s="89"/>
      <c r="G65" s="174"/>
      <c r="H65" s="178"/>
      <c r="J65" s="156"/>
      <c r="K65" s="156"/>
      <c r="L65" s="156"/>
      <c r="M65" s="156"/>
      <c r="N65" s="70"/>
      <c r="O65" s="70" t="s">
        <v>645</v>
      </c>
      <c r="Q65" s="506">
        <f>N56/I56</f>
        <v>0.4569999999999998</v>
      </c>
    </row>
    <row r="66" spans="3:18" s="85" customFormat="1" x14ac:dyDescent="0.6">
      <c r="C66" s="89"/>
      <c r="D66" s="89"/>
      <c r="E66" s="89"/>
      <c r="F66" s="89"/>
      <c r="G66" s="174"/>
      <c r="H66" s="178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89"/>
      <c r="G67" s="174"/>
      <c r="H67" s="178"/>
      <c r="J67" s="156"/>
      <c r="K67" s="156"/>
      <c r="L67" s="156"/>
      <c r="M67" s="156"/>
      <c r="N67" s="70"/>
      <c r="O67" s="17"/>
      <c r="P67" s="1" t="s">
        <v>180</v>
      </c>
      <c r="Q67" s="17">
        <f>LARGE(Q4:Q54,1)</f>
        <v>0</v>
      </c>
      <c r="R67" s="826"/>
    </row>
    <row r="68" spans="3:18" s="85" customFormat="1" x14ac:dyDescent="0.6">
      <c r="C68" s="89"/>
      <c r="D68" s="89"/>
      <c r="E68" s="89"/>
      <c r="F68" s="89"/>
      <c r="G68" s="174"/>
      <c r="H68" s="178"/>
      <c r="J68" s="156"/>
      <c r="K68" s="156"/>
      <c r="L68" s="156"/>
      <c r="M68" s="156"/>
      <c r="N68" s="70"/>
      <c r="O68" s="1"/>
      <c r="P68" s="1" t="s">
        <v>142</v>
      </c>
      <c r="Q68" s="70">
        <f>LARGE(Q4:Q54,2)</f>
        <v>0</v>
      </c>
      <c r="R68" s="17"/>
    </row>
    <row r="69" spans="3:18" s="85" customFormat="1" x14ac:dyDescent="0.6">
      <c r="C69" s="89"/>
      <c r="D69" s="89"/>
      <c r="E69" s="89"/>
      <c r="F69" s="89"/>
      <c r="G69" s="174"/>
      <c r="H69" s="178"/>
      <c r="J69" s="156"/>
      <c r="K69" s="156"/>
      <c r="L69" s="156"/>
      <c r="M69" s="156"/>
      <c r="N69" s="70"/>
      <c r="O69" s="1"/>
      <c r="P69" s="1" t="s">
        <v>157</v>
      </c>
      <c r="Q69" s="70">
        <f>LARGE(Q4:Q54,3)</f>
        <v>0</v>
      </c>
      <c r="R69" s="17"/>
    </row>
    <row r="70" spans="3:18" s="85" customFormat="1" x14ac:dyDescent="0.6">
      <c r="C70" s="89"/>
      <c r="D70" s="89"/>
      <c r="E70" s="89"/>
      <c r="F70" s="89"/>
      <c r="G70" s="174"/>
      <c r="H70" s="178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89"/>
      <c r="G71" s="174"/>
      <c r="H71" s="178"/>
      <c r="J71" s="156"/>
      <c r="K71" s="156"/>
      <c r="L71" s="156"/>
      <c r="M71" s="156"/>
      <c r="N71" s="70"/>
      <c r="O71" s="1"/>
      <c r="P71" s="1" t="s">
        <v>852</v>
      </c>
      <c r="Q71" s="891">
        <f>SUM(Q4:Q54)</f>
        <v>0</v>
      </c>
      <c r="R71" s="929">
        <v>51</v>
      </c>
    </row>
    <row r="72" spans="3:18" s="85" customFormat="1" x14ac:dyDescent="0.6">
      <c r="C72" s="89"/>
      <c r="D72" s="89"/>
      <c r="E72" s="89"/>
      <c r="F72" s="89"/>
      <c r="G72" s="174"/>
      <c r="H72" s="178"/>
      <c r="J72" s="156"/>
      <c r="K72" s="156"/>
      <c r="L72" s="156"/>
      <c r="M72" s="156"/>
      <c r="N72" s="70"/>
      <c r="O72" s="1"/>
      <c r="P72" s="1" t="s">
        <v>853</v>
      </c>
      <c r="Q72" s="891">
        <v>0</v>
      </c>
      <c r="R72" s="929">
        <v>0</v>
      </c>
    </row>
    <row r="73" spans="3:18" s="85" customFormat="1" x14ac:dyDescent="0.6">
      <c r="C73" s="89"/>
      <c r="D73" s="89"/>
      <c r="E73" s="89"/>
      <c r="F73" s="89"/>
      <c r="G73" s="174"/>
      <c r="H73" s="178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89"/>
      <c r="G74" s="174"/>
      <c r="H74" s="178"/>
      <c r="J74" s="156"/>
      <c r="K74" s="156"/>
      <c r="L74" s="156"/>
      <c r="M74" s="156"/>
      <c r="N74" s="70"/>
      <c r="O74" s="1"/>
      <c r="P74" s="1"/>
      <c r="Q74" s="891"/>
      <c r="R74" s="17"/>
    </row>
    <row r="75" spans="3:18" s="85" customFormat="1" x14ac:dyDescent="0.6">
      <c r="C75" s="89"/>
      <c r="D75" s="89"/>
      <c r="E75" s="89"/>
      <c r="F75" s="89"/>
      <c r="G75" s="174"/>
      <c r="H75" s="178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89"/>
      <c r="G76" s="174"/>
      <c r="H76" s="178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89"/>
      <c r="G77" s="174"/>
      <c r="H77" s="178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89"/>
      <c r="G78" s="174"/>
      <c r="H78" s="178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89"/>
      <c r="G79" s="174"/>
      <c r="H79" s="178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85" customFormat="1" x14ac:dyDescent="0.6">
      <c r="C80" s="89"/>
      <c r="D80" s="89"/>
      <c r="E80" s="89"/>
      <c r="F80" s="89"/>
      <c r="G80" s="174"/>
      <c r="H80" s="178"/>
      <c r="J80" s="156"/>
      <c r="K80" s="156"/>
      <c r="L80" s="156"/>
      <c r="M80" s="156"/>
      <c r="N80" s="70"/>
      <c r="O80" s="17"/>
      <c r="P80" s="17"/>
      <c r="Q80" s="70"/>
      <c r="R80" s="1"/>
    </row>
    <row r="81" spans="3:16" s="85" customFormat="1" x14ac:dyDescent="0.6">
      <c r="C81" s="89"/>
      <c r="D81" s="89"/>
      <c r="E81" s="89"/>
      <c r="F81" s="89"/>
      <c r="G81" s="174"/>
      <c r="H81" s="178"/>
      <c r="J81" s="156"/>
      <c r="K81" s="156"/>
      <c r="L81" s="156"/>
      <c r="M81" s="156"/>
      <c r="N81" s="70"/>
      <c r="O81" s="70"/>
      <c r="P81" s="70"/>
    </row>
    <row r="82" spans="3:16" s="85" customFormat="1" x14ac:dyDescent="0.6">
      <c r="C82" s="89"/>
      <c r="D82" s="89"/>
      <c r="E82" s="89"/>
      <c r="F82" s="89"/>
      <c r="G82" s="174"/>
      <c r="H82" s="178"/>
      <c r="J82" s="156"/>
      <c r="K82" s="156"/>
      <c r="L82" s="156"/>
      <c r="M82" s="156"/>
      <c r="N82" s="70"/>
      <c r="O82" s="70"/>
      <c r="P82" s="70"/>
    </row>
    <row r="83" spans="3:16" s="85" customFormat="1" x14ac:dyDescent="0.6">
      <c r="C83" s="89"/>
      <c r="D83" s="89"/>
      <c r="E83" s="89"/>
      <c r="F83" s="89"/>
      <c r="G83" s="174"/>
      <c r="H83" s="178"/>
      <c r="J83" s="156"/>
      <c r="K83" s="156"/>
      <c r="L83" s="156"/>
      <c r="M83" s="156"/>
      <c r="N83" s="70"/>
      <c r="O83" s="70"/>
      <c r="P83" s="70"/>
    </row>
    <row r="84" spans="3:16" s="85" customFormat="1" x14ac:dyDescent="0.6">
      <c r="C84" s="89"/>
      <c r="D84" s="89"/>
      <c r="E84" s="89"/>
      <c r="F84" s="89"/>
      <c r="G84" s="174"/>
      <c r="H84" s="178"/>
      <c r="J84" s="156"/>
      <c r="K84" s="156"/>
      <c r="L84" s="156"/>
      <c r="M84" s="156"/>
      <c r="N84" s="70"/>
      <c r="O84" s="70"/>
      <c r="P84" s="70"/>
    </row>
    <row r="85" spans="3:16" s="85" customFormat="1" x14ac:dyDescent="0.6">
      <c r="C85" s="89"/>
      <c r="D85" s="89"/>
      <c r="E85" s="89"/>
      <c r="F85" s="89"/>
      <c r="G85" s="174"/>
      <c r="H85" s="178"/>
      <c r="J85" s="156"/>
      <c r="K85" s="156"/>
      <c r="L85" s="156"/>
      <c r="M85" s="156"/>
      <c r="N85" s="70"/>
      <c r="O85" s="70"/>
      <c r="P85" s="70"/>
    </row>
    <row r="86" spans="3:16" s="85" customFormat="1" x14ac:dyDescent="0.6">
      <c r="C86" s="89"/>
      <c r="D86" s="89"/>
      <c r="E86" s="89"/>
      <c r="F86" s="89"/>
      <c r="G86" s="174"/>
      <c r="H86" s="178"/>
      <c r="J86" s="156"/>
      <c r="K86" s="156"/>
      <c r="L86" s="156"/>
      <c r="M86" s="156"/>
      <c r="N86" s="70"/>
      <c r="O86" s="70"/>
      <c r="P86" s="7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O8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3.59765625" style="1" customWidth="1"/>
    <col min="3" max="3" width="10.84765625" style="21" customWidth="1"/>
    <col min="4" max="4" width="15.09765625" style="21" bestFit="1" customWidth="1"/>
    <col min="5" max="5" width="10.5" style="55" customWidth="1"/>
    <col min="6" max="6" width="10.84765625" style="7" customWidth="1"/>
    <col min="7" max="7" width="11.09765625" style="1" customWidth="1"/>
    <col min="8" max="8" width="12" style="10" customWidth="1"/>
    <col min="9" max="9" width="12.5" style="5" customWidth="1"/>
    <col min="10" max="10" width="9.5" style="10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customWidth="1"/>
    <col min="16" max="16" width="11.09765625" style="271" customWidth="1"/>
    <col min="17" max="17" width="15.84765625" style="271" customWidth="1"/>
    <col min="18" max="18" width="9.5" style="10" customWidth="1"/>
    <col min="19" max="19" width="14" style="70" customWidth="1"/>
    <col min="20" max="20" width="16" style="57" customWidth="1"/>
    <col min="21" max="22" width="15" style="17" customWidth="1"/>
    <col min="23" max="23" width="10.59765625" style="10" customWidth="1"/>
    <col min="24" max="24" width="15" style="17" customWidth="1"/>
    <col min="25" max="25" width="11.59765625" style="13" bestFit="1" customWidth="1"/>
    <col min="26" max="26" width="16.59765625" style="13" bestFit="1" customWidth="1"/>
    <col min="27" max="27" width="15" style="17" bestFit="1" customWidth="1"/>
    <col min="28" max="28" width="15.09765625" style="21" bestFit="1" customWidth="1"/>
    <col min="29" max="29" width="15.09765625" style="891" customWidth="1"/>
    <col min="30" max="30" width="15" style="17" customWidth="1"/>
    <col min="31" max="32" width="10.84765625" style="1"/>
    <col min="33" max="33" width="15" style="1" customWidth="1"/>
    <col min="34" max="34" width="12.84765625" style="1" customWidth="1"/>
    <col min="35" max="35" width="10.34765625" style="1" customWidth="1"/>
    <col min="36" max="38" width="10.84765625" style="1"/>
    <col min="39" max="39" width="12.5" style="1" customWidth="1"/>
    <col min="40" max="40" width="15.59765625" style="1" bestFit="1" customWidth="1"/>
    <col min="41" max="41" width="11.34765625" style="1" bestFit="1" customWidth="1"/>
    <col min="42" max="16384" width="10.84765625" style="1"/>
  </cols>
  <sheetData>
    <row r="1" spans="1:41" x14ac:dyDescent="0.6">
      <c r="A1" s="24" t="s">
        <v>92</v>
      </c>
      <c r="C1" s="74" t="s">
        <v>855</v>
      </c>
      <c r="E1" s="107"/>
      <c r="V1" s="17">
        <f>SUM(V6:V18)+SUM(V20:V29)+SUM(V31:V34)</f>
        <v>3856160891.208694</v>
      </c>
    </row>
    <row r="2" spans="1:41" s="2" customFormat="1" x14ac:dyDescent="0.6">
      <c r="C2" s="64" t="s">
        <v>24</v>
      </c>
      <c r="D2" s="64"/>
      <c r="E2" s="56"/>
      <c r="F2" s="8" t="s">
        <v>87</v>
      </c>
      <c r="G2" s="11" t="s">
        <v>638</v>
      </c>
      <c r="H2" s="284" t="s">
        <v>638</v>
      </c>
      <c r="I2" s="6" t="s">
        <v>627</v>
      </c>
      <c r="J2" s="102" t="s">
        <v>636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42</v>
      </c>
      <c r="S2" s="114"/>
      <c r="T2" s="58"/>
      <c r="U2" s="18" t="s">
        <v>42</v>
      </c>
      <c r="V2" s="18"/>
      <c r="W2" s="11" t="s">
        <v>645</v>
      </c>
      <c r="X2" s="18" t="s">
        <v>642</v>
      </c>
      <c r="Y2" s="14" t="s">
        <v>658</v>
      </c>
      <c r="Z2" s="14" t="s">
        <v>658</v>
      </c>
      <c r="AA2" s="18" t="s">
        <v>658</v>
      </c>
      <c r="AB2" s="64" t="s">
        <v>861</v>
      </c>
      <c r="AC2" s="18" t="s">
        <v>641</v>
      </c>
      <c r="AD2" s="18" t="s">
        <v>642</v>
      </c>
    </row>
    <row r="3" spans="1:41" s="2" customFormat="1" x14ac:dyDescent="0.6">
      <c r="C3" s="64" t="s">
        <v>88</v>
      </c>
      <c r="D3" s="64" t="s">
        <v>25</v>
      </c>
      <c r="E3" s="56" t="s">
        <v>41</v>
      </c>
      <c r="F3" s="8" t="s">
        <v>22</v>
      </c>
      <c r="G3" s="11" t="s">
        <v>649</v>
      </c>
      <c r="H3" s="284" t="s">
        <v>639</v>
      </c>
      <c r="I3" s="6" t="s">
        <v>643</v>
      </c>
      <c r="J3" s="102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76</v>
      </c>
      <c r="U3" s="18" t="s">
        <v>77</v>
      </c>
      <c r="V3" s="18" t="s">
        <v>34</v>
      </c>
      <c r="W3" s="11" t="s">
        <v>639</v>
      </c>
      <c r="X3" s="18" t="s">
        <v>1144</v>
      </c>
      <c r="Y3" s="14" t="s">
        <v>659</v>
      </c>
      <c r="Z3" s="14" t="s">
        <v>660</v>
      </c>
      <c r="AA3" s="18" t="s">
        <v>192</v>
      </c>
      <c r="AB3" s="64" t="s">
        <v>862</v>
      </c>
      <c r="AC3" s="18" t="s">
        <v>1145</v>
      </c>
      <c r="AD3" s="18" t="s">
        <v>1145</v>
      </c>
    </row>
    <row r="4" spans="1:41" x14ac:dyDescent="0.6">
      <c r="A4" s="61">
        <v>1</v>
      </c>
      <c r="B4" s="44" t="s">
        <v>37</v>
      </c>
      <c r="C4" s="290">
        <v>49272</v>
      </c>
      <c r="D4" s="348">
        <f>C4*Assumptions!$C$19</f>
        <v>16410532320</v>
      </c>
      <c r="E4" s="399">
        <v>1</v>
      </c>
      <c r="F4" s="297"/>
      <c r="G4" s="389"/>
      <c r="H4" s="301">
        <f>'State Jet'!R64</f>
        <v>1.6235392991312645</v>
      </c>
      <c r="I4" s="969"/>
      <c r="J4" s="842">
        <f>'State Jet'!R60</f>
        <v>0.13998763172683271</v>
      </c>
      <c r="K4" s="329"/>
      <c r="L4" s="329">
        <f>K4*H4</f>
        <v>0</v>
      </c>
      <c r="M4" s="329">
        <f>L4*I4</f>
        <v>0</v>
      </c>
      <c r="N4" s="313"/>
      <c r="O4" s="314">
        <f>'State Jet'!R61*D4</f>
        <v>0</v>
      </c>
      <c r="P4" s="1053">
        <f>J4+N4</f>
        <v>0.13998763172683271</v>
      </c>
      <c r="Q4" s="1047">
        <f>P4*D4</f>
        <v>2297271554.8534455</v>
      </c>
      <c r="R4" s="968">
        <f>M4+J4</f>
        <v>0.13998763172683271</v>
      </c>
      <c r="S4" s="366">
        <f>D4*R4</f>
        <v>2297271554.8534455</v>
      </c>
      <c r="T4" s="336">
        <f>-'OECD Jet subsidies'!C2</f>
        <v>-313747759</v>
      </c>
      <c r="U4" s="342">
        <f>T4*E4</f>
        <v>-313747759</v>
      </c>
      <c r="V4" s="111">
        <f>S4+U4</f>
        <v>1983523795.8534455</v>
      </c>
      <c r="W4" s="320">
        <f>'State Jet'!R65</f>
        <v>1.7635269308580972</v>
      </c>
      <c r="X4" s="1192">
        <f>W4*D4+U4</f>
        <v>28626667937.037209</v>
      </c>
      <c r="Y4" s="25">
        <v>22136</v>
      </c>
      <c r="Z4" s="26">
        <f>Y4*Assumptions!$C$24</f>
        <v>7186673760</v>
      </c>
      <c r="AA4" s="35">
        <f>Z4*H4</f>
        <v>11667847279.395449</v>
      </c>
      <c r="AB4" s="348">
        <f>Z4+D4</f>
        <v>23597206080</v>
      </c>
      <c r="AC4" s="1211">
        <f>AB4*H4</f>
        <v>38310991420.579216</v>
      </c>
      <c r="AD4" s="342">
        <f>AA4+X4</f>
        <v>40294515216.432655</v>
      </c>
      <c r="AG4" s="10" t="s">
        <v>1165</v>
      </c>
      <c r="AH4" s="413"/>
      <c r="AI4" s="278"/>
      <c r="AJ4" s="278"/>
      <c r="AK4" s="414"/>
      <c r="AL4" s="414"/>
      <c r="AM4" s="414"/>
      <c r="AN4" s="413"/>
      <c r="AO4" s="278"/>
    </row>
    <row r="5" spans="1:41" s="2" customFormat="1" x14ac:dyDescent="0.6">
      <c r="A5" s="40" t="s">
        <v>394</v>
      </c>
      <c r="B5" s="40"/>
      <c r="C5" s="356"/>
      <c r="D5" s="348"/>
      <c r="E5" s="418"/>
      <c r="F5" s="298"/>
      <c r="G5" s="385"/>
      <c r="H5" s="302"/>
      <c r="I5" s="970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1193"/>
      <c r="Y5" s="461"/>
      <c r="Z5" s="31"/>
      <c r="AA5" s="32"/>
      <c r="AB5" s="348"/>
      <c r="AC5" s="1211"/>
      <c r="AD5" s="343"/>
      <c r="AG5" s="10"/>
      <c r="AH5" s="1215" t="s">
        <v>696</v>
      </c>
      <c r="AI5" s="370" t="s">
        <v>1150</v>
      </c>
      <c r="AJ5" s="370" t="s">
        <v>696</v>
      </c>
      <c r="AK5" s="1214" t="s">
        <v>1150</v>
      </c>
      <c r="AL5" s="1214" t="s">
        <v>42</v>
      </c>
      <c r="AM5" s="1214" t="s">
        <v>1150</v>
      </c>
      <c r="AN5" s="1215" t="s">
        <v>696</v>
      </c>
      <c r="AO5" s="370" t="s">
        <v>1150</v>
      </c>
    </row>
    <row r="6" spans="1:41" x14ac:dyDescent="0.6">
      <c r="A6" s="46">
        <f>A4+1</f>
        <v>2</v>
      </c>
      <c r="B6" s="44" t="s">
        <v>0</v>
      </c>
      <c r="C6" s="290">
        <v>20</v>
      </c>
      <c r="D6" s="348">
        <f>C6*Assumptions!$C$19</f>
        <v>6661200</v>
      </c>
      <c r="E6" s="391">
        <f>Assumptions!$H$3</f>
        <v>1.1863330000000001</v>
      </c>
      <c r="F6" s="297">
        <v>3.7854100000000002</v>
      </c>
      <c r="G6" s="422"/>
      <c r="H6" s="1163">
        <f>Assumptions!$C$95</f>
        <v>1.93</v>
      </c>
      <c r="I6" s="434">
        <v>528.57069999999999</v>
      </c>
      <c r="J6" s="286">
        <f t="shared" ref="J6:J26" si="0">I6/1000*E6*F6</f>
        <v>2.3736824661144733</v>
      </c>
      <c r="K6" s="322"/>
      <c r="L6" s="329">
        <f t="shared" ref="L6:L26" si="1">K6*H6</f>
        <v>0</v>
      </c>
      <c r="M6" s="281">
        <f t="shared" ref="M6:M26" si="2">K6*J6</f>
        <v>0</v>
      </c>
      <c r="N6" s="281">
        <f t="shared" ref="N6:N26" si="3">M6+L6</f>
        <v>0</v>
      </c>
      <c r="O6" s="314">
        <f>L6*D6</f>
        <v>0</v>
      </c>
      <c r="P6" s="1053">
        <f t="shared" ref="P6:P39" si="4">J6+N6</f>
        <v>2.3736824661144733</v>
      </c>
      <c r="Q6" s="1047">
        <f t="shared" ref="Q6:Q65" si="5">P6*D6</f>
        <v>15811573.64328173</v>
      </c>
      <c r="R6" s="268">
        <f>M6+J6</f>
        <v>2.3736824661144733</v>
      </c>
      <c r="S6" s="366">
        <f t="shared" ref="S6:S26" si="6">D6*R6</f>
        <v>15811573.64328173</v>
      </c>
      <c r="T6" s="336">
        <f>-'OECD Jet subsidies'!C9</f>
        <v>0</v>
      </c>
      <c r="U6" s="342">
        <f t="shared" ref="U6:U39" si="7">T6*E6</f>
        <v>0</v>
      </c>
      <c r="V6" s="111">
        <f t="shared" ref="V6:V26" si="8">S6+U6</f>
        <v>15811573.64328173</v>
      </c>
      <c r="W6" s="281">
        <f t="shared" ref="W6:W26" si="9">(H6+J6)*(1+K6)</f>
        <v>4.3036824661144735</v>
      </c>
      <c r="X6" s="1192">
        <f t="shared" ref="X6:X26" si="10">W6*D6+U6</f>
        <v>28667689.643281732</v>
      </c>
      <c r="Y6" s="25">
        <v>1414</v>
      </c>
      <c r="Z6" s="26">
        <f>Y6*Assumptions!$C$24</f>
        <v>459069240</v>
      </c>
      <c r="AA6" s="35">
        <f t="shared" ref="AA6:AA65" si="11">Z6*H6</f>
        <v>886003633.19999993</v>
      </c>
      <c r="AB6" s="348">
        <f t="shared" ref="AB6:AB65" si="12">Z6+D6</f>
        <v>465730440</v>
      </c>
      <c r="AC6" s="1211">
        <f t="shared" ref="AC6:AC26" si="13">AB6*H6</f>
        <v>898859749.19999993</v>
      </c>
      <c r="AD6" s="342">
        <f t="shared" ref="AD6:AD26" si="14">AA6+X6</f>
        <v>914671322.84328163</v>
      </c>
      <c r="AG6" s="10"/>
      <c r="AH6" s="1215" t="s">
        <v>1173</v>
      </c>
      <c r="AI6" s="1215" t="s">
        <v>1173</v>
      </c>
      <c r="AJ6" s="370" t="s">
        <v>1177</v>
      </c>
      <c r="AK6" s="370" t="s">
        <v>1177</v>
      </c>
      <c r="AL6" s="370" t="s">
        <v>1177</v>
      </c>
      <c r="AM6" s="1216" t="s">
        <v>1179</v>
      </c>
      <c r="AN6" s="1215" t="s">
        <v>1180</v>
      </c>
      <c r="AO6" s="1215" t="s">
        <v>1180</v>
      </c>
    </row>
    <row r="7" spans="1:41" x14ac:dyDescent="0.6">
      <c r="A7" s="46">
        <f>A6+1</f>
        <v>3</v>
      </c>
      <c r="B7" s="44" t="s">
        <v>1</v>
      </c>
      <c r="C7" s="290">
        <v>34</v>
      </c>
      <c r="D7" s="348">
        <f>C7*Assumptions!$C$19</f>
        <v>11324040</v>
      </c>
      <c r="E7" s="391">
        <f>Assumptions!$H$15</f>
        <v>4.5997000000000003E-2</v>
      </c>
      <c r="F7" s="297">
        <v>3.7854100000000002</v>
      </c>
      <c r="G7" s="386"/>
      <c r="H7" s="1163">
        <f>Assumptions!$C$95</f>
        <v>1.93</v>
      </c>
      <c r="I7" s="436">
        <v>10950</v>
      </c>
      <c r="J7" s="286">
        <f t="shared" si="0"/>
        <v>1.9065866662814999</v>
      </c>
      <c r="K7" s="322"/>
      <c r="L7" s="329">
        <f t="shared" si="1"/>
        <v>0</v>
      </c>
      <c r="M7" s="281">
        <f t="shared" si="2"/>
        <v>0</v>
      </c>
      <c r="N7" s="281">
        <f t="shared" si="3"/>
        <v>0</v>
      </c>
      <c r="O7" s="314">
        <f t="shared" ref="O7:O39" si="15">L7*D7</f>
        <v>0</v>
      </c>
      <c r="P7" s="1053">
        <f t="shared" si="4"/>
        <v>1.9065866662814999</v>
      </c>
      <c r="Q7" s="1047">
        <f t="shared" si="5"/>
        <v>21590263.672438357</v>
      </c>
      <c r="R7" s="268">
        <f t="shared" ref="R7:R40" si="16">M7+J7</f>
        <v>1.9065866662814999</v>
      </c>
      <c r="S7" s="366">
        <f t="shared" si="6"/>
        <v>21590263.672438357</v>
      </c>
      <c r="T7" s="336">
        <f>-'OECD Jet subsidies'!C11</f>
        <v>0</v>
      </c>
      <c r="U7" s="342">
        <f t="shared" si="7"/>
        <v>0</v>
      </c>
      <c r="V7" s="111">
        <f t="shared" si="8"/>
        <v>21590263.672438357</v>
      </c>
      <c r="W7" s="281">
        <f t="shared" si="9"/>
        <v>3.8365866662814998</v>
      </c>
      <c r="X7" s="1192">
        <f t="shared" si="10"/>
        <v>43445660.872438356</v>
      </c>
      <c r="Y7" s="25">
        <v>285</v>
      </c>
      <c r="Z7" s="26">
        <f>Y7*Assumptions!$C$24</f>
        <v>92528100</v>
      </c>
      <c r="AA7" s="35">
        <f t="shared" si="11"/>
        <v>178579233</v>
      </c>
      <c r="AB7" s="348">
        <f t="shared" si="12"/>
        <v>103852140</v>
      </c>
      <c r="AC7" s="1211">
        <f t="shared" si="13"/>
        <v>200434630.19999999</v>
      </c>
      <c r="AD7" s="342">
        <f t="shared" si="14"/>
        <v>222024893.87243837</v>
      </c>
      <c r="AG7" s="1234" t="s">
        <v>1166</v>
      </c>
      <c r="AH7" s="1235">
        <v>4.7E-2</v>
      </c>
      <c r="AI7" s="1236">
        <v>3.6999999999999998E-2</v>
      </c>
      <c r="AJ7" s="1237">
        <f>AL7-AK7</f>
        <v>1489.53</v>
      </c>
      <c r="AK7" s="1238">
        <f>AL7*AM7</f>
        <v>326.96999999999997</v>
      </c>
      <c r="AL7" s="1238">
        <v>1816.5</v>
      </c>
      <c r="AM7" s="1239">
        <v>0.18</v>
      </c>
      <c r="AN7" s="1252">
        <f>AH7*AJ7*1000000</f>
        <v>70007910</v>
      </c>
      <c r="AO7" s="1253">
        <f>AI7*AK7*1000000</f>
        <v>12097889.999999998</v>
      </c>
    </row>
    <row r="8" spans="1:41" x14ac:dyDescent="0.6">
      <c r="A8" s="46">
        <f t="shared" ref="A8:A26" si="17">A7+1</f>
        <v>4</v>
      </c>
      <c r="B8" s="44" t="s">
        <v>2</v>
      </c>
      <c r="C8" s="290">
        <v>45</v>
      </c>
      <c r="D8" s="348">
        <f>C8*Assumptions!$C$19</f>
        <v>14987700</v>
      </c>
      <c r="E8" s="391">
        <f>Assumptions!$H$16</f>
        <v>0.15934999999999999</v>
      </c>
      <c r="F8" s="297">
        <v>3.7854100000000002</v>
      </c>
      <c r="G8" s="423"/>
      <c r="H8" s="1163">
        <f>Assumptions!$C$95</f>
        <v>1.93</v>
      </c>
      <c r="I8" s="437">
        <v>3448</v>
      </c>
      <c r="J8" s="286">
        <f t="shared" si="0"/>
        <v>2.0798511279080003</v>
      </c>
      <c r="K8" s="322"/>
      <c r="L8" s="329">
        <f t="shared" si="1"/>
        <v>0</v>
      </c>
      <c r="M8" s="281">
        <f t="shared" si="2"/>
        <v>0</v>
      </c>
      <c r="N8" s="281">
        <f t="shared" si="3"/>
        <v>0</v>
      </c>
      <c r="O8" s="314">
        <f t="shared" si="15"/>
        <v>0</v>
      </c>
      <c r="P8" s="1053">
        <f t="shared" si="4"/>
        <v>2.0798511279080003</v>
      </c>
      <c r="Q8" s="1047">
        <f t="shared" si="5"/>
        <v>31172184.749746736</v>
      </c>
      <c r="R8" s="268">
        <f t="shared" si="16"/>
        <v>2.0798511279080003</v>
      </c>
      <c r="S8" s="366">
        <f t="shared" si="6"/>
        <v>31172184.749746736</v>
      </c>
      <c r="T8" s="336">
        <f>-'OECD Jet subsidies'!C13</f>
        <v>0</v>
      </c>
      <c r="U8" s="342">
        <f t="shared" si="7"/>
        <v>0</v>
      </c>
      <c r="V8" s="111">
        <f t="shared" si="8"/>
        <v>31172184.749746736</v>
      </c>
      <c r="W8" s="281">
        <f t="shared" si="9"/>
        <v>4.009851127908</v>
      </c>
      <c r="X8" s="1192">
        <f t="shared" si="10"/>
        <v>60098445.749746732</v>
      </c>
      <c r="Y8" s="25">
        <v>850</v>
      </c>
      <c r="Z8" s="26">
        <f>Y8*Assumptions!$C$24</f>
        <v>275961000</v>
      </c>
      <c r="AA8" s="35">
        <f t="shared" si="11"/>
        <v>532604730</v>
      </c>
      <c r="AB8" s="348">
        <f t="shared" si="12"/>
        <v>290948700</v>
      </c>
      <c r="AC8" s="1211">
        <f t="shared" si="13"/>
        <v>561530991</v>
      </c>
      <c r="AD8" s="342">
        <f t="shared" si="14"/>
        <v>592703175.74974668</v>
      </c>
      <c r="AG8" s="1217" t="s">
        <v>1167</v>
      </c>
      <c r="AH8" s="1218">
        <v>0.03</v>
      </c>
      <c r="AI8" s="1219">
        <v>0</v>
      </c>
      <c r="AJ8" s="1220">
        <f t="shared" ref="AJ8:AJ16" si="18">AL8-AK8</f>
        <v>1471.982</v>
      </c>
      <c r="AK8" s="1221">
        <f t="shared" ref="AK8:AK16" si="19">AL8*AM8</f>
        <v>323.11799999999999</v>
      </c>
      <c r="AL8" s="1221">
        <v>1795.1</v>
      </c>
      <c r="AM8" s="1222">
        <f>AM7</f>
        <v>0.18</v>
      </c>
      <c r="AN8" s="1254">
        <f t="shared" ref="AN8:AN16" si="20">AH8*AJ8*1000000</f>
        <v>44159459.999999993</v>
      </c>
      <c r="AO8" s="1255">
        <f t="shared" ref="AO8:AO16" si="21">AI8*AK8*1000000</f>
        <v>0</v>
      </c>
    </row>
    <row r="9" spans="1:41" x14ac:dyDescent="0.6">
      <c r="A9" s="46">
        <f t="shared" si="17"/>
        <v>5</v>
      </c>
      <c r="B9" s="44" t="s">
        <v>3</v>
      </c>
      <c r="C9" s="290">
        <v>701</v>
      </c>
      <c r="D9" s="348">
        <f>C9*Assumptions!$C$19</f>
        <v>233475060</v>
      </c>
      <c r="E9" s="391">
        <f>Assumptions!$H$3</f>
        <v>1.1863330000000001</v>
      </c>
      <c r="F9" s="297">
        <v>3.7854100000000002</v>
      </c>
      <c r="G9" s="422"/>
      <c r="H9" s="1163">
        <f>Assumptions!$C$95</f>
        <v>1.93</v>
      </c>
      <c r="I9" s="434">
        <v>654.5</v>
      </c>
      <c r="J9" s="286">
        <f t="shared" si="0"/>
        <v>2.9392003266013851</v>
      </c>
      <c r="K9" s="322"/>
      <c r="L9" s="329">
        <f t="shared" si="1"/>
        <v>0</v>
      </c>
      <c r="M9" s="281">
        <f t="shared" si="2"/>
        <v>0</v>
      </c>
      <c r="N9" s="281">
        <f t="shared" si="3"/>
        <v>0</v>
      </c>
      <c r="O9" s="314">
        <f t="shared" si="15"/>
        <v>0</v>
      </c>
      <c r="P9" s="1053">
        <f t="shared" si="4"/>
        <v>2.9392003266013851</v>
      </c>
      <c r="Q9" s="1047">
        <f t="shared" si="5"/>
        <v>686229972.60527802</v>
      </c>
      <c r="R9" s="268">
        <f t="shared" si="16"/>
        <v>2.9392003266013851</v>
      </c>
      <c r="S9" s="366">
        <f t="shared" si="6"/>
        <v>686229972.60527802</v>
      </c>
      <c r="T9" s="336">
        <f>-'OECD Jet subsidies'!C16</f>
        <v>-570000000</v>
      </c>
      <c r="U9" s="342">
        <f t="shared" si="7"/>
        <v>-676209810</v>
      </c>
      <c r="V9" s="111">
        <f t="shared" si="8"/>
        <v>10020162.605278015</v>
      </c>
      <c r="W9" s="281">
        <f t="shared" si="9"/>
        <v>4.8692003266013852</v>
      </c>
      <c r="X9" s="1192">
        <f t="shared" si="10"/>
        <v>460627028.40527797</v>
      </c>
      <c r="Y9" s="25">
        <v>7836</v>
      </c>
      <c r="Z9" s="26">
        <f>Y9*Assumptions!$C$24</f>
        <v>2544035760</v>
      </c>
      <c r="AA9" s="35">
        <f t="shared" si="11"/>
        <v>4909989016.8000002</v>
      </c>
      <c r="AB9" s="348">
        <f t="shared" si="12"/>
        <v>2777510820</v>
      </c>
      <c r="AC9" s="1211">
        <f t="shared" si="13"/>
        <v>5360595882.5999994</v>
      </c>
      <c r="AD9" s="342">
        <f t="shared" si="14"/>
        <v>5370616045.2052784</v>
      </c>
      <c r="AG9" s="1240" t="s">
        <v>1168</v>
      </c>
      <c r="AH9" s="1241">
        <v>0.02</v>
      </c>
      <c r="AI9" s="1242"/>
      <c r="AJ9" s="1243">
        <f t="shared" si="18"/>
        <v>1191.1320000000001</v>
      </c>
      <c r="AK9" s="1244">
        <f t="shared" si="19"/>
        <v>261.46799999999996</v>
      </c>
      <c r="AL9" s="1244">
        <v>1452.6</v>
      </c>
      <c r="AM9" s="1245">
        <f>AM8</f>
        <v>0.18</v>
      </c>
      <c r="AN9" s="1256">
        <f t="shared" si="20"/>
        <v>23822640.000000004</v>
      </c>
      <c r="AO9" s="1257">
        <f t="shared" si="21"/>
        <v>0</v>
      </c>
    </row>
    <row r="10" spans="1:41" x14ac:dyDescent="0.6">
      <c r="A10" s="46">
        <f t="shared" si="17"/>
        <v>6</v>
      </c>
      <c r="B10" s="44" t="s">
        <v>4</v>
      </c>
      <c r="C10" s="290">
        <v>0</v>
      </c>
      <c r="D10" s="348">
        <f>C10*Assumptions!$C$19</f>
        <v>0</v>
      </c>
      <c r="E10" s="391">
        <f>Assumptions!$H$3</f>
        <v>1.1863330000000001</v>
      </c>
      <c r="F10" s="297">
        <v>3.7854100000000002</v>
      </c>
      <c r="G10" s="422"/>
      <c r="H10" s="1163">
        <f>Assumptions!$C$95</f>
        <v>1.93</v>
      </c>
      <c r="I10" s="434">
        <v>330.1</v>
      </c>
      <c r="J10" s="286">
        <f t="shared" si="0"/>
        <v>1.4823988201850531</v>
      </c>
      <c r="K10" s="322"/>
      <c r="L10" s="329">
        <f t="shared" si="1"/>
        <v>0</v>
      </c>
      <c r="M10" s="281">
        <f t="shared" si="2"/>
        <v>0</v>
      </c>
      <c r="N10" s="281">
        <f t="shared" si="3"/>
        <v>0</v>
      </c>
      <c r="O10" s="314">
        <f t="shared" si="15"/>
        <v>0</v>
      </c>
      <c r="P10" s="1053">
        <f t="shared" si="4"/>
        <v>1.4823988201850531</v>
      </c>
      <c r="Q10" s="1047">
        <f t="shared" si="5"/>
        <v>0</v>
      </c>
      <c r="R10" s="268">
        <f t="shared" si="16"/>
        <v>1.4823988201850531</v>
      </c>
      <c r="S10" s="366">
        <f t="shared" si="6"/>
        <v>0</v>
      </c>
      <c r="T10" s="336">
        <f>-'OECD Jet subsidies'!C18</f>
        <v>0</v>
      </c>
      <c r="U10" s="342">
        <f t="shared" si="7"/>
        <v>0</v>
      </c>
      <c r="V10" s="111">
        <f t="shared" si="8"/>
        <v>0</v>
      </c>
      <c r="W10" s="281">
        <f t="shared" si="9"/>
        <v>3.4123988201850528</v>
      </c>
      <c r="X10" s="1192">
        <f t="shared" si="10"/>
        <v>0</v>
      </c>
      <c r="Y10" s="25">
        <v>24</v>
      </c>
      <c r="Z10" s="26">
        <f>Y10*Assumptions!$C$24</f>
        <v>7791840</v>
      </c>
      <c r="AA10" s="35">
        <f t="shared" si="11"/>
        <v>15038251.199999999</v>
      </c>
      <c r="AB10" s="348">
        <f t="shared" si="12"/>
        <v>7791840</v>
      </c>
      <c r="AC10" s="1211">
        <f t="shared" si="13"/>
        <v>15038251.199999999</v>
      </c>
      <c r="AD10" s="342">
        <f t="shared" si="14"/>
        <v>15038251.199999999</v>
      </c>
      <c r="AG10" s="1217" t="s">
        <v>1178</v>
      </c>
      <c r="AH10" s="1218"/>
      <c r="AI10" s="1219"/>
      <c r="AJ10" s="1220">
        <f t="shared" si="18"/>
        <v>915.36500000000001</v>
      </c>
      <c r="AK10" s="1221">
        <f t="shared" si="19"/>
        <v>63.635000000000005</v>
      </c>
      <c r="AL10" s="1221">
        <v>979</v>
      </c>
      <c r="AM10" s="1222">
        <v>6.5000000000000002E-2</v>
      </c>
      <c r="AN10" s="1254">
        <f t="shared" si="20"/>
        <v>0</v>
      </c>
      <c r="AO10" s="1255">
        <f t="shared" si="21"/>
        <v>0</v>
      </c>
    </row>
    <row r="11" spans="1:41" x14ac:dyDescent="0.6">
      <c r="A11" s="46">
        <f t="shared" si="17"/>
        <v>7</v>
      </c>
      <c r="B11" s="44" t="s">
        <v>5</v>
      </c>
      <c r="C11" s="290">
        <v>296</v>
      </c>
      <c r="D11" s="348">
        <f>C11*Assumptions!$C$19</f>
        <v>98585760</v>
      </c>
      <c r="E11" s="391">
        <f>Assumptions!$H$3</f>
        <v>1.1863330000000001</v>
      </c>
      <c r="F11" s="297">
        <v>3.7854100000000002</v>
      </c>
      <c r="G11" s="422"/>
      <c r="H11" s="1163">
        <f>Assumptions!$C$95</f>
        <v>1.93</v>
      </c>
      <c r="I11" s="434">
        <v>330</v>
      </c>
      <c r="J11" s="286">
        <f t="shared" si="0"/>
        <v>1.4819497445049004</v>
      </c>
      <c r="K11" s="322"/>
      <c r="L11" s="329">
        <f t="shared" si="1"/>
        <v>0</v>
      </c>
      <c r="M11" s="281">
        <f t="shared" si="2"/>
        <v>0</v>
      </c>
      <c r="N11" s="281">
        <f t="shared" si="3"/>
        <v>0</v>
      </c>
      <c r="O11" s="314">
        <f t="shared" si="15"/>
        <v>0</v>
      </c>
      <c r="P11" s="1053">
        <f t="shared" si="4"/>
        <v>1.4819497445049004</v>
      </c>
      <c r="Q11" s="1047">
        <f t="shared" si="5"/>
        <v>146099141.84382144</v>
      </c>
      <c r="R11" s="268">
        <f t="shared" si="16"/>
        <v>1.4819497445049004</v>
      </c>
      <c r="S11" s="366">
        <f t="shared" si="6"/>
        <v>146099141.84382144</v>
      </c>
      <c r="T11" s="336">
        <f>-'OECD Jet subsidies'!C20</f>
        <v>0</v>
      </c>
      <c r="U11" s="342">
        <f t="shared" si="7"/>
        <v>0</v>
      </c>
      <c r="V11" s="111">
        <f t="shared" si="8"/>
        <v>146099141.84382144</v>
      </c>
      <c r="W11" s="281">
        <f t="shared" si="9"/>
        <v>3.4119497445049003</v>
      </c>
      <c r="X11" s="1192">
        <f t="shared" si="10"/>
        <v>336369658.64382142</v>
      </c>
      <c r="Y11" s="25">
        <v>802</v>
      </c>
      <c r="Z11" s="26">
        <f>Y11*Assumptions!$C$24</f>
        <v>260377320</v>
      </c>
      <c r="AA11" s="35">
        <f t="shared" si="11"/>
        <v>502528227.59999996</v>
      </c>
      <c r="AB11" s="348">
        <f t="shared" si="12"/>
        <v>358963080</v>
      </c>
      <c r="AC11" s="1211">
        <f t="shared" si="13"/>
        <v>692798744.39999998</v>
      </c>
      <c r="AD11" s="342">
        <f t="shared" si="14"/>
        <v>838897886.24382138</v>
      </c>
      <c r="AG11" s="1240" t="s">
        <v>1169</v>
      </c>
      <c r="AH11" s="1241">
        <v>2.5000000000000001E-2</v>
      </c>
      <c r="AI11" s="1242"/>
      <c r="AJ11" s="1243">
        <f t="shared" si="18"/>
        <v>44.318999999999996</v>
      </c>
      <c r="AK11" s="1244">
        <f t="shared" si="19"/>
        <v>3.081</v>
      </c>
      <c r="AL11" s="1244">
        <v>47.4</v>
      </c>
      <c r="AM11" s="1245">
        <f>AM10</f>
        <v>6.5000000000000002E-2</v>
      </c>
      <c r="AN11" s="1256">
        <f t="shared" si="20"/>
        <v>1107975</v>
      </c>
      <c r="AO11" s="1257">
        <f t="shared" si="21"/>
        <v>0</v>
      </c>
    </row>
    <row r="12" spans="1:41" x14ac:dyDescent="0.6">
      <c r="A12" s="46">
        <f t="shared" si="17"/>
        <v>8</v>
      </c>
      <c r="B12" s="44" t="s">
        <v>6</v>
      </c>
      <c r="C12" s="290">
        <v>1777</v>
      </c>
      <c r="D12" s="348">
        <f>C12*Assumptions!$C$19</f>
        <v>591847620</v>
      </c>
      <c r="E12" s="391">
        <f>Assumptions!$H$3</f>
        <v>1.1863330000000001</v>
      </c>
      <c r="F12" s="297">
        <v>3.7854100000000002</v>
      </c>
      <c r="G12" s="422"/>
      <c r="H12" s="1163">
        <f>Assumptions!$C$95</f>
        <v>1.93</v>
      </c>
      <c r="I12" s="434">
        <v>330</v>
      </c>
      <c r="J12" s="286">
        <f t="shared" si="0"/>
        <v>1.4819497445049004</v>
      </c>
      <c r="K12" s="322"/>
      <c r="L12" s="329">
        <f t="shared" si="1"/>
        <v>0</v>
      </c>
      <c r="M12" s="281">
        <f t="shared" si="2"/>
        <v>0</v>
      </c>
      <c r="N12" s="281">
        <f t="shared" si="3"/>
        <v>0</v>
      </c>
      <c r="O12" s="314">
        <f t="shared" si="15"/>
        <v>0</v>
      </c>
      <c r="P12" s="1053">
        <f t="shared" si="4"/>
        <v>1.4819497445049004</v>
      </c>
      <c r="Q12" s="1047">
        <f t="shared" si="5"/>
        <v>877088429.24483335</v>
      </c>
      <c r="R12" s="268">
        <f t="shared" si="16"/>
        <v>1.4819497445049004</v>
      </c>
      <c r="S12" s="366">
        <f t="shared" si="6"/>
        <v>877088429.24483335</v>
      </c>
      <c r="T12" s="336">
        <f>-'OECD Jet subsidies'!C22</f>
        <v>-180460000</v>
      </c>
      <c r="U12" s="342">
        <f t="shared" si="7"/>
        <v>-214085653.18000001</v>
      </c>
      <c r="V12" s="111">
        <f t="shared" si="8"/>
        <v>663002776.0648334</v>
      </c>
      <c r="W12" s="281">
        <f t="shared" si="9"/>
        <v>3.4119497445049003</v>
      </c>
      <c r="X12" s="1192">
        <f t="shared" si="10"/>
        <v>1805268682.6648333</v>
      </c>
      <c r="Y12" s="25">
        <v>3758</v>
      </c>
      <c r="Z12" s="26">
        <f>Y12*Assumptions!$C$24</f>
        <v>1220072280</v>
      </c>
      <c r="AA12" s="35">
        <f t="shared" si="11"/>
        <v>2354739500.4000001</v>
      </c>
      <c r="AB12" s="348">
        <f t="shared" si="12"/>
        <v>1811919900</v>
      </c>
      <c r="AC12" s="1211">
        <f t="shared" si="13"/>
        <v>3497005407</v>
      </c>
      <c r="AD12" s="342">
        <f t="shared" si="14"/>
        <v>4160008183.0648336</v>
      </c>
      <c r="AG12" s="1217" t="s">
        <v>1170</v>
      </c>
      <c r="AH12" s="1218">
        <v>1.4999999999999999E-2</v>
      </c>
      <c r="AI12" s="1219"/>
      <c r="AJ12" s="1220">
        <f t="shared" si="18"/>
        <v>94.902500000000003</v>
      </c>
      <c r="AK12" s="1221">
        <f t="shared" si="19"/>
        <v>6.5975000000000001</v>
      </c>
      <c r="AL12" s="1221">
        <v>101.5</v>
      </c>
      <c r="AM12" s="1222">
        <f t="shared" ref="AM12:AM16" si="22">AM11</f>
        <v>6.5000000000000002E-2</v>
      </c>
      <c r="AN12" s="1254">
        <f t="shared" si="20"/>
        <v>1423537.5</v>
      </c>
      <c r="AO12" s="1255">
        <f t="shared" si="21"/>
        <v>0</v>
      </c>
    </row>
    <row r="13" spans="1:41" x14ac:dyDescent="0.6">
      <c r="A13" s="46">
        <f t="shared" si="17"/>
        <v>9</v>
      </c>
      <c r="B13" s="44" t="s">
        <v>7</v>
      </c>
      <c r="C13" s="290">
        <v>1176</v>
      </c>
      <c r="D13" s="348">
        <f>C13*Assumptions!$C$19</f>
        <v>391678560</v>
      </c>
      <c r="E13" s="391">
        <f>Assumptions!$H$3</f>
        <v>1.1863330000000001</v>
      </c>
      <c r="F13" s="297">
        <v>3.7854100000000002</v>
      </c>
      <c r="G13" s="422"/>
      <c r="H13" s="1163">
        <f>Assumptions!$C$95</f>
        <v>1.93</v>
      </c>
      <c r="I13" s="434">
        <v>436</v>
      </c>
      <c r="J13" s="286">
        <f t="shared" si="0"/>
        <v>1.9579699654670804</v>
      </c>
      <c r="K13" s="322"/>
      <c r="L13" s="329">
        <f t="shared" si="1"/>
        <v>0</v>
      </c>
      <c r="M13" s="281">
        <f t="shared" si="2"/>
        <v>0</v>
      </c>
      <c r="N13" s="281">
        <f t="shared" si="3"/>
        <v>0</v>
      </c>
      <c r="O13" s="314">
        <f t="shared" si="15"/>
        <v>0</v>
      </c>
      <c r="P13" s="1053">
        <f t="shared" si="4"/>
        <v>1.9579699654670804</v>
      </c>
      <c r="Q13" s="1047">
        <f t="shared" si="5"/>
        <v>766894856.59739578</v>
      </c>
      <c r="R13" s="268">
        <f t="shared" si="16"/>
        <v>1.9579699654670804</v>
      </c>
      <c r="S13" s="366">
        <f t="shared" si="6"/>
        <v>766894856.59739578</v>
      </c>
      <c r="T13" s="336">
        <f>-'OECD Jet subsidies'!C24</f>
        <v>-520365682</v>
      </c>
      <c r="U13" s="342">
        <f t="shared" si="7"/>
        <v>-617326980.62410605</v>
      </c>
      <c r="V13" s="111">
        <f t="shared" si="8"/>
        <v>149567875.97328973</v>
      </c>
      <c r="W13" s="281">
        <f t="shared" si="9"/>
        <v>3.8879699654670805</v>
      </c>
      <c r="X13" s="1192">
        <f t="shared" si="10"/>
        <v>905507496.7732898</v>
      </c>
      <c r="Y13" s="25">
        <v>5782</v>
      </c>
      <c r="Z13" s="26">
        <f>Y13*Assumptions!$C$24</f>
        <v>1877184120</v>
      </c>
      <c r="AA13" s="35">
        <f t="shared" si="11"/>
        <v>3622965351.5999999</v>
      </c>
      <c r="AB13" s="348">
        <f t="shared" si="12"/>
        <v>2268862680</v>
      </c>
      <c r="AC13" s="1211">
        <f t="shared" si="13"/>
        <v>4378904972.3999996</v>
      </c>
      <c r="AD13" s="342">
        <f t="shared" si="14"/>
        <v>4528472848.3732901</v>
      </c>
      <c r="AG13" s="1240" t="s">
        <v>1171</v>
      </c>
      <c r="AH13" s="1241">
        <v>2.5000000000000001E-2</v>
      </c>
      <c r="AI13" s="1242">
        <v>2.5000000000000001E-2</v>
      </c>
      <c r="AJ13" s="1243">
        <f t="shared" si="18"/>
        <v>101.541</v>
      </c>
      <c r="AK13" s="1244">
        <f t="shared" si="19"/>
        <v>7.0590000000000002</v>
      </c>
      <c r="AL13" s="1244">
        <v>108.6</v>
      </c>
      <c r="AM13" s="1245">
        <f t="shared" si="22"/>
        <v>6.5000000000000002E-2</v>
      </c>
      <c r="AN13" s="1256">
        <f t="shared" si="20"/>
        <v>2538525</v>
      </c>
      <c r="AO13" s="1257">
        <f t="shared" si="21"/>
        <v>176475.00000000003</v>
      </c>
    </row>
    <row r="14" spans="1:41" x14ac:dyDescent="0.6">
      <c r="A14" s="46">
        <f t="shared" si="17"/>
        <v>10</v>
      </c>
      <c r="B14" s="44" t="s">
        <v>8</v>
      </c>
      <c r="C14" s="290">
        <v>6</v>
      </c>
      <c r="D14" s="348">
        <f>C14*Assumptions!$C$19</f>
        <v>1998360</v>
      </c>
      <c r="E14" s="391">
        <f>Assumptions!$H$3</f>
        <v>1.1863330000000001</v>
      </c>
      <c r="F14" s="297">
        <v>3.7854100000000002</v>
      </c>
      <c r="G14" s="422"/>
      <c r="H14" s="1163">
        <f>Assumptions!$C$95</f>
        <v>1.93</v>
      </c>
      <c r="I14" s="434">
        <v>479.02</v>
      </c>
      <c r="J14" s="286">
        <f t="shared" si="0"/>
        <v>2.1511623230689008</v>
      </c>
      <c r="K14" s="322"/>
      <c r="L14" s="329">
        <f t="shared" si="1"/>
        <v>0</v>
      </c>
      <c r="M14" s="281">
        <f t="shared" si="2"/>
        <v>0</v>
      </c>
      <c r="N14" s="281">
        <f t="shared" si="3"/>
        <v>0</v>
      </c>
      <c r="O14" s="314">
        <f t="shared" si="15"/>
        <v>0</v>
      </c>
      <c r="P14" s="1053">
        <f t="shared" si="4"/>
        <v>2.1511623230689008</v>
      </c>
      <c r="Q14" s="1047">
        <f t="shared" si="5"/>
        <v>4298796.7399279689</v>
      </c>
      <c r="R14" s="268">
        <f t="shared" si="16"/>
        <v>2.1511623230689008</v>
      </c>
      <c r="S14" s="366">
        <f t="shared" si="6"/>
        <v>4298796.7399279689</v>
      </c>
      <c r="T14" s="336">
        <f>-'OECD Jet subsidies'!C28</f>
        <v>0</v>
      </c>
      <c r="U14" s="342">
        <f t="shared" si="7"/>
        <v>0</v>
      </c>
      <c r="V14" s="111">
        <f t="shared" si="8"/>
        <v>4298796.7399279689</v>
      </c>
      <c r="W14" s="281">
        <f t="shared" si="9"/>
        <v>4.0811623230689005</v>
      </c>
      <c r="X14" s="1192">
        <f t="shared" si="10"/>
        <v>8155631.5399279678</v>
      </c>
      <c r="Y14" s="25">
        <v>796</v>
      </c>
      <c r="Z14" s="26">
        <f>Y14*Assumptions!$C$24</f>
        <v>258429360</v>
      </c>
      <c r="AA14" s="35">
        <f t="shared" si="11"/>
        <v>498768664.80000001</v>
      </c>
      <c r="AB14" s="348">
        <f t="shared" si="12"/>
        <v>260427720</v>
      </c>
      <c r="AC14" s="1211">
        <f t="shared" si="13"/>
        <v>502625499.59999996</v>
      </c>
      <c r="AD14" s="342">
        <f t="shared" si="14"/>
        <v>506924296.33992797</v>
      </c>
      <c r="AG14" s="1240" t="s">
        <v>1172</v>
      </c>
      <c r="AH14" s="1241">
        <v>3.2000000000000001E-2</v>
      </c>
      <c r="AI14" s="1242">
        <v>3.2000000000000001E-2</v>
      </c>
      <c r="AJ14" s="1243">
        <f t="shared" si="18"/>
        <v>118.2775</v>
      </c>
      <c r="AK14" s="1244">
        <f t="shared" si="19"/>
        <v>8.2225000000000001</v>
      </c>
      <c r="AL14" s="1244">
        <v>126.5</v>
      </c>
      <c r="AM14" s="1245">
        <f t="shared" si="22"/>
        <v>6.5000000000000002E-2</v>
      </c>
      <c r="AN14" s="1256">
        <f t="shared" si="20"/>
        <v>3784880.0000000005</v>
      </c>
      <c r="AO14" s="1257">
        <f t="shared" si="21"/>
        <v>263120</v>
      </c>
    </row>
    <row r="15" spans="1:41" x14ac:dyDescent="0.6">
      <c r="A15" s="46">
        <f t="shared" si="17"/>
        <v>11</v>
      </c>
      <c r="B15" s="44" t="s">
        <v>9</v>
      </c>
      <c r="C15" s="290">
        <v>801</v>
      </c>
      <c r="D15" s="348">
        <f>C15*Assumptions!$C$19</f>
        <v>266781060</v>
      </c>
      <c r="E15" s="391">
        <f>Assumptions!$H$3</f>
        <v>1.1863330000000001</v>
      </c>
      <c r="F15" s="297">
        <v>3.7854100000000002</v>
      </c>
      <c r="G15" s="422"/>
      <c r="H15" s="1163">
        <f>Assumptions!$C$95</f>
        <v>1.93</v>
      </c>
      <c r="I15" s="434">
        <v>337.49</v>
      </c>
      <c r="J15" s="286">
        <f t="shared" si="0"/>
        <v>1.51558551294836</v>
      </c>
      <c r="K15" s="322"/>
      <c r="L15" s="329">
        <f t="shared" si="1"/>
        <v>0</v>
      </c>
      <c r="M15" s="281">
        <f t="shared" si="2"/>
        <v>0</v>
      </c>
      <c r="N15" s="281">
        <f t="shared" si="3"/>
        <v>0</v>
      </c>
      <c r="O15" s="314">
        <f t="shared" si="15"/>
        <v>0</v>
      </c>
      <c r="P15" s="1053">
        <f t="shared" si="4"/>
        <v>1.51558551294836</v>
      </c>
      <c r="Q15" s="1047">
        <f t="shared" si="5"/>
        <v>404329509.66500717</v>
      </c>
      <c r="R15" s="268">
        <f t="shared" si="16"/>
        <v>1.51558551294836</v>
      </c>
      <c r="S15" s="366">
        <f t="shared" si="6"/>
        <v>404329509.66500717</v>
      </c>
      <c r="T15" s="336">
        <f>-'OECD Jet subsidies'!C31</f>
        <v>-266315706</v>
      </c>
      <c r="U15" s="342">
        <f t="shared" si="7"/>
        <v>-315939110.44609803</v>
      </c>
      <c r="V15" s="111">
        <f t="shared" si="8"/>
        <v>88390399.218909144</v>
      </c>
      <c r="W15" s="281">
        <f t="shared" si="9"/>
        <v>3.4455855129483597</v>
      </c>
      <c r="X15" s="1192">
        <f t="shared" si="10"/>
        <v>603277845.01890898</v>
      </c>
      <c r="Y15" s="25">
        <v>3083</v>
      </c>
      <c r="Z15" s="26">
        <f>Y15*Assumptions!$C$24</f>
        <v>1000926780</v>
      </c>
      <c r="AA15" s="35">
        <f t="shared" si="11"/>
        <v>1931788685.3999999</v>
      </c>
      <c r="AB15" s="348">
        <f t="shared" si="12"/>
        <v>1267707840</v>
      </c>
      <c r="AC15" s="1211">
        <f t="shared" si="13"/>
        <v>2446676131.1999998</v>
      </c>
      <c r="AD15" s="342">
        <f t="shared" si="14"/>
        <v>2535066530.4189091</v>
      </c>
      <c r="AG15" s="1217" t="s">
        <v>1175</v>
      </c>
      <c r="AH15" s="1223">
        <v>7.0000000000000001E-3</v>
      </c>
      <c r="AI15" s="1226">
        <v>7.0000000000000001E-3</v>
      </c>
      <c r="AJ15" s="1224">
        <f t="shared" si="18"/>
        <v>6.3579999999999997</v>
      </c>
      <c r="AK15" s="1221">
        <f t="shared" si="19"/>
        <v>0.442</v>
      </c>
      <c r="AL15" s="1225">
        <v>6.8</v>
      </c>
      <c r="AM15" s="1222">
        <f t="shared" si="22"/>
        <v>6.5000000000000002E-2</v>
      </c>
      <c r="AN15" s="1258">
        <f t="shared" si="20"/>
        <v>44506</v>
      </c>
      <c r="AO15" s="1259">
        <f t="shared" si="21"/>
        <v>3094</v>
      </c>
    </row>
    <row r="16" spans="1:41" x14ac:dyDescent="0.6">
      <c r="A16" s="46">
        <f t="shared" si="17"/>
        <v>12</v>
      </c>
      <c r="B16" s="44" t="s">
        <v>10</v>
      </c>
      <c r="C16" s="290">
        <v>0</v>
      </c>
      <c r="D16" s="348">
        <f>C16*Assumptions!$C$19</f>
        <v>0</v>
      </c>
      <c r="E16" s="391">
        <f>Assumptions!$H$3</f>
        <v>1.1863330000000001</v>
      </c>
      <c r="F16" s="297">
        <v>3.7854100000000002</v>
      </c>
      <c r="G16" s="422"/>
      <c r="H16" s="1163">
        <f>Assumptions!$C$95</f>
        <v>1.93</v>
      </c>
      <c r="I16" s="434">
        <v>330</v>
      </c>
      <c r="J16" s="286">
        <f t="shared" si="0"/>
        <v>1.4819497445049004</v>
      </c>
      <c r="K16" s="322"/>
      <c r="L16" s="329">
        <f t="shared" si="1"/>
        <v>0</v>
      </c>
      <c r="M16" s="281">
        <f t="shared" si="2"/>
        <v>0</v>
      </c>
      <c r="N16" s="281">
        <f t="shared" si="3"/>
        <v>0</v>
      </c>
      <c r="O16" s="314">
        <f t="shared" si="15"/>
        <v>0</v>
      </c>
      <c r="P16" s="1053">
        <f t="shared" si="4"/>
        <v>1.4819497445049004</v>
      </c>
      <c r="Q16" s="1047">
        <f t="shared" si="5"/>
        <v>0</v>
      </c>
      <c r="R16" s="268">
        <f t="shared" si="16"/>
        <v>1.4819497445049004</v>
      </c>
      <c r="S16" s="366">
        <f t="shared" si="6"/>
        <v>0</v>
      </c>
      <c r="T16" s="336">
        <f>-'OECD Jet subsidies'!C33</f>
        <v>0</v>
      </c>
      <c r="U16" s="342">
        <f t="shared" si="7"/>
        <v>0</v>
      </c>
      <c r="V16" s="111">
        <f t="shared" si="8"/>
        <v>0</v>
      </c>
      <c r="W16" s="281">
        <f t="shared" si="9"/>
        <v>3.4119497445049003</v>
      </c>
      <c r="X16" s="1192">
        <f t="shared" si="10"/>
        <v>0</v>
      </c>
      <c r="Y16" s="25">
        <v>445</v>
      </c>
      <c r="Z16" s="26">
        <f>Y16*Assumptions!$C$24</f>
        <v>144473700</v>
      </c>
      <c r="AA16" s="35">
        <f t="shared" si="11"/>
        <v>278834241</v>
      </c>
      <c r="AB16" s="348">
        <f t="shared" si="12"/>
        <v>144473700</v>
      </c>
      <c r="AC16" s="1211">
        <f t="shared" si="13"/>
        <v>278834241</v>
      </c>
      <c r="AD16" s="342">
        <f t="shared" si="14"/>
        <v>278834241</v>
      </c>
      <c r="AG16" s="1246" t="s">
        <v>1176</v>
      </c>
      <c r="AH16" s="1247">
        <v>7.0000000000000007E-2</v>
      </c>
      <c r="AI16" s="1248"/>
      <c r="AJ16" s="1249">
        <f t="shared" si="18"/>
        <v>168.20649999999966</v>
      </c>
      <c r="AK16" s="1250">
        <f t="shared" si="19"/>
        <v>11.693499999999977</v>
      </c>
      <c r="AL16" s="1250">
        <f>6613.9-6434</f>
        <v>179.89999999999964</v>
      </c>
      <c r="AM16" s="1251">
        <f t="shared" si="22"/>
        <v>6.5000000000000002E-2</v>
      </c>
      <c r="AN16" s="1260">
        <f t="shared" si="20"/>
        <v>11774454.999999978</v>
      </c>
      <c r="AO16" s="1261">
        <f t="shared" si="21"/>
        <v>0</v>
      </c>
    </row>
    <row r="17" spans="1:41" x14ac:dyDescent="0.6">
      <c r="A17" s="46">
        <f t="shared" si="17"/>
        <v>13</v>
      </c>
      <c r="B17" s="44" t="s">
        <v>11</v>
      </c>
      <c r="C17" s="290">
        <v>0</v>
      </c>
      <c r="D17" s="348">
        <f>C17*Assumptions!$C$19</f>
        <v>0</v>
      </c>
      <c r="E17" s="391">
        <f>Assumptions!$H$17</f>
        <v>3.8049999999999998E-3</v>
      </c>
      <c r="F17" s="297">
        <v>3.7854100000000002</v>
      </c>
      <c r="G17" s="388"/>
      <c r="H17" s="1163">
        <f>Assumptions!$C$95</f>
        <v>1.93</v>
      </c>
      <c r="I17" s="430">
        <v>124200</v>
      </c>
      <c r="J17" s="286">
        <f t="shared" si="0"/>
        <v>1.7889128432099999</v>
      </c>
      <c r="K17" s="322"/>
      <c r="L17" s="329">
        <f t="shared" si="1"/>
        <v>0</v>
      </c>
      <c r="M17" s="281">
        <f t="shared" si="2"/>
        <v>0</v>
      </c>
      <c r="N17" s="281">
        <f t="shared" si="3"/>
        <v>0</v>
      </c>
      <c r="O17" s="314">
        <f t="shared" si="15"/>
        <v>0</v>
      </c>
      <c r="P17" s="1053">
        <f t="shared" si="4"/>
        <v>1.7889128432099999</v>
      </c>
      <c r="Q17" s="1047">
        <f t="shared" si="5"/>
        <v>0</v>
      </c>
      <c r="R17" s="268">
        <f t="shared" si="16"/>
        <v>1.7889128432099999</v>
      </c>
      <c r="S17" s="366">
        <f t="shared" si="6"/>
        <v>0</v>
      </c>
      <c r="T17" s="336">
        <f>-'OECD Jet subsidies'!C35</f>
        <v>0</v>
      </c>
      <c r="U17" s="342">
        <f t="shared" si="7"/>
        <v>0</v>
      </c>
      <c r="V17" s="111">
        <f t="shared" si="8"/>
        <v>0</v>
      </c>
      <c r="W17" s="281">
        <f t="shared" si="9"/>
        <v>3.71891284321</v>
      </c>
      <c r="X17" s="1192">
        <f t="shared" si="10"/>
        <v>0</v>
      </c>
      <c r="Y17" s="25">
        <v>175</v>
      </c>
      <c r="Z17" s="26">
        <f>Y17*Assumptions!$C$24</f>
        <v>56815500</v>
      </c>
      <c r="AA17" s="35">
        <f t="shared" si="11"/>
        <v>109653915</v>
      </c>
      <c r="AB17" s="348">
        <f t="shared" si="12"/>
        <v>56815500</v>
      </c>
      <c r="AC17" s="1211">
        <f t="shared" si="13"/>
        <v>109653915</v>
      </c>
      <c r="AD17" s="342">
        <f t="shared" si="14"/>
        <v>109653915</v>
      </c>
      <c r="AG17" s="1217" t="s">
        <v>42</v>
      </c>
      <c r="AH17" s="1223"/>
      <c r="AI17" s="1226"/>
      <c r="AJ17" s="1225">
        <f t="shared" ref="AJ17:AK17" si="23">SUM(AJ7:AJ16)</f>
        <v>5601.6135000000004</v>
      </c>
      <c r="AK17" s="1225">
        <f t="shared" si="23"/>
        <v>1012.2864999999998</v>
      </c>
      <c r="AL17" s="1225">
        <f>SUM(AL7:AL16)</f>
        <v>6613.9</v>
      </c>
      <c r="AM17" s="1227"/>
      <c r="AN17" s="1258">
        <f>SUM(AN7:AN16)</f>
        <v>158663888.49999997</v>
      </c>
      <c r="AO17" s="1259">
        <f>SUM(AO7:AO16)</f>
        <v>12540578.999999998</v>
      </c>
    </row>
    <row r="18" spans="1:41" x14ac:dyDescent="0.6">
      <c r="A18" s="46">
        <f t="shared" si="17"/>
        <v>14</v>
      </c>
      <c r="B18" s="44" t="s">
        <v>12</v>
      </c>
      <c r="C18" s="290">
        <v>36</v>
      </c>
      <c r="D18" s="348">
        <f>C18*Assumptions!$C$19</f>
        <v>11990160</v>
      </c>
      <c r="E18" s="391">
        <f>Assumptions!$H$3</f>
        <v>1.1863330000000001</v>
      </c>
      <c r="F18" s="297">
        <v>3.7854100000000002</v>
      </c>
      <c r="G18" s="422"/>
      <c r="H18" s="1163">
        <f>Assumptions!$C$95</f>
        <v>1.93</v>
      </c>
      <c r="I18" s="427">
        <v>482.06</v>
      </c>
      <c r="J18" s="286">
        <f t="shared" si="0"/>
        <v>2.1648142237455521</v>
      </c>
      <c r="K18" s="322"/>
      <c r="L18" s="329">
        <f t="shared" si="1"/>
        <v>0</v>
      </c>
      <c r="M18" s="281">
        <f t="shared" si="2"/>
        <v>0</v>
      </c>
      <c r="N18" s="281">
        <f t="shared" si="3"/>
        <v>0</v>
      </c>
      <c r="O18" s="314">
        <f t="shared" si="15"/>
        <v>0</v>
      </c>
      <c r="P18" s="1053">
        <f t="shared" si="4"/>
        <v>2.1648142237455521</v>
      </c>
      <c r="Q18" s="1047">
        <f t="shared" si="5"/>
        <v>25956468.912984967</v>
      </c>
      <c r="R18" s="268">
        <f t="shared" si="16"/>
        <v>2.1648142237455521</v>
      </c>
      <c r="S18" s="366">
        <f t="shared" si="6"/>
        <v>25956468.912984967</v>
      </c>
      <c r="T18" s="336">
        <f>-'OECD Jet subsidies'!C37</f>
        <v>0</v>
      </c>
      <c r="U18" s="342">
        <f t="shared" si="7"/>
        <v>0</v>
      </c>
      <c r="V18" s="111">
        <f t="shared" si="8"/>
        <v>25956468.912984967</v>
      </c>
      <c r="W18" s="281">
        <f t="shared" si="9"/>
        <v>4.0948142237455523</v>
      </c>
      <c r="X18" s="1192">
        <f t="shared" si="10"/>
        <v>49097477.712984972</v>
      </c>
      <c r="Y18" s="25">
        <v>3683</v>
      </c>
      <c r="Z18" s="26">
        <f>Y18*Assumptions!$C$24</f>
        <v>1195722780</v>
      </c>
      <c r="AA18" s="35">
        <f t="shared" si="11"/>
        <v>2307744965.4000001</v>
      </c>
      <c r="AB18" s="348">
        <f t="shared" si="12"/>
        <v>1207712940</v>
      </c>
      <c r="AC18" s="1211">
        <f t="shared" si="13"/>
        <v>2330885974.1999998</v>
      </c>
      <c r="AD18" s="342">
        <f t="shared" si="14"/>
        <v>2356842443.1129851</v>
      </c>
      <c r="AG18" s="1217"/>
      <c r="AH18" s="1223"/>
      <c r="AI18" s="1226"/>
      <c r="AJ18" s="1224"/>
      <c r="AK18" s="1225"/>
      <c r="AL18" s="1225"/>
      <c r="AM18" s="1227"/>
      <c r="AN18" s="1258"/>
      <c r="AO18" s="1259"/>
    </row>
    <row r="19" spans="1:41" x14ac:dyDescent="0.6">
      <c r="A19" s="46">
        <f t="shared" si="17"/>
        <v>15</v>
      </c>
      <c r="B19" s="44" t="s">
        <v>13</v>
      </c>
      <c r="C19" s="290">
        <v>28</v>
      </c>
      <c r="D19" s="348">
        <f>C19*Assumptions!$C$19</f>
        <v>9325680</v>
      </c>
      <c r="E19" s="391">
        <f>Assumptions!$H$3</f>
        <v>1.1863330000000001</v>
      </c>
      <c r="F19" s="297">
        <v>3.7854100000000002</v>
      </c>
      <c r="G19" s="422"/>
      <c r="H19" s="1163">
        <f>Assumptions!$C$95</f>
        <v>1.93</v>
      </c>
      <c r="I19" s="427">
        <v>397</v>
      </c>
      <c r="J19" s="286">
        <f t="shared" si="0"/>
        <v>1.7828304502074102</v>
      </c>
      <c r="K19" s="322"/>
      <c r="L19" s="329">
        <f t="shared" si="1"/>
        <v>0</v>
      </c>
      <c r="M19" s="281">
        <f t="shared" si="2"/>
        <v>0</v>
      </c>
      <c r="N19" s="281">
        <f t="shared" si="3"/>
        <v>0</v>
      </c>
      <c r="O19" s="314">
        <f t="shared" si="15"/>
        <v>0</v>
      </c>
      <c r="P19" s="1053">
        <f t="shared" si="4"/>
        <v>1.7828304502074102</v>
      </c>
      <c r="Q19" s="1047">
        <f t="shared" si="5"/>
        <v>16626106.27289024</v>
      </c>
      <c r="R19" s="268">
        <f t="shared" si="16"/>
        <v>1.7828304502074102</v>
      </c>
      <c r="S19" s="366">
        <f t="shared" si="6"/>
        <v>16626106.27289024</v>
      </c>
      <c r="T19" s="336">
        <f>-'OECD Jet subsidies'!C39</f>
        <v>-360000000</v>
      </c>
      <c r="U19" s="342">
        <f t="shared" si="7"/>
        <v>-427079880</v>
      </c>
      <c r="V19" s="111">
        <f t="shared" si="8"/>
        <v>-410453773.72710979</v>
      </c>
      <c r="W19" s="281">
        <f t="shared" si="9"/>
        <v>3.7128304502074103</v>
      </c>
      <c r="X19" s="1192">
        <f t="shared" si="10"/>
        <v>-392455211.32710975</v>
      </c>
      <c r="Y19" s="25">
        <v>676</v>
      </c>
      <c r="Z19" s="26">
        <f>Y19*Assumptions!$C$24</f>
        <v>219470160</v>
      </c>
      <c r="AA19" s="35">
        <f t="shared" si="11"/>
        <v>423577408.80000001</v>
      </c>
      <c r="AB19" s="348">
        <f t="shared" si="12"/>
        <v>228795840</v>
      </c>
      <c r="AC19" s="1211">
        <f t="shared" si="13"/>
        <v>441575971.19999999</v>
      </c>
      <c r="AD19" s="342">
        <f t="shared" si="14"/>
        <v>31122197.472890258</v>
      </c>
      <c r="AG19" s="1228" t="s">
        <v>1174</v>
      </c>
      <c r="AH19" s="1229">
        <v>0.04</v>
      </c>
      <c r="AI19" s="1230">
        <v>0</v>
      </c>
      <c r="AJ19" s="1231">
        <v>5602.5</v>
      </c>
      <c r="AK19" s="1232">
        <v>1011.4</v>
      </c>
      <c r="AL19" s="1232">
        <f>AK19+AJ19</f>
        <v>6613.9</v>
      </c>
      <c r="AM19" s="1233"/>
      <c r="AN19" s="1262">
        <f>AH19*AJ19*1000000</f>
        <v>224100000</v>
      </c>
      <c r="AO19" s="1263">
        <v>0</v>
      </c>
    </row>
    <row r="20" spans="1:41" x14ac:dyDescent="0.6">
      <c r="A20" s="46">
        <f t="shared" si="17"/>
        <v>16</v>
      </c>
      <c r="B20" s="44" t="s">
        <v>14</v>
      </c>
      <c r="C20" s="290">
        <v>14</v>
      </c>
      <c r="D20" s="348">
        <f>C20*Assumptions!$C$19</f>
        <v>4662840</v>
      </c>
      <c r="E20" s="391">
        <f>Assumptions!$H$18</f>
        <v>0.28262100000000001</v>
      </c>
      <c r="F20" s="297">
        <v>3.7854100000000002</v>
      </c>
      <c r="G20" s="424"/>
      <c r="H20" s="1163">
        <f>Assumptions!$C$95</f>
        <v>1.93</v>
      </c>
      <c r="I20" s="438">
        <v>1446</v>
      </c>
      <c r="J20" s="286">
        <f t="shared" si="0"/>
        <v>1.5469833759960601</v>
      </c>
      <c r="K20" s="322"/>
      <c r="L20" s="329">
        <f t="shared" si="1"/>
        <v>0</v>
      </c>
      <c r="M20" s="281">
        <f t="shared" si="2"/>
        <v>0</v>
      </c>
      <c r="N20" s="281">
        <f t="shared" si="3"/>
        <v>0</v>
      </c>
      <c r="O20" s="314">
        <f t="shared" si="15"/>
        <v>0</v>
      </c>
      <c r="P20" s="1053">
        <f t="shared" si="4"/>
        <v>1.5469833759960601</v>
      </c>
      <c r="Q20" s="1047">
        <f t="shared" si="5"/>
        <v>7213335.9649294689</v>
      </c>
      <c r="R20" s="268">
        <f t="shared" si="16"/>
        <v>1.5469833759960601</v>
      </c>
      <c r="S20" s="366">
        <f t="shared" si="6"/>
        <v>7213335.9649294689</v>
      </c>
      <c r="T20" s="336">
        <f>-'OECD Jet subsidies'!C41</f>
        <v>0</v>
      </c>
      <c r="U20" s="342">
        <f t="shared" si="7"/>
        <v>0</v>
      </c>
      <c r="V20" s="111">
        <f t="shared" si="8"/>
        <v>7213335.9649294689</v>
      </c>
      <c r="W20" s="281">
        <f t="shared" si="9"/>
        <v>3.4769833759960598</v>
      </c>
      <c r="X20" s="1192">
        <f t="shared" si="10"/>
        <v>16212617.164929468</v>
      </c>
      <c r="Y20" s="25">
        <v>632</v>
      </c>
      <c r="Z20" s="26">
        <f>Y20*Assumptions!$C$24</f>
        <v>205185120</v>
      </c>
      <c r="AA20" s="35">
        <f t="shared" si="11"/>
        <v>396007281.59999996</v>
      </c>
      <c r="AB20" s="348">
        <f t="shared" si="12"/>
        <v>209847960</v>
      </c>
      <c r="AC20" s="1211">
        <f t="shared" si="13"/>
        <v>405006562.80000001</v>
      </c>
      <c r="AD20" s="342">
        <f t="shared" si="14"/>
        <v>412219898.76492941</v>
      </c>
      <c r="AG20" s="10"/>
      <c r="AH20" s="331"/>
      <c r="AI20" s="54"/>
      <c r="AJ20" s="10"/>
      <c r="AK20" s="360">
        <f>AK19/AL19</f>
        <v>0.15292036468649362</v>
      </c>
      <c r="AL20" s="271"/>
      <c r="AM20" s="271"/>
      <c r="AN20" s="331"/>
      <c r="AO20" s="54"/>
    </row>
    <row r="21" spans="1:41" x14ac:dyDescent="0.6">
      <c r="A21" s="46">
        <f t="shared" si="17"/>
        <v>17</v>
      </c>
      <c r="B21" s="44" t="s">
        <v>15</v>
      </c>
      <c r="C21" s="290">
        <v>146</v>
      </c>
      <c r="D21" s="348">
        <f>C21*Assumptions!$C$19</f>
        <v>48626760</v>
      </c>
      <c r="E21" s="391">
        <f>Assumptions!$H$3</f>
        <v>1.1863330000000001</v>
      </c>
      <c r="F21" s="297">
        <v>3.7854100000000002</v>
      </c>
      <c r="G21" s="422"/>
      <c r="H21" s="1163">
        <f>Assumptions!$C$95</f>
        <v>1.93</v>
      </c>
      <c r="I21" s="434">
        <v>350.08</v>
      </c>
      <c r="J21" s="286">
        <f t="shared" si="0"/>
        <v>1.5721241410796225</v>
      </c>
      <c r="K21" s="322"/>
      <c r="L21" s="329">
        <f t="shared" si="1"/>
        <v>0</v>
      </c>
      <c r="M21" s="281">
        <f t="shared" si="2"/>
        <v>0</v>
      </c>
      <c r="N21" s="281">
        <f t="shared" si="3"/>
        <v>0</v>
      </c>
      <c r="O21" s="314">
        <f t="shared" si="15"/>
        <v>0</v>
      </c>
      <c r="P21" s="1053">
        <f t="shared" si="4"/>
        <v>1.5721241410796225</v>
      </c>
      <c r="Q21" s="1047">
        <f t="shared" si="5"/>
        <v>76447303.298484951</v>
      </c>
      <c r="R21" s="268">
        <f t="shared" si="16"/>
        <v>1.5721241410796225</v>
      </c>
      <c r="S21" s="366">
        <f t="shared" si="6"/>
        <v>76447303.298484951</v>
      </c>
      <c r="T21" s="336">
        <f>-'OECD Jet subsidies'!C43</f>
        <v>0</v>
      </c>
      <c r="U21" s="342">
        <f t="shared" si="7"/>
        <v>0</v>
      </c>
      <c r="V21" s="111">
        <f t="shared" si="8"/>
        <v>76447303.298484951</v>
      </c>
      <c r="W21" s="281">
        <f t="shared" si="9"/>
        <v>3.5021241410796224</v>
      </c>
      <c r="X21" s="1192">
        <f t="shared" si="10"/>
        <v>170296950.09848493</v>
      </c>
      <c r="Y21" s="25">
        <v>1019</v>
      </c>
      <c r="Z21" s="26">
        <f>Y21*Assumptions!$C$24</f>
        <v>330828540</v>
      </c>
      <c r="AA21" s="35">
        <f t="shared" si="11"/>
        <v>638499082.19999993</v>
      </c>
      <c r="AB21" s="348">
        <f t="shared" si="12"/>
        <v>379455300</v>
      </c>
      <c r="AC21" s="1211">
        <f t="shared" si="13"/>
        <v>732348729</v>
      </c>
      <c r="AD21" s="342">
        <f t="shared" si="14"/>
        <v>808796032.2984848</v>
      </c>
    </row>
    <row r="22" spans="1:41" x14ac:dyDescent="0.6">
      <c r="A22" s="46">
        <f t="shared" si="17"/>
        <v>18</v>
      </c>
      <c r="B22" s="44" t="s">
        <v>16</v>
      </c>
      <c r="C22" s="290">
        <v>0</v>
      </c>
      <c r="D22" s="348">
        <f>C22*Assumptions!$C$19</f>
        <v>0</v>
      </c>
      <c r="E22" s="391">
        <f>Assumptions!$H$3</f>
        <v>1.1863330000000001</v>
      </c>
      <c r="F22" s="297">
        <v>3.7854100000000002</v>
      </c>
      <c r="G22" s="422"/>
      <c r="H22" s="1163">
        <f>Assumptions!$C$95</f>
        <v>1.93</v>
      </c>
      <c r="I22" s="434">
        <v>330</v>
      </c>
      <c r="J22" s="286">
        <f t="shared" si="0"/>
        <v>1.4819497445049004</v>
      </c>
      <c r="K22" s="322"/>
      <c r="L22" s="329">
        <f t="shared" si="1"/>
        <v>0</v>
      </c>
      <c r="M22" s="281">
        <f t="shared" si="2"/>
        <v>0</v>
      </c>
      <c r="N22" s="281">
        <f t="shared" si="3"/>
        <v>0</v>
      </c>
      <c r="O22" s="314">
        <f t="shared" si="15"/>
        <v>0</v>
      </c>
      <c r="P22" s="1053">
        <f t="shared" si="4"/>
        <v>1.4819497445049004</v>
      </c>
      <c r="Q22" s="1047">
        <f t="shared" si="5"/>
        <v>0</v>
      </c>
      <c r="R22" s="268">
        <f t="shared" si="16"/>
        <v>1.4819497445049004</v>
      </c>
      <c r="S22" s="366">
        <f t="shared" si="6"/>
        <v>0</v>
      </c>
      <c r="T22" s="336">
        <f>-'OECD Jet subsidies'!C45</f>
        <v>0</v>
      </c>
      <c r="U22" s="342">
        <f t="shared" si="7"/>
        <v>0</v>
      </c>
      <c r="V22" s="111">
        <f t="shared" si="8"/>
        <v>0</v>
      </c>
      <c r="W22" s="281">
        <f t="shared" si="9"/>
        <v>3.4119497445049003</v>
      </c>
      <c r="X22" s="1192">
        <f t="shared" si="10"/>
        <v>0</v>
      </c>
      <c r="Y22" s="25">
        <v>25</v>
      </c>
      <c r="Z22" s="26">
        <f>Y22*Assumptions!$C$24</f>
        <v>8116500</v>
      </c>
      <c r="AA22" s="35">
        <f t="shared" si="11"/>
        <v>15664845</v>
      </c>
      <c r="AB22" s="348">
        <f t="shared" si="12"/>
        <v>8116500</v>
      </c>
      <c r="AC22" s="1211">
        <f t="shared" si="13"/>
        <v>15664845</v>
      </c>
      <c r="AD22" s="342">
        <f t="shared" si="14"/>
        <v>15664845</v>
      </c>
      <c r="AM22" s="1" t="s">
        <v>1181</v>
      </c>
      <c r="AN22" s="17">
        <f>AN17+AO17+AN19</f>
        <v>395304467.5</v>
      </c>
    </row>
    <row r="23" spans="1:41" x14ac:dyDescent="0.6">
      <c r="A23" s="46">
        <f t="shared" si="17"/>
        <v>19</v>
      </c>
      <c r="B23" s="44" t="s">
        <v>17</v>
      </c>
      <c r="C23" s="290">
        <v>0</v>
      </c>
      <c r="D23" s="348">
        <f>C23*Assumptions!$C$19</f>
        <v>0</v>
      </c>
      <c r="E23" s="391">
        <f>Assumptions!$H$3</f>
        <v>1.1863330000000001</v>
      </c>
      <c r="F23" s="297">
        <v>3.7854100000000002</v>
      </c>
      <c r="G23" s="422"/>
      <c r="H23" s="1163">
        <f>Assumptions!$C$95</f>
        <v>1.93</v>
      </c>
      <c r="I23" s="434">
        <v>481.31</v>
      </c>
      <c r="J23" s="286">
        <f t="shared" si="0"/>
        <v>2.1614461561444047</v>
      </c>
      <c r="K23" s="322"/>
      <c r="L23" s="329">
        <f t="shared" si="1"/>
        <v>0</v>
      </c>
      <c r="M23" s="281">
        <f t="shared" si="2"/>
        <v>0</v>
      </c>
      <c r="N23" s="281">
        <f t="shared" si="3"/>
        <v>0</v>
      </c>
      <c r="O23" s="314">
        <f t="shared" si="15"/>
        <v>0</v>
      </c>
      <c r="P23" s="1053">
        <f t="shared" si="4"/>
        <v>2.1614461561444047</v>
      </c>
      <c r="Q23" s="1047">
        <f t="shared" si="5"/>
        <v>0</v>
      </c>
      <c r="R23" s="268">
        <f t="shared" si="16"/>
        <v>2.1614461561444047</v>
      </c>
      <c r="S23" s="366">
        <f t="shared" si="6"/>
        <v>0</v>
      </c>
      <c r="T23" s="336">
        <f>-'OECD Jet subsidies'!C47</f>
        <v>0</v>
      </c>
      <c r="U23" s="342">
        <f t="shared" si="7"/>
        <v>0</v>
      </c>
      <c r="V23" s="111">
        <f t="shared" si="8"/>
        <v>0</v>
      </c>
      <c r="W23" s="281">
        <f t="shared" si="9"/>
        <v>4.0914461561444044</v>
      </c>
      <c r="X23" s="1192">
        <f t="shared" si="10"/>
        <v>0</v>
      </c>
      <c r="Y23" s="25">
        <v>42</v>
      </c>
      <c r="Z23" s="26">
        <f>Y23*Assumptions!$C$24</f>
        <v>13635720</v>
      </c>
      <c r="AA23" s="35">
        <f t="shared" si="11"/>
        <v>26316939.599999998</v>
      </c>
      <c r="AB23" s="348">
        <f t="shared" si="12"/>
        <v>13635720</v>
      </c>
      <c r="AC23" s="1211">
        <f t="shared" si="13"/>
        <v>26316939.599999998</v>
      </c>
      <c r="AD23" s="342">
        <f t="shared" si="14"/>
        <v>26316939.599999998</v>
      </c>
      <c r="AM23" s="1" t="s">
        <v>1182</v>
      </c>
      <c r="AN23" s="1264">
        <f>AL19*1000000</f>
        <v>6613900000</v>
      </c>
    </row>
    <row r="24" spans="1:41" x14ac:dyDescent="0.6">
      <c r="A24" s="46">
        <f t="shared" si="17"/>
        <v>20</v>
      </c>
      <c r="B24" s="44" t="s">
        <v>18</v>
      </c>
      <c r="C24" s="290">
        <v>95</v>
      </c>
      <c r="D24" s="348">
        <f>C24*Assumptions!$C$19</f>
        <v>31640700</v>
      </c>
      <c r="E24" s="391">
        <f>Assumptions!$H$3</f>
        <v>1.1863330000000001</v>
      </c>
      <c r="F24" s="297">
        <v>3.7854100000000002</v>
      </c>
      <c r="G24" s="422"/>
      <c r="H24" s="1163">
        <f>Assumptions!$C$95</f>
        <v>1.93</v>
      </c>
      <c r="I24" s="434">
        <v>740.2</v>
      </c>
      <c r="J24" s="286">
        <f t="shared" si="0"/>
        <v>3.324058184492507</v>
      </c>
      <c r="K24" s="322"/>
      <c r="L24" s="329">
        <f t="shared" si="1"/>
        <v>0</v>
      </c>
      <c r="M24" s="281">
        <f t="shared" si="2"/>
        <v>0</v>
      </c>
      <c r="N24" s="281">
        <f t="shared" si="3"/>
        <v>0</v>
      </c>
      <c r="O24" s="314">
        <f t="shared" si="15"/>
        <v>0</v>
      </c>
      <c r="P24" s="1053">
        <f t="shared" si="4"/>
        <v>3.324058184492507</v>
      </c>
      <c r="Q24" s="1047">
        <f t="shared" si="5"/>
        <v>105175527.79807207</v>
      </c>
      <c r="R24" s="268">
        <f t="shared" si="16"/>
        <v>3.324058184492507</v>
      </c>
      <c r="S24" s="366">
        <f t="shared" si="6"/>
        <v>105175527.79807207</v>
      </c>
      <c r="T24" s="336">
        <f>-'OECD Jet subsidies'!C49</f>
        <v>0</v>
      </c>
      <c r="U24" s="342">
        <f t="shared" si="7"/>
        <v>0</v>
      </c>
      <c r="V24" s="111">
        <f t="shared" si="8"/>
        <v>105175527.79807207</v>
      </c>
      <c r="W24" s="281">
        <f t="shared" si="9"/>
        <v>5.2540581844925072</v>
      </c>
      <c r="X24" s="1192">
        <f t="shared" si="10"/>
        <v>166242078.79807207</v>
      </c>
      <c r="Y24" s="25">
        <v>619</v>
      </c>
      <c r="Z24" s="26">
        <f>Y24*Assumptions!$C$24</f>
        <v>200964540</v>
      </c>
      <c r="AA24" s="35">
        <f t="shared" si="11"/>
        <v>387861562.19999999</v>
      </c>
      <c r="AB24" s="348">
        <f t="shared" si="12"/>
        <v>232605240</v>
      </c>
      <c r="AC24" s="1211">
        <f t="shared" si="13"/>
        <v>448928113.19999999</v>
      </c>
      <c r="AD24" s="342">
        <f t="shared" si="14"/>
        <v>554103640.99807203</v>
      </c>
      <c r="AM24" s="1" t="s">
        <v>1183</v>
      </c>
      <c r="AN24" s="54">
        <f>AN22/AN23</f>
        <v>5.9768739699723308E-2</v>
      </c>
      <c r="AO24" s="1" t="s">
        <v>1184</v>
      </c>
    </row>
    <row r="25" spans="1:41" x14ac:dyDescent="0.6">
      <c r="A25" s="46">
        <f t="shared" si="17"/>
        <v>21</v>
      </c>
      <c r="B25" s="44" t="s">
        <v>19</v>
      </c>
      <c r="C25" s="290">
        <v>127</v>
      </c>
      <c r="D25" s="348">
        <f>C25*Assumptions!$C$19</f>
        <v>42298620</v>
      </c>
      <c r="E25" s="391">
        <f>Assumptions!$H$19</f>
        <v>0.119739</v>
      </c>
      <c r="F25" s="297">
        <v>3.7854100000000002</v>
      </c>
      <c r="G25" s="425"/>
      <c r="H25" s="1163">
        <f>Assumptions!$C$95</f>
        <v>1.93</v>
      </c>
      <c r="I25" s="439">
        <v>5051</v>
      </c>
      <c r="J25" s="286">
        <f t="shared" si="0"/>
        <v>2.2894223615574898</v>
      </c>
      <c r="K25" s="322"/>
      <c r="L25" s="329">
        <f t="shared" si="1"/>
        <v>0</v>
      </c>
      <c r="M25" s="281">
        <f t="shared" si="2"/>
        <v>0</v>
      </c>
      <c r="N25" s="281">
        <f t="shared" si="3"/>
        <v>0</v>
      </c>
      <c r="O25" s="314">
        <f t="shared" si="15"/>
        <v>0</v>
      </c>
      <c r="P25" s="1053">
        <f t="shared" si="4"/>
        <v>2.2894223615574898</v>
      </c>
      <c r="Q25" s="1047">
        <f t="shared" si="5"/>
        <v>96839406.49102287</v>
      </c>
      <c r="R25" s="268">
        <f t="shared" si="16"/>
        <v>2.2894223615574898</v>
      </c>
      <c r="S25" s="366">
        <f t="shared" si="6"/>
        <v>96839406.49102287</v>
      </c>
      <c r="T25" s="336">
        <f>-'OECD Jet subsidies'!C51</f>
        <v>-730000000</v>
      </c>
      <c r="U25" s="342">
        <f t="shared" si="7"/>
        <v>-87409470</v>
      </c>
      <c r="V25" s="111">
        <f t="shared" si="8"/>
        <v>9429936.4910228699</v>
      </c>
      <c r="W25" s="281">
        <f t="shared" si="9"/>
        <v>4.2194223615574895</v>
      </c>
      <c r="X25" s="1192">
        <f t="shared" si="10"/>
        <v>91066273.091022849</v>
      </c>
      <c r="Y25" s="25">
        <v>720</v>
      </c>
      <c r="Z25" s="26">
        <f>Y25*Assumptions!$C$24</f>
        <v>233755200</v>
      </c>
      <c r="AA25" s="35">
        <f t="shared" si="11"/>
        <v>451147536</v>
      </c>
      <c r="AB25" s="348">
        <f t="shared" si="12"/>
        <v>276053820</v>
      </c>
      <c r="AC25" s="1211">
        <f t="shared" si="13"/>
        <v>532783872.59999996</v>
      </c>
      <c r="AD25" s="342">
        <f t="shared" si="14"/>
        <v>542213809.09102285</v>
      </c>
    </row>
    <row r="26" spans="1:41" ht="15.9" thickBot="1" x14ac:dyDescent="0.65">
      <c r="A26" s="15">
        <f t="shared" si="17"/>
        <v>22</v>
      </c>
      <c r="B26" s="47" t="s">
        <v>20</v>
      </c>
      <c r="C26" s="291">
        <v>796</v>
      </c>
      <c r="D26" s="349">
        <f>C26*Assumptions!$C$19</f>
        <v>265115760</v>
      </c>
      <c r="E26" s="419">
        <f>Assumptions!$H$20</f>
        <v>1.337591</v>
      </c>
      <c r="F26" s="299">
        <v>3.7854100000000002</v>
      </c>
      <c r="G26" s="454"/>
      <c r="H26" s="1189">
        <f>Assumptions!$C$95</f>
        <v>1.93</v>
      </c>
      <c r="I26" s="440">
        <v>579.5</v>
      </c>
      <c r="J26" s="308">
        <f t="shared" si="0"/>
        <v>2.9341999362661451</v>
      </c>
      <c r="K26" s="359"/>
      <c r="L26" s="334">
        <f t="shared" si="1"/>
        <v>0</v>
      </c>
      <c r="M26" s="318">
        <f t="shared" si="2"/>
        <v>0</v>
      </c>
      <c r="N26" s="318">
        <f t="shared" si="3"/>
        <v>0</v>
      </c>
      <c r="O26" s="319">
        <f t="shared" si="15"/>
        <v>0</v>
      </c>
      <c r="P26" s="1054">
        <f t="shared" si="4"/>
        <v>2.9341999362661451</v>
      </c>
      <c r="Q26" s="1048">
        <f t="shared" si="5"/>
        <v>777902646.09515059</v>
      </c>
      <c r="R26" s="269">
        <f t="shared" si="16"/>
        <v>2.9341999362661451</v>
      </c>
      <c r="S26" s="368">
        <f t="shared" si="6"/>
        <v>777902646.09515059</v>
      </c>
      <c r="T26" s="340">
        <f>-'OECD Jet subsidies'!C54</f>
        <v>0</v>
      </c>
      <c r="U26" s="344">
        <f t="shared" si="7"/>
        <v>0</v>
      </c>
      <c r="V26" s="163">
        <f t="shared" si="8"/>
        <v>777902646.09515059</v>
      </c>
      <c r="W26" s="318">
        <f t="shared" si="9"/>
        <v>4.8641999362661448</v>
      </c>
      <c r="X26" s="1194">
        <f t="shared" si="10"/>
        <v>1289576062.8951504</v>
      </c>
      <c r="Y26" s="462">
        <v>10576</v>
      </c>
      <c r="Z26" s="38">
        <f>Y26*Assumptions!$C$24</f>
        <v>3433604160</v>
      </c>
      <c r="AA26" s="39">
        <f t="shared" si="11"/>
        <v>6626856028.8000002</v>
      </c>
      <c r="AB26" s="349">
        <f t="shared" si="12"/>
        <v>3698719920</v>
      </c>
      <c r="AC26" s="1212">
        <f t="shared" si="13"/>
        <v>7138529445.5999994</v>
      </c>
      <c r="AD26" s="344">
        <f t="shared" si="14"/>
        <v>7916432091.6951504</v>
      </c>
    </row>
    <row r="27" spans="1:41" ht="15.9" thickTop="1" x14ac:dyDescent="0.6">
      <c r="A27" s="48" t="s">
        <v>392</v>
      </c>
      <c r="B27" s="44"/>
      <c r="C27" s="290"/>
      <c r="D27" s="348"/>
      <c r="E27" s="399"/>
      <c r="F27" s="297"/>
      <c r="G27" s="383"/>
      <c r="H27" s="1163"/>
      <c r="I27" s="664"/>
      <c r="J27" s="306"/>
      <c r="K27" s="322"/>
      <c r="L27" s="329"/>
      <c r="M27" s="320"/>
      <c r="N27" s="320"/>
      <c r="O27" s="314"/>
      <c r="P27" s="1053"/>
      <c r="Q27" s="1047"/>
      <c r="R27" s="310">
        <f t="shared" si="16"/>
        <v>0</v>
      </c>
      <c r="S27" s="366"/>
      <c r="T27" s="336"/>
      <c r="U27" s="342"/>
      <c r="V27" s="111"/>
      <c r="W27" s="320"/>
      <c r="X27" s="1192"/>
      <c r="Y27" s="25"/>
      <c r="Z27" s="26"/>
      <c r="AA27" s="35"/>
      <c r="AB27" s="348"/>
      <c r="AC27" s="1211"/>
      <c r="AD27" s="342"/>
    </row>
    <row r="28" spans="1:41" x14ac:dyDescent="0.6">
      <c r="A28" s="61">
        <f>A26+1</f>
        <v>23</v>
      </c>
      <c r="B28" s="44" t="s">
        <v>38</v>
      </c>
      <c r="C28" s="290">
        <v>4978</v>
      </c>
      <c r="D28" s="348">
        <f>C28*Assumptions!$C$19</f>
        <v>1657972680</v>
      </c>
      <c r="E28" s="399">
        <f>Assumptions!$H$4</f>
        <v>0.78824099999999997</v>
      </c>
      <c r="F28" s="297">
        <v>3.7854100000000002</v>
      </c>
      <c r="G28" s="441"/>
      <c r="H28" s="1163">
        <f>Assumptions!$C$95</f>
        <v>1.93</v>
      </c>
      <c r="I28" s="447">
        <f>AN24</f>
        <v>5.9768739699723308E-2</v>
      </c>
      <c r="J28" s="306">
        <f t="shared" ref="J28:J39" si="24">I28*E28*F28</f>
        <v>0.1783388837915951</v>
      </c>
      <c r="K28" s="322"/>
      <c r="L28" s="329">
        <f t="shared" ref="L28:L34" si="25">K28*H28</f>
        <v>0</v>
      </c>
      <c r="M28" s="320">
        <f t="shared" ref="M28:M34" si="26">K28*J28</f>
        <v>0</v>
      </c>
      <c r="N28" s="320">
        <f t="shared" ref="N28:N34" si="27">M28+L28</f>
        <v>0</v>
      </c>
      <c r="O28" s="314">
        <f t="shared" si="15"/>
        <v>0</v>
      </c>
      <c r="P28" s="1053">
        <f t="shared" si="4"/>
        <v>0.1783388837915951</v>
      </c>
      <c r="Q28" s="1047">
        <f>P28*AB28</f>
        <v>342637493.23971248</v>
      </c>
      <c r="R28" s="310">
        <f t="shared" si="16"/>
        <v>0.1783388837915951</v>
      </c>
      <c r="S28" s="366">
        <f>R28*AB28</f>
        <v>342637493.23971248</v>
      </c>
      <c r="T28" s="336">
        <f>-'OECD Jet subsidies'!C56</f>
        <v>0</v>
      </c>
      <c r="U28" s="342">
        <f t="shared" si="7"/>
        <v>0</v>
      </c>
      <c r="V28" s="111">
        <f t="shared" ref="V28:V34" si="28">S28+U28</f>
        <v>342637493.23971248</v>
      </c>
      <c r="W28" s="320">
        <f t="shared" ref="W28:W34" si="29">(H28+J28)*(1+K28)</f>
        <v>2.1083388837915948</v>
      </c>
      <c r="X28" s="1192">
        <f t="shared" ref="X28:X34" si="30">W28*D28+U28</f>
        <v>3495568269.5081592</v>
      </c>
      <c r="Y28" s="25">
        <v>811</v>
      </c>
      <c r="Z28" s="26">
        <f>Y28*Assumptions!$C$24</f>
        <v>263299260</v>
      </c>
      <c r="AA28" s="35">
        <f t="shared" si="11"/>
        <v>508167571.80000001</v>
      </c>
      <c r="AB28" s="348">
        <f t="shared" si="12"/>
        <v>1921271940</v>
      </c>
      <c r="AC28" s="1211">
        <f t="shared" ref="AC28:AC34" si="31">AB28*H28</f>
        <v>3708054844.1999998</v>
      </c>
      <c r="AD28" s="342">
        <f t="shared" ref="AD28:AD34" si="32">AA28+X28</f>
        <v>4003735841.3081594</v>
      </c>
    </row>
    <row r="29" spans="1:41" x14ac:dyDescent="0.6">
      <c r="A29" s="61">
        <f t="shared" ref="A29:A34" si="33">A28+1</f>
        <v>24</v>
      </c>
      <c r="B29" s="44" t="s">
        <v>39</v>
      </c>
      <c r="C29" s="290">
        <v>428</v>
      </c>
      <c r="D29" s="348">
        <f>C29*Assumptions!$C$19</f>
        <v>142549680</v>
      </c>
      <c r="E29" s="399">
        <f>Assumptions!$H$5</f>
        <v>0.12035</v>
      </c>
      <c r="F29" s="297">
        <v>3.7854100000000002</v>
      </c>
      <c r="G29" s="442"/>
      <c r="H29" s="1163">
        <f>Assumptions!$C$95</f>
        <v>1.93</v>
      </c>
      <c r="I29" s="448">
        <v>0.31</v>
      </c>
      <c r="J29" s="306">
        <f t="shared" si="24"/>
        <v>0.14122796898500001</v>
      </c>
      <c r="K29" s="322"/>
      <c r="L29" s="329">
        <f t="shared" si="25"/>
        <v>0</v>
      </c>
      <c r="M29" s="320">
        <f t="shared" si="26"/>
        <v>0</v>
      </c>
      <c r="N29" s="320">
        <f t="shared" si="27"/>
        <v>0</v>
      </c>
      <c r="O29" s="314">
        <f t="shared" si="15"/>
        <v>0</v>
      </c>
      <c r="P29" s="1053">
        <f t="shared" si="4"/>
        <v>0.14122796898500001</v>
      </c>
      <c r="Q29" s="1047">
        <f>P29*AB29</f>
        <v>42278069.760215335</v>
      </c>
      <c r="R29" s="310">
        <f t="shared" si="16"/>
        <v>0.14122796898500001</v>
      </c>
      <c r="S29" s="366">
        <f>R29*AB29</f>
        <v>42278069.760215335</v>
      </c>
      <c r="T29" s="336">
        <f>-'OECD Jet subsidies'!C59</f>
        <v>-291999085</v>
      </c>
      <c r="U29" s="342">
        <f t="shared" si="7"/>
        <v>-35142089.879749998</v>
      </c>
      <c r="V29" s="111">
        <f t="shared" si="28"/>
        <v>7135979.8804653361</v>
      </c>
      <c r="W29" s="320">
        <f t="shared" si="29"/>
        <v>2.0712279689850002</v>
      </c>
      <c r="X29" s="1192">
        <f t="shared" si="30"/>
        <v>260110794.30611169</v>
      </c>
      <c r="Y29" s="25">
        <v>483</v>
      </c>
      <c r="Z29" s="26">
        <f>Y29*Assumptions!$C$24</f>
        <v>156810780</v>
      </c>
      <c r="AA29" s="35">
        <f t="shared" si="11"/>
        <v>302644805.39999998</v>
      </c>
      <c r="AB29" s="348">
        <f t="shared" si="12"/>
        <v>299360460</v>
      </c>
      <c r="AC29" s="1211">
        <f t="shared" si="31"/>
        <v>577765687.79999995</v>
      </c>
      <c r="AD29" s="342">
        <f t="shared" si="32"/>
        <v>562755599.70611167</v>
      </c>
    </row>
    <row r="30" spans="1:41" x14ac:dyDescent="0.6">
      <c r="A30" s="61">
        <f t="shared" si="33"/>
        <v>25</v>
      </c>
      <c r="B30" s="44" t="s">
        <v>40</v>
      </c>
      <c r="C30" s="290">
        <v>56</v>
      </c>
      <c r="D30" s="348">
        <f>C30*Assumptions!$C$19</f>
        <v>18651360</v>
      </c>
      <c r="E30" s="399">
        <f>Assumptions!$H$6</f>
        <v>1.010632</v>
      </c>
      <c r="F30" s="297">
        <v>3.7854100000000002</v>
      </c>
      <c r="G30" s="443"/>
      <c r="H30" s="1163">
        <f>Assumptions!$C$95</f>
        <v>1.93</v>
      </c>
      <c r="I30" s="449">
        <f>(Gasoline!I30+Diesel!I30+'LPG transport'!H30)/3</f>
        <v>0.49933333333333335</v>
      </c>
      <c r="J30" s="306">
        <f t="shared" si="24"/>
        <v>1.9102778019072535</v>
      </c>
      <c r="K30" s="322"/>
      <c r="L30" s="329">
        <f t="shared" si="25"/>
        <v>0</v>
      </c>
      <c r="M30" s="320">
        <f t="shared" si="26"/>
        <v>0</v>
      </c>
      <c r="N30" s="320">
        <f t="shared" si="27"/>
        <v>0</v>
      </c>
      <c r="O30" s="314">
        <f t="shared" si="15"/>
        <v>0</v>
      </c>
      <c r="P30" s="1053">
        <f t="shared" si="4"/>
        <v>1.9102778019072535</v>
      </c>
      <c r="Q30" s="1047">
        <f t="shared" si="5"/>
        <v>35629278.983380869</v>
      </c>
      <c r="R30" s="310">
        <f t="shared" si="16"/>
        <v>1.9102778019072535</v>
      </c>
      <c r="S30" s="366">
        <f t="shared" ref="S30:S33" si="34">D30*R30</f>
        <v>35629278.983380869</v>
      </c>
      <c r="T30" s="336">
        <f>-'OECD Jet subsidies'!C63</f>
        <v>-1499133628</v>
      </c>
      <c r="U30" s="342">
        <f t="shared" si="7"/>
        <v>-1515072416.7328959</v>
      </c>
      <c r="V30" s="111">
        <f t="shared" si="28"/>
        <v>-1479443137.7495151</v>
      </c>
      <c r="W30" s="320">
        <f t="shared" si="29"/>
        <v>3.8402778019072534</v>
      </c>
      <c r="X30" s="1192">
        <f t="shared" si="30"/>
        <v>-1443446012.9495149</v>
      </c>
      <c r="Y30" s="25">
        <v>1580</v>
      </c>
      <c r="Z30" s="26">
        <f>Y30*Assumptions!$C$24</f>
        <v>512962800</v>
      </c>
      <c r="AA30" s="35">
        <f t="shared" si="11"/>
        <v>990018204</v>
      </c>
      <c r="AB30" s="348">
        <f t="shared" si="12"/>
        <v>531614160</v>
      </c>
      <c r="AC30" s="1211">
        <f t="shared" si="31"/>
        <v>1026015328.8</v>
      </c>
      <c r="AD30" s="342">
        <f t="shared" si="32"/>
        <v>-453427808.94951487</v>
      </c>
      <c r="AE30" s="10"/>
    </row>
    <row r="31" spans="1:41" x14ac:dyDescent="0.6">
      <c r="A31" s="46">
        <f t="shared" si="33"/>
        <v>26</v>
      </c>
      <c r="B31" s="44" t="s">
        <v>31</v>
      </c>
      <c r="C31" s="290">
        <v>4196</v>
      </c>
      <c r="D31" s="348">
        <f>C31*Assumptions!$C$19</f>
        <v>1397519760</v>
      </c>
      <c r="E31" s="399">
        <f>Assumptions!$H$7</f>
        <v>8.829E-3</v>
      </c>
      <c r="F31" s="297">
        <v>3.7854100000000002</v>
      </c>
      <c r="G31" s="444"/>
      <c r="H31" s="1163">
        <f>Assumptions!$C$95</f>
        <v>1.93</v>
      </c>
      <c r="I31" s="450">
        <v>26</v>
      </c>
      <c r="J31" s="306">
        <f t="shared" si="24"/>
        <v>0.8689560071400001</v>
      </c>
      <c r="K31" s="322"/>
      <c r="L31" s="329">
        <f t="shared" si="25"/>
        <v>0</v>
      </c>
      <c r="M31" s="320">
        <f t="shared" si="26"/>
        <v>0</v>
      </c>
      <c r="N31" s="320">
        <f t="shared" si="27"/>
        <v>0</v>
      </c>
      <c r="O31" s="314">
        <f t="shared" si="15"/>
        <v>0</v>
      </c>
      <c r="P31" s="1053">
        <f t="shared" si="4"/>
        <v>0.8689560071400001</v>
      </c>
      <c r="Q31" s="1047">
        <f t="shared" si="5"/>
        <v>1214383190.5488513</v>
      </c>
      <c r="R31" s="310">
        <f t="shared" si="16"/>
        <v>0.8689560071400001</v>
      </c>
      <c r="S31" s="366">
        <f t="shared" si="34"/>
        <v>1214383190.5488513</v>
      </c>
      <c r="T31" s="336">
        <f>-'OECD Jet subsidies'!C66</f>
        <v>0</v>
      </c>
      <c r="U31" s="342">
        <f t="shared" si="7"/>
        <v>0</v>
      </c>
      <c r="V31" s="111">
        <f t="shared" si="28"/>
        <v>1214383190.5488513</v>
      </c>
      <c r="W31" s="320">
        <f t="shared" si="29"/>
        <v>2.7989560071400001</v>
      </c>
      <c r="X31" s="1192">
        <f t="shared" si="30"/>
        <v>3911596327.3488512</v>
      </c>
      <c r="Y31" s="25">
        <v>6076</v>
      </c>
      <c r="Z31" s="26">
        <f>Y31*Assumptions!$C$24</f>
        <v>1972634160</v>
      </c>
      <c r="AA31" s="35">
        <f t="shared" si="11"/>
        <v>3807183928.7999997</v>
      </c>
      <c r="AB31" s="348">
        <f t="shared" si="12"/>
        <v>3370153920</v>
      </c>
      <c r="AC31" s="1211">
        <f t="shared" si="31"/>
        <v>6504397065.5999994</v>
      </c>
      <c r="AD31" s="342">
        <f t="shared" si="32"/>
        <v>7718780256.1488514</v>
      </c>
    </row>
    <row r="32" spans="1:41" x14ac:dyDescent="0.6">
      <c r="A32" s="46">
        <f t="shared" si="33"/>
        <v>27</v>
      </c>
      <c r="B32" s="44" t="s">
        <v>47</v>
      </c>
      <c r="C32" s="290">
        <v>1642</v>
      </c>
      <c r="D32" s="348">
        <f>C32*Assumptions!$C$19</f>
        <v>546884520</v>
      </c>
      <c r="E32" s="399">
        <f>Assumptions!$H$8</f>
        <v>9.3000000000000005E-4</v>
      </c>
      <c r="F32" s="297">
        <v>3.7854100000000002</v>
      </c>
      <c r="G32" s="446"/>
      <c r="H32" s="1163">
        <f>Assumptions!$C$95</f>
        <v>1.93</v>
      </c>
      <c r="I32" s="451"/>
      <c r="J32" s="306">
        <f t="shared" si="24"/>
        <v>0</v>
      </c>
      <c r="K32" s="322"/>
      <c r="L32" s="329">
        <f t="shared" si="25"/>
        <v>0</v>
      </c>
      <c r="M32" s="320">
        <f t="shared" si="26"/>
        <v>0</v>
      </c>
      <c r="N32" s="320">
        <f t="shared" si="27"/>
        <v>0</v>
      </c>
      <c r="O32" s="314">
        <f t="shared" si="15"/>
        <v>0</v>
      </c>
      <c r="P32" s="1053">
        <f t="shared" si="4"/>
        <v>0</v>
      </c>
      <c r="Q32" s="1047">
        <f t="shared" si="5"/>
        <v>0</v>
      </c>
      <c r="R32" s="310">
        <f t="shared" si="16"/>
        <v>0</v>
      </c>
      <c r="S32" s="366">
        <f t="shared" si="34"/>
        <v>0</v>
      </c>
      <c r="T32" s="336">
        <f>-'OECD Jet subsidies'!C68</f>
        <v>0</v>
      </c>
      <c r="U32" s="342">
        <f t="shared" si="7"/>
        <v>0</v>
      </c>
      <c r="V32" s="111">
        <f t="shared" si="28"/>
        <v>0</v>
      </c>
      <c r="W32" s="320">
        <f t="shared" si="29"/>
        <v>1.93</v>
      </c>
      <c r="X32" s="1192">
        <f t="shared" si="30"/>
        <v>1055487123.6</v>
      </c>
      <c r="Y32" s="25">
        <v>4146</v>
      </c>
      <c r="Z32" s="26">
        <f>Y32*Assumptions!$C$24</f>
        <v>1346040360</v>
      </c>
      <c r="AA32" s="35">
        <f t="shared" si="11"/>
        <v>2597857894.7999997</v>
      </c>
      <c r="AB32" s="348">
        <f t="shared" si="12"/>
        <v>1892924880</v>
      </c>
      <c r="AC32" s="1211">
        <f t="shared" si="31"/>
        <v>3653345018.4000001</v>
      </c>
      <c r="AD32" s="342">
        <f t="shared" si="32"/>
        <v>3653345018.3999996</v>
      </c>
    </row>
    <row r="33" spans="1:30" x14ac:dyDescent="0.6">
      <c r="A33" s="46">
        <f t="shared" si="33"/>
        <v>28</v>
      </c>
      <c r="B33" s="44" t="s">
        <v>32</v>
      </c>
      <c r="C33" s="290">
        <v>2798</v>
      </c>
      <c r="D33" s="348">
        <f>C33*Assumptions!$C$19</f>
        <v>931901880</v>
      </c>
      <c r="E33" s="399">
        <f>Assumptions!$H$9</f>
        <v>0.77382200000000001</v>
      </c>
      <c r="F33" s="297">
        <v>3.7854100000000002</v>
      </c>
      <c r="G33" s="389"/>
      <c r="H33" s="1163">
        <f>Assumptions!$C$95</f>
        <v>1.93</v>
      </c>
      <c r="I33" s="452">
        <v>0.40100000000000002</v>
      </c>
      <c r="J33" s="306">
        <f t="shared" si="24"/>
        <v>1.1746226483450202</v>
      </c>
      <c r="K33" s="322"/>
      <c r="L33" s="329">
        <f t="shared" si="25"/>
        <v>0</v>
      </c>
      <c r="M33" s="320">
        <f t="shared" si="26"/>
        <v>0</v>
      </c>
      <c r="N33" s="320">
        <f t="shared" si="27"/>
        <v>0</v>
      </c>
      <c r="O33" s="314">
        <f t="shared" si="15"/>
        <v>0</v>
      </c>
      <c r="P33" s="1053">
        <f t="shared" si="4"/>
        <v>1.1746226483450202</v>
      </c>
      <c r="Q33" s="1047">
        <f t="shared" si="5"/>
        <v>1094633054.2833033</v>
      </c>
      <c r="R33" s="310">
        <f t="shared" si="16"/>
        <v>1.1746226483450202</v>
      </c>
      <c r="S33" s="366">
        <f t="shared" si="34"/>
        <v>1094633054.2833033</v>
      </c>
      <c r="T33" s="336">
        <f>-'OECD Jet subsidies'!C70</f>
        <v>-1207909855</v>
      </c>
      <c r="U33" s="342">
        <f t="shared" si="7"/>
        <v>-934707219.81580997</v>
      </c>
      <c r="V33" s="111">
        <f t="shared" si="28"/>
        <v>159925834.4674933</v>
      </c>
      <c r="W33" s="320">
        <f t="shared" si="29"/>
        <v>3.1046226483450203</v>
      </c>
      <c r="X33" s="1192">
        <f t="shared" si="30"/>
        <v>1958496462.8674934</v>
      </c>
      <c r="Y33" s="25">
        <v>3660</v>
      </c>
      <c r="Z33" s="26">
        <f>Y33*Assumptions!$C$24</f>
        <v>1188255600</v>
      </c>
      <c r="AA33" s="35">
        <f t="shared" si="11"/>
        <v>2293333308</v>
      </c>
      <c r="AB33" s="348">
        <f t="shared" si="12"/>
        <v>2120157480</v>
      </c>
      <c r="AC33" s="1211">
        <f t="shared" si="31"/>
        <v>4091903936.4000001</v>
      </c>
      <c r="AD33" s="342">
        <f t="shared" si="32"/>
        <v>4251829770.8674936</v>
      </c>
    </row>
    <row r="34" spans="1:30" ht="15.9" thickBot="1" x14ac:dyDescent="0.65">
      <c r="A34" s="15">
        <f t="shared" si="33"/>
        <v>29</v>
      </c>
      <c r="B34" s="47" t="s">
        <v>33</v>
      </c>
      <c r="C34" s="291">
        <v>257</v>
      </c>
      <c r="D34" s="349">
        <f>C34*Assumptions!$C$19</f>
        <v>85596420</v>
      </c>
      <c r="E34" s="417">
        <f>Assumptions!$H$10</f>
        <v>0.70460400000000001</v>
      </c>
      <c r="F34" s="299">
        <v>3.7854100000000002</v>
      </c>
      <c r="G34" s="445"/>
      <c r="H34" s="1189">
        <f>Assumptions!$C$95</f>
        <v>1.93</v>
      </c>
      <c r="I34" s="453"/>
      <c r="J34" s="309">
        <f t="shared" si="24"/>
        <v>0</v>
      </c>
      <c r="K34" s="359"/>
      <c r="L34" s="334">
        <f t="shared" si="25"/>
        <v>0</v>
      </c>
      <c r="M34" s="321">
        <f t="shared" si="26"/>
        <v>0</v>
      </c>
      <c r="N34" s="321">
        <f t="shared" si="27"/>
        <v>0</v>
      </c>
      <c r="O34" s="319">
        <f t="shared" si="15"/>
        <v>0</v>
      </c>
      <c r="P34" s="1054">
        <f t="shared" si="4"/>
        <v>0</v>
      </c>
      <c r="Q34" s="1048">
        <f t="shared" si="5"/>
        <v>0</v>
      </c>
      <c r="R34" s="312">
        <f t="shared" si="16"/>
        <v>0</v>
      </c>
      <c r="S34" s="368">
        <v>0</v>
      </c>
      <c r="T34" s="340">
        <f>-'OECD Jet subsidies'!C73</f>
        <v>0</v>
      </c>
      <c r="U34" s="344">
        <f t="shared" si="7"/>
        <v>0</v>
      </c>
      <c r="V34" s="163">
        <f t="shared" si="28"/>
        <v>0</v>
      </c>
      <c r="W34" s="321">
        <f t="shared" si="29"/>
        <v>1.93</v>
      </c>
      <c r="X34" s="1194">
        <f t="shared" si="30"/>
        <v>165201090.59999999</v>
      </c>
      <c r="Y34" s="462">
        <v>791</v>
      </c>
      <c r="Z34" s="38">
        <f>Y34*Assumptions!$C$24</f>
        <v>256806060</v>
      </c>
      <c r="AA34" s="39">
        <f t="shared" si="11"/>
        <v>495635695.80000001</v>
      </c>
      <c r="AB34" s="349">
        <f t="shared" si="12"/>
        <v>342402480</v>
      </c>
      <c r="AC34" s="1212">
        <f t="shared" si="31"/>
        <v>660836786.39999998</v>
      </c>
      <c r="AD34" s="344">
        <f t="shared" si="32"/>
        <v>660836786.39999998</v>
      </c>
    </row>
    <row r="35" spans="1:30" ht="15.9" thickTop="1" x14ac:dyDescent="0.6">
      <c r="A35" s="49" t="s">
        <v>78</v>
      </c>
      <c r="B35" s="50"/>
      <c r="C35" s="290"/>
      <c r="D35" s="348"/>
      <c r="E35" s="391"/>
      <c r="F35" s="297"/>
      <c r="G35" s="295"/>
      <c r="H35" s="1190"/>
      <c r="I35" s="664"/>
      <c r="J35" s="306">
        <f t="shared" si="24"/>
        <v>0</v>
      </c>
      <c r="K35" s="322"/>
      <c r="L35" s="329"/>
      <c r="M35" s="320"/>
      <c r="N35" s="320"/>
      <c r="O35" s="314"/>
      <c r="P35" s="1053"/>
      <c r="Q35" s="1047"/>
      <c r="R35" s="310">
        <f t="shared" si="16"/>
        <v>0</v>
      </c>
      <c r="S35" s="366"/>
      <c r="T35" s="336"/>
      <c r="U35" s="342"/>
      <c r="V35" s="111"/>
      <c r="W35" s="320"/>
      <c r="X35" s="1192"/>
      <c r="Y35" s="25"/>
      <c r="Z35" s="26"/>
      <c r="AA35" s="35"/>
      <c r="AB35" s="348"/>
      <c r="AC35" s="1211"/>
      <c r="AD35" s="342"/>
    </row>
    <row r="36" spans="1:30" x14ac:dyDescent="0.6">
      <c r="A36" s="73">
        <f>A34+1</f>
        <v>30</v>
      </c>
      <c r="B36" s="50" t="s">
        <v>46</v>
      </c>
      <c r="C36" s="290">
        <v>17477</v>
      </c>
      <c r="D36" s="348">
        <f>C36*Assumptions!$C$19</f>
        <v>5820889620</v>
      </c>
      <c r="E36" s="399">
        <f>Assumptions!$H$11</f>
        <v>0.152529</v>
      </c>
      <c r="F36" s="297">
        <v>3.7854100000000002</v>
      </c>
      <c r="G36" s="295"/>
      <c r="H36" s="1163">
        <f>Assumptions!$C$95</f>
        <v>1.93</v>
      </c>
      <c r="I36" s="969">
        <v>1.2</v>
      </c>
      <c r="J36" s="306">
        <f t="shared" si="24"/>
        <v>0.692861762268</v>
      </c>
      <c r="K36" s="322"/>
      <c r="L36" s="329">
        <f t="shared" ref="L36:L39" si="35">K36*H36</f>
        <v>0</v>
      </c>
      <c r="M36" s="320">
        <f t="shared" ref="M36:M40" si="36">K36*J36</f>
        <v>0</v>
      </c>
      <c r="N36" s="320">
        <f t="shared" ref="N36:N39" si="37">M36+L36</f>
        <v>0</v>
      </c>
      <c r="O36" s="314">
        <f t="shared" si="15"/>
        <v>0</v>
      </c>
      <c r="P36" s="1053">
        <f t="shared" si="4"/>
        <v>0.692861762268</v>
      </c>
      <c r="Q36" s="1047">
        <f t="shared" si="5"/>
        <v>4033071840.080709</v>
      </c>
      <c r="R36" s="310">
        <f t="shared" si="16"/>
        <v>0.692861762268</v>
      </c>
      <c r="S36" s="366">
        <f>D36*R36</f>
        <v>4033071840.080709</v>
      </c>
      <c r="T36" s="336">
        <f>-'OECD Jet subsidies'!C75</f>
        <v>-15149400000</v>
      </c>
      <c r="U36" s="342">
        <f t="shared" si="7"/>
        <v>-2310722832.5999999</v>
      </c>
      <c r="V36" s="111">
        <f>S36+U36</f>
        <v>1722349007.4807091</v>
      </c>
      <c r="W36" s="320">
        <f>(H36+J36)*(1+K36)</f>
        <v>2.6228617622680002</v>
      </c>
      <c r="X36" s="1192">
        <f>W36*D36+U36</f>
        <v>12956665974.080709</v>
      </c>
      <c r="Y36" s="25">
        <v>7572</v>
      </c>
      <c r="Z36" s="26">
        <f>Y36*Assumptions!$C$24</f>
        <v>2458325520</v>
      </c>
      <c r="AA36" s="35">
        <f t="shared" si="11"/>
        <v>4744568253.5999994</v>
      </c>
      <c r="AB36" s="348">
        <f t="shared" si="12"/>
        <v>8279215140</v>
      </c>
      <c r="AC36" s="1211">
        <f>AB36*H36</f>
        <v>15978885220.199999</v>
      </c>
      <c r="AD36" s="342">
        <f>AA36+X36</f>
        <v>17701234227.68071</v>
      </c>
    </row>
    <row r="37" spans="1:30" x14ac:dyDescent="0.6">
      <c r="A37" s="46">
        <f>A36+1</f>
        <v>31</v>
      </c>
      <c r="B37" s="50" t="s">
        <v>49</v>
      </c>
      <c r="C37" s="290">
        <v>1879</v>
      </c>
      <c r="D37" s="348">
        <f>C37*Assumptions!$C$19</f>
        <v>625819740</v>
      </c>
      <c r="E37" s="399">
        <f>Assumptions!$H$12</f>
        <v>1.5587E-2</v>
      </c>
      <c r="F37" s="297">
        <v>3.7854100000000002</v>
      </c>
      <c r="G37" s="295"/>
      <c r="H37" s="1163">
        <f>Assumptions!$C$95</f>
        <v>1.93</v>
      </c>
      <c r="I37" s="969"/>
      <c r="J37" s="306">
        <f t="shared" si="24"/>
        <v>0</v>
      </c>
      <c r="K37" s="322"/>
      <c r="L37" s="329">
        <f t="shared" si="35"/>
        <v>0</v>
      </c>
      <c r="M37" s="320">
        <f t="shared" si="36"/>
        <v>0</v>
      </c>
      <c r="N37" s="320">
        <f t="shared" si="37"/>
        <v>0</v>
      </c>
      <c r="O37" s="314">
        <f t="shared" si="15"/>
        <v>0</v>
      </c>
      <c r="P37" s="1053">
        <f t="shared" si="4"/>
        <v>0</v>
      </c>
      <c r="Q37" s="1047">
        <f t="shared" si="5"/>
        <v>0</v>
      </c>
      <c r="R37" s="310">
        <f t="shared" si="16"/>
        <v>0</v>
      </c>
      <c r="S37" s="366">
        <f>D37*R37</f>
        <v>0</v>
      </c>
      <c r="T37" s="336">
        <f>-'OECD Jet subsidies'!C78</f>
        <v>0</v>
      </c>
      <c r="U37" s="342">
        <f t="shared" si="7"/>
        <v>0</v>
      </c>
      <c r="V37" s="111">
        <f>S37+U37</f>
        <v>0</v>
      </c>
      <c r="W37" s="320">
        <f>(H37+J37)*(1+K37)</f>
        <v>1.93</v>
      </c>
      <c r="X37" s="1192">
        <f>W37*D37+U37</f>
        <v>1207832098.2</v>
      </c>
      <c r="Y37" s="25">
        <v>4383</v>
      </c>
      <c r="Z37" s="26">
        <f>Y37*Assumptions!$C$24</f>
        <v>1422984780</v>
      </c>
      <c r="AA37" s="35">
        <f t="shared" si="11"/>
        <v>2746360625.4000001</v>
      </c>
      <c r="AB37" s="348">
        <f t="shared" si="12"/>
        <v>2048804520</v>
      </c>
      <c r="AC37" s="1211">
        <f>AB37*H37</f>
        <v>3954192723.5999999</v>
      </c>
      <c r="AD37" s="342">
        <f>AA37+X37</f>
        <v>3954192723.6000004</v>
      </c>
    </row>
    <row r="38" spans="1:30" x14ac:dyDescent="0.6">
      <c r="A38" s="46">
        <f>A37+1</f>
        <v>32</v>
      </c>
      <c r="B38" s="44" t="s">
        <v>50</v>
      </c>
      <c r="C38" s="290">
        <v>3470</v>
      </c>
      <c r="D38" s="348">
        <f>C38*Assumptions!$C$19</f>
        <v>1155718200</v>
      </c>
      <c r="E38" s="399">
        <f>Assumptions!$H$13</f>
        <v>0.30204900000000001</v>
      </c>
      <c r="F38" s="297">
        <v>3.7854100000000002</v>
      </c>
      <c r="G38" s="293"/>
      <c r="H38" s="1163">
        <f>Assumptions!$C$95</f>
        <v>1.93</v>
      </c>
      <c r="I38" s="969">
        <v>0.01</v>
      </c>
      <c r="J38" s="842">
        <f t="shared" si="24"/>
        <v>1.1433793050900001E-2</v>
      </c>
      <c r="K38" s="322"/>
      <c r="L38" s="329">
        <f t="shared" si="35"/>
        <v>0</v>
      </c>
      <c r="M38" s="320">
        <f t="shared" si="36"/>
        <v>0</v>
      </c>
      <c r="N38" s="320">
        <f t="shared" si="37"/>
        <v>0</v>
      </c>
      <c r="O38" s="314">
        <f t="shared" si="15"/>
        <v>0</v>
      </c>
      <c r="P38" s="1053">
        <f t="shared" si="4"/>
        <v>1.1433793050900001E-2</v>
      </c>
      <c r="Q38" s="1047">
        <f t="shared" si="5"/>
        <v>13214242.723958656</v>
      </c>
      <c r="R38" s="310">
        <f t="shared" si="16"/>
        <v>1.1433793050900001E-2</v>
      </c>
      <c r="S38" s="366">
        <f>D38*R38</f>
        <v>13214242.723958656</v>
      </c>
      <c r="T38" s="336">
        <f>-'OECD Jet subsidies'!C80</f>
        <v>-888692671</v>
      </c>
      <c r="U38" s="342">
        <f t="shared" si="7"/>
        <v>-268428732.58287901</v>
      </c>
      <c r="V38" s="111">
        <f>S38+U38</f>
        <v>-255214489.85892034</v>
      </c>
      <c r="W38" s="320">
        <f>(H38+J38)*(1+K38)</f>
        <v>1.9414337930509</v>
      </c>
      <c r="X38" s="1192">
        <f>W38*D38+U38</f>
        <v>1975321636.1410794</v>
      </c>
      <c r="Y38" s="25">
        <v>2338</v>
      </c>
      <c r="Z38" s="26">
        <f>Y38*Assumptions!$C$24</f>
        <v>759055080</v>
      </c>
      <c r="AA38" s="35">
        <f t="shared" si="11"/>
        <v>1464976304.3999999</v>
      </c>
      <c r="AB38" s="348">
        <f t="shared" si="12"/>
        <v>1914773280</v>
      </c>
      <c r="AC38" s="1211">
        <f>AB38*H38</f>
        <v>3695512430.4000001</v>
      </c>
      <c r="AD38" s="342">
        <f>AA38+X38</f>
        <v>3440297940.5410795</v>
      </c>
    </row>
    <row r="39" spans="1:30" ht="15.9" thickBot="1" x14ac:dyDescent="0.65">
      <c r="A39" s="15">
        <f>A38+1</f>
        <v>33</v>
      </c>
      <c r="B39" s="47" t="s">
        <v>51</v>
      </c>
      <c r="C39" s="291">
        <v>4934</v>
      </c>
      <c r="D39" s="349">
        <f>C39*Assumptions!$C$19</f>
        <v>1643318040</v>
      </c>
      <c r="E39" s="417">
        <f>Assumptions!$H$14</f>
        <v>1.7344999999999999E-2</v>
      </c>
      <c r="F39" s="299">
        <v>3.7854100000000002</v>
      </c>
      <c r="G39" s="296"/>
      <c r="H39" s="1189">
        <f>Assumptions!$C$95</f>
        <v>1.93</v>
      </c>
      <c r="I39" s="1311">
        <v>1.87</v>
      </c>
      <c r="J39" s="309">
        <f t="shared" si="24"/>
        <v>0.12278034116150002</v>
      </c>
      <c r="K39" s="359"/>
      <c r="L39" s="334">
        <f t="shared" si="35"/>
        <v>0</v>
      </c>
      <c r="M39" s="321">
        <f t="shared" si="36"/>
        <v>0</v>
      </c>
      <c r="N39" s="321">
        <f t="shared" si="37"/>
        <v>0</v>
      </c>
      <c r="O39" s="319">
        <f t="shared" si="15"/>
        <v>0</v>
      </c>
      <c r="P39" s="1054">
        <f t="shared" si="4"/>
        <v>0.12278034116150002</v>
      </c>
      <c r="Q39" s="1048">
        <f t="shared" si="5"/>
        <v>201767149.58804753</v>
      </c>
      <c r="R39" s="312">
        <f t="shared" si="16"/>
        <v>0.12278034116150002</v>
      </c>
      <c r="S39" s="368">
        <f>D39*R39</f>
        <v>201767149.58804753</v>
      </c>
      <c r="T39" s="340">
        <f>-'OECD Jet subsidies'!C82</f>
        <v>-25764000000</v>
      </c>
      <c r="U39" s="344">
        <f t="shared" si="7"/>
        <v>-446876580</v>
      </c>
      <c r="V39" s="163">
        <f>S39+U39</f>
        <v>-245109430.41195247</v>
      </c>
      <c r="W39" s="321">
        <f>(H39+J39)*(1+K39)</f>
        <v>2.0527803411614998</v>
      </c>
      <c r="X39" s="1194">
        <f>W39*D39+U39</f>
        <v>2926494386.7880473</v>
      </c>
      <c r="Y39" s="462">
        <v>4933</v>
      </c>
      <c r="Z39" s="38">
        <f>Y39*Assumptions!$C$24</f>
        <v>1601547780</v>
      </c>
      <c r="AA39" s="39">
        <f t="shared" si="11"/>
        <v>3090987215.4000001</v>
      </c>
      <c r="AB39" s="349">
        <f t="shared" si="12"/>
        <v>3244865820</v>
      </c>
      <c r="AC39" s="1212">
        <f>AB39*H39</f>
        <v>6262591032.5999994</v>
      </c>
      <c r="AD39" s="344">
        <f>AA39+X39</f>
        <v>6017481602.1880474</v>
      </c>
    </row>
    <row r="40" spans="1:30" ht="15.9" thickTop="1" x14ac:dyDescent="0.6">
      <c r="A40" s="48" t="s">
        <v>52</v>
      </c>
      <c r="B40" s="44"/>
      <c r="C40" s="290"/>
      <c r="D40" s="348"/>
      <c r="E40" s="391"/>
      <c r="F40" s="297"/>
      <c r="G40" s="293"/>
      <c r="H40" s="1191"/>
      <c r="I40" s="393"/>
      <c r="J40" s="394"/>
      <c r="K40" s="322"/>
      <c r="L40" s="329"/>
      <c r="M40" s="320">
        <f t="shared" si="36"/>
        <v>0</v>
      </c>
      <c r="N40" s="320"/>
      <c r="O40" s="314"/>
      <c r="P40" s="1046"/>
      <c r="Q40" s="1047">
        <f t="shared" si="5"/>
        <v>0</v>
      </c>
      <c r="R40" s="395">
        <f t="shared" si="16"/>
        <v>0</v>
      </c>
      <c r="S40" s="396"/>
      <c r="T40" s="542"/>
      <c r="U40" s="543"/>
      <c r="V40" s="573"/>
      <c r="W40" s="571"/>
      <c r="X40" s="1195"/>
      <c r="Y40" s="587"/>
      <c r="Z40" s="588"/>
      <c r="AA40" s="589"/>
      <c r="AB40" s="348"/>
      <c r="AC40" s="1211"/>
      <c r="AD40" s="548"/>
    </row>
    <row r="41" spans="1:30" x14ac:dyDescent="0.6">
      <c r="A41" s="46">
        <f>A39+1</f>
        <v>34</v>
      </c>
      <c r="B41" s="44" t="s">
        <v>48</v>
      </c>
      <c r="C41" s="290">
        <v>0</v>
      </c>
      <c r="D41" s="348">
        <f>C41*Assumptions!$C$19</f>
        <v>0</v>
      </c>
      <c r="E41" s="399"/>
      <c r="F41" s="297"/>
      <c r="G41" s="540"/>
      <c r="H41" s="1163">
        <f>Assumptions!$C$95</f>
        <v>1.93</v>
      </c>
      <c r="I41" s="382"/>
      <c r="J41" s="394"/>
      <c r="K41" s="322"/>
      <c r="L41" s="329"/>
      <c r="M41" s="320"/>
      <c r="N41" s="320"/>
      <c r="O41" s="314"/>
      <c r="P41" s="1046"/>
      <c r="Q41" s="1047">
        <f t="shared" si="5"/>
        <v>0</v>
      </c>
      <c r="R41" s="395"/>
      <c r="S41" s="396">
        <f t="shared" ref="S41:S65" si="38">D41*R41</f>
        <v>0</v>
      </c>
      <c r="T41" s="336"/>
      <c r="U41" s="342"/>
      <c r="V41" s="574"/>
      <c r="W41" s="363">
        <f>Assumptions!$C$95</f>
        <v>1.93</v>
      </c>
      <c r="X41" s="1192">
        <f>W41*D41+U41</f>
        <v>0</v>
      </c>
      <c r="Y41" s="25">
        <v>3228</v>
      </c>
      <c r="Z41" s="26">
        <f>Y41*Assumptions!$C$24</f>
        <v>1048002480</v>
      </c>
      <c r="AA41" s="35">
        <f t="shared" si="11"/>
        <v>2022644786.3999999</v>
      </c>
      <c r="AB41" s="348">
        <f t="shared" si="12"/>
        <v>1048002480</v>
      </c>
      <c r="AC41" s="1211">
        <f t="shared" ref="AC41:AC65" si="39">AB41*H41</f>
        <v>2022644786.3999999</v>
      </c>
      <c r="AD41" s="342">
        <f t="shared" ref="AD41:AD65" si="40">AA41+X41</f>
        <v>2022644786.3999999</v>
      </c>
    </row>
    <row r="42" spans="1:30" x14ac:dyDescent="0.6">
      <c r="A42" s="46">
        <f>A41+1</f>
        <v>35</v>
      </c>
      <c r="B42" s="44" t="s">
        <v>53</v>
      </c>
      <c r="C42" s="290">
        <v>128</v>
      </c>
      <c r="D42" s="348">
        <f>C42*Assumptions!$C$19</f>
        <v>42631680</v>
      </c>
      <c r="E42" s="391"/>
      <c r="F42" s="297"/>
      <c r="G42" s="540"/>
      <c r="H42" s="1163">
        <f>Assumptions!$C$95</f>
        <v>1.93</v>
      </c>
      <c r="I42" s="382"/>
      <c r="J42" s="394"/>
      <c r="K42" s="322"/>
      <c r="L42" s="329"/>
      <c r="M42" s="320"/>
      <c r="N42" s="320"/>
      <c r="O42" s="314"/>
      <c r="P42" s="1046"/>
      <c r="Q42" s="1047">
        <f t="shared" si="5"/>
        <v>0</v>
      </c>
      <c r="R42" s="395"/>
      <c r="S42" s="394">
        <f t="shared" si="38"/>
        <v>0</v>
      </c>
      <c r="T42" s="336"/>
      <c r="U42" s="342"/>
      <c r="V42" s="574"/>
      <c r="W42" s="363">
        <f>Assumptions!$C$95</f>
        <v>1.93</v>
      </c>
      <c r="X42" s="1192">
        <f t="shared" ref="X42:X65" si="41">W42*D42+U42</f>
        <v>82279142.399999991</v>
      </c>
      <c r="Y42" s="25">
        <v>454</v>
      </c>
      <c r="Z42" s="26">
        <f>Y42*Assumptions!$C$24</f>
        <v>147395640</v>
      </c>
      <c r="AA42" s="35">
        <f t="shared" si="11"/>
        <v>284473585.19999999</v>
      </c>
      <c r="AB42" s="348">
        <f t="shared" si="12"/>
        <v>190027320</v>
      </c>
      <c r="AC42" s="1211">
        <f t="shared" si="39"/>
        <v>366752727.59999996</v>
      </c>
      <c r="AD42" s="342">
        <f t="shared" si="40"/>
        <v>366752727.59999996</v>
      </c>
    </row>
    <row r="43" spans="1:30" x14ac:dyDescent="0.6">
      <c r="A43" s="46">
        <f t="shared" ref="A43:A65" si="42">A42+1</f>
        <v>36</v>
      </c>
      <c r="B43" s="44" t="s">
        <v>54</v>
      </c>
      <c r="C43" s="290">
        <v>235</v>
      </c>
      <c r="D43" s="348">
        <f>C43*Assumptions!$C$19</f>
        <v>78269100</v>
      </c>
      <c r="E43" s="391"/>
      <c r="F43" s="297"/>
      <c r="G43" s="540"/>
      <c r="H43" s="1163">
        <f>Assumptions!$C$95</f>
        <v>1.93</v>
      </c>
      <c r="I43" s="382"/>
      <c r="J43" s="394"/>
      <c r="K43" s="322"/>
      <c r="L43" s="329"/>
      <c r="M43" s="320"/>
      <c r="N43" s="320"/>
      <c r="O43" s="314"/>
      <c r="P43" s="1046"/>
      <c r="Q43" s="1047">
        <f t="shared" si="5"/>
        <v>0</v>
      </c>
      <c r="R43" s="395"/>
      <c r="S43" s="396">
        <f t="shared" si="38"/>
        <v>0</v>
      </c>
      <c r="T43" s="336"/>
      <c r="U43" s="342"/>
      <c r="V43" s="574"/>
      <c r="W43" s="363">
        <f>Assumptions!$C$95</f>
        <v>1.93</v>
      </c>
      <c r="X43" s="1192">
        <f t="shared" si="41"/>
        <v>151059363</v>
      </c>
      <c r="Y43" s="25">
        <v>213</v>
      </c>
      <c r="Z43" s="26">
        <f>Y43*Assumptions!$C$24</f>
        <v>69152580</v>
      </c>
      <c r="AA43" s="35">
        <f t="shared" si="11"/>
        <v>133464479.39999999</v>
      </c>
      <c r="AB43" s="348">
        <f t="shared" si="12"/>
        <v>147421680</v>
      </c>
      <c r="AC43" s="1211">
        <f t="shared" si="39"/>
        <v>284523842.39999998</v>
      </c>
      <c r="AD43" s="342">
        <f t="shared" si="40"/>
        <v>284523842.39999998</v>
      </c>
    </row>
    <row r="44" spans="1:30" x14ac:dyDescent="0.6">
      <c r="A44" s="46">
        <f t="shared" si="42"/>
        <v>37</v>
      </c>
      <c r="B44" s="44" t="s">
        <v>55</v>
      </c>
      <c r="C44" s="290">
        <v>195</v>
      </c>
      <c r="D44" s="348">
        <f>C44*Assumptions!$C$19</f>
        <v>64946700</v>
      </c>
      <c r="E44" s="391"/>
      <c r="F44" s="297"/>
      <c r="G44" s="540"/>
      <c r="H44" s="1163">
        <f>Assumptions!$C$95</f>
        <v>1.93</v>
      </c>
      <c r="I44" s="382"/>
      <c r="J44" s="400"/>
      <c r="K44" s="322"/>
      <c r="L44" s="329"/>
      <c r="M44" s="320"/>
      <c r="N44" s="320"/>
      <c r="O44" s="314"/>
      <c r="P44" s="1046"/>
      <c r="Q44" s="1047">
        <f t="shared" si="5"/>
        <v>0</v>
      </c>
      <c r="R44" s="401"/>
      <c r="S44" s="396">
        <f t="shared" si="38"/>
        <v>0</v>
      </c>
      <c r="T44" s="336"/>
      <c r="U44" s="342"/>
      <c r="V44" s="574"/>
      <c r="W44" s="363">
        <f>Assumptions!$C$95</f>
        <v>1.93</v>
      </c>
      <c r="X44" s="1192">
        <f t="shared" si="41"/>
        <v>125347131</v>
      </c>
      <c r="Y44" s="25">
        <v>265</v>
      </c>
      <c r="Z44" s="26">
        <f>Y44*Assumptions!$C$24</f>
        <v>86034900</v>
      </c>
      <c r="AA44" s="35">
        <f t="shared" si="11"/>
        <v>166047357</v>
      </c>
      <c r="AB44" s="348">
        <f t="shared" si="12"/>
        <v>150981600</v>
      </c>
      <c r="AC44" s="1211">
        <f t="shared" si="39"/>
        <v>291394488</v>
      </c>
      <c r="AD44" s="342">
        <f t="shared" si="40"/>
        <v>291394488</v>
      </c>
    </row>
    <row r="45" spans="1:30" x14ac:dyDescent="0.6">
      <c r="A45" s="46">
        <f t="shared" si="42"/>
        <v>38</v>
      </c>
      <c r="B45" s="44" t="s">
        <v>56</v>
      </c>
      <c r="C45" s="290">
        <v>33</v>
      </c>
      <c r="D45" s="348">
        <f>C45*Assumptions!$C$19</f>
        <v>10990980</v>
      </c>
      <c r="E45" s="391"/>
      <c r="F45" s="297"/>
      <c r="G45" s="540"/>
      <c r="H45" s="1163">
        <f>Assumptions!$C$95</f>
        <v>1.93</v>
      </c>
      <c r="I45" s="382"/>
      <c r="J45" s="400"/>
      <c r="K45" s="322"/>
      <c r="L45" s="329"/>
      <c r="M45" s="320"/>
      <c r="N45" s="320"/>
      <c r="O45" s="314"/>
      <c r="P45" s="1046"/>
      <c r="Q45" s="1047">
        <f t="shared" si="5"/>
        <v>0</v>
      </c>
      <c r="R45" s="401"/>
      <c r="S45" s="396">
        <f t="shared" si="38"/>
        <v>0</v>
      </c>
      <c r="T45" s="336"/>
      <c r="U45" s="342"/>
      <c r="V45" s="574"/>
      <c r="W45" s="363">
        <f>Assumptions!$C$95</f>
        <v>1.93</v>
      </c>
      <c r="X45" s="1192">
        <f t="shared" si="41"/>
        <v>21212591.399999999</v>
      </c>
      <c r="Y45" s="25">
        <v>427</v>
      </c>
      <c r="Z45" s="26">
        <f>Y45*Assumptions!$C$24</f>
        <v>138629820</v>
      </c>
      <c r="AA45" s="35">
        <f t="shared" si="11"/>
        <v>267555552.59999999</v>
      </c>
      <c r="AB45" s="348">
        <f t="shared" si="12"/>
        <v>149620800</v>
      </c>
      <c r="AC45" s="1211">
        <f t="shared" si="39"/>
        <v>288768144</v>
      </c>
      <c r="AD45" s="342">
        <f t="shared" si="40"/>
        <v>288768144</v>
      </c>
    </row>
    <row r="46" spans="1:30" x14ac:dyDescent="0.6">
      <c r="A46" s="46">
        <f t="shared" si="42"/>
        <v>39</v>
      </c>
      <c r="B46" s="44" t="s">
        <v>57</v>
      </c>
      <c r="C46" s="290">
        <v>0</v>
      </c>
      <c r="D46" s="348">
        <f>C46*Assumptions!$C$19</f>
        <v>0</v>
      </c>
      <c r="E46" s="391"/>
      <c r="F46" s="297"/>
      <c r="G46" s="540"/>
      <c r="H46" s="1163">
        <f>Assumptions!$C$95</f>
        <v>1.93</v>
      </c>
      <c r="I46" s="382"/>
      <c r="J46" s="400"/>
      <c r="K46" s="323"/>
      <c r="L46" s="329"/>
      <c r="M46" s="324"/>
      <c r="N46" s="324"/>
      <c r="O46" s="314"/>
      <c r="P46" s="1046"/>
      <c r="Q46" s="1047">
        <f t="shared" si="5"/>
        <v>0</v>
      </c>
      <c r="R46" s="401"/>
      <c r="S46" s="396">
        <f t="shared" si="38"/>
        <v>0</v>
      </c>
      <c r="T46" s="336"/>
      <c r="U46" s="342"/>
      <c r="V46" s="574"/>
      <c r="W46" s="363">
        <f>Assumptions!$C$95</f>
        <v>1.93</v>
      </c>
      <c r="X46" s="1192">
        <f t="shared" si="41"/>
        <v>0</v>
      </c>
      <c r="Y46" s="25">
        <v>82</v>
      </c>
      <c r="Z46" s="26">
        <f>Y46*Assumptions!$C$24</f>
        <v>26622120</v>
      </c>
      <c r="AA46" s="35">
        <f t="shared" si="11"/>
        <v>51380691.600000001</v>
      </c>
      <c r="AB46" s="348">
        <f t="shared" si="12"/>
        <v>26622120</v>
      </c>
      <c r="AC46" s="1211">
        <f t="shared" si="39"/>
        <v>51380691.600000001</v>
      </c>
      <c r="AD46" s="342">
        <f t="shared" si="40"/>
        <v>51380691.600000001</v>
      </c>
    </row>
    <row r="47" spans="1:30" x14ac:dyDescent="0.6">
      <c r="A47" s="46">
        <f t="shared" si="42"/>
        <v>40</v>
      </c>
      <c r="B47" s="44" t="s">
        <v>58</v>
      </c>
      <c r="C47" s="290">
        <v>0</v>
      </c>
      <c r="D47" s="348">
        <f>C47*Assumptions!$C$19</f>
        <v>0</v>
      </c>
      <c r="E47" s="391"/>
      <c r="F47" s="297"/>
      <c r="G47" s="540"/>
      <c r="H47" s="1163">
        <f>Assumptions!$C$95</f>
        <v>1.93</v>
      </c>
      <c r="I47" s="382"/>
      <c r="J47" s="392"/>
      <c r="K47" s="325"/>
      <c r="L47" s="329"/>
      <c r="M47" s="281"/>
      <c r="N47" s="281"/>
      <c r="O47" s="314"/>
      <c r="P47" s="1046"/>
      <c r="Q47" s="1047">
        <f t="shared" si="5"/>
        <v>0</v>
      </c>
      <c r="R47" s="402"/>
      <c r="S47" s="403">
        <f t="shared" si="38"/>
        <v>0</v>
      </c>
      <c r="T47" s="336"/>
      <c r="U47" s="342"/>
      <c r="V47" s="574"/>
      <c r="W47" s="363">
        <f>Assumptions!$C$95</f>
        <v>1.93</v>
      </c>
      <c r="X47" s="1192">
        <f t="shared" si="41"/>
        <v>0</v>
      </c>
      <c r="Y47" s="25">
        <v>364</v>
      </c>
      <c r="Z47" s="26">
        <f>Y47*Assumptions!$C$24</f>
        <v>118176240</v>
      </c>
      <c r="AA47" s="35">
        <f t="shared" si="11"/>
        <v>228080143.19999999</v>
      </c>
      <c r="AB47" s="348">
        <f t="shared" si="12"/>
        <v>118176240</v>
      </c>
      <c r="AC47" s="1211">
        <f t="shared" si="39"/>
        <v>228080143.19999999</v>
      </c>
      <c r="AD47" s="342">
        <f t="shared" si="40"/>
        <v>228080143.19999999</v>
      </c>
    </row>
    <row r="48" spans="1:30" x14ac:dyDescent="0.6">
      <c r="A48" s="46">
        <f t="shared" si="42"/>
        <v>41</v>
      </c>
      <c r="B48" s="44" t="s">
        <v>59</v>
      </c>
      <c r="C48" s="290">
        <v>570</v>
      </c>
      <c r="D48" s="348">
        <f>C48*Assumptions!$C$19</f>
        <v>189844200</v>
      </c>
      <c r="E48" s="391"/>
      <c r="F48" s="297"/>
      <c r="G48" s="540"/>
      <c r="H48" s="1163">
        <f>Assumptions!$C$95</f>
        <v>1.93</v>
      </c>
      <c r="I48" s="382"/>
      <c r="J48" s="392"/>
      <c r="K48" s="325"/>
      <c r="L48" s="329"/>
      <c r="M48" s="281"/>
      <c r="N48" s="281"/>
      <c r="O48" s="314"/>
      <c r="P48" s="1046"/>
      <c r="Q48" s="1047">
        <f t="shared" si="5"/>
        <v>0</v>
      </c>
      <c r="R48" s="402"/>
      <c r="S48" s="396">
        <f t="shared" si="38"/>
        <v>0</v>
      </c>
      <c r="T48" s="336"/>
      <c r="U48" s="342"/>
      <c r="V48" s="574"/>
      <c r="W48" s="363">
        <f>Assumptions!$C$95</f>
        <v>1.93</v>
      </c>
      <c r="X48" s="1192">
        <f t="shared" si="41"/>
        <v>366399306</v>
      </c>
      <c r="Y48" s="25">
        <v>506</v>
      </c>
      <c r="Z48" s="26">
        <f>Y48*Assumptions!$C$24</f>
        <v>164277960</v>
      </c>
      <c r="AA48" s="35">
        <f t="shared" si="11"/>
        <v>317056462.80000001</v>
      </c>
      <c r="AB48" s="348">
        <f t="shared" si="12"/>
        <v>354122160</v>
      </c>
      <c r="AC48" s="1211">
        <f t="shared" si="39"/>
        <v>683455768.79999995</v>
      </c>
      <c r="AD48" s="342">
        <f t="shared" si="40"/>
        <v>683455768.79999995</v>
      </c>
    </row>
    <row r="49" spans="1:30" x14ac:dyDescent="0.6">
      <c r="A49" s="46">
        <f t="shared" si="42"/>
        <v>42</v>
      </c>
      <c r="B49" s="44" t="s">
        <v>60</v>
      </c>
      <c r="C49" s="290">
        <v>0</v>
      </c>
      <c r="D49" s="348">
        <f>C49*Assumptions!$C$19</f>
        <v>0</v>
      </c>
      <c r="E49" s="391"/>
      <c r="F49" s="297"/>
      <c r="G49" s="540"/>
      <c r="H49" s="1163">
        <f>Assumptions!$C$95</f>
        <v>1.93</v>
      </c>
      <c r="I49" s="382"/>
      <c r="J49" s="392"/>
      <c r="K49" s="325"/>
      <c r="L49" s="329"/>
      <c r="M49" s="281"/>
      <c r="N49" s="281"/>
      <c r="O49" s="314"/>
      <c r="P49" s="1046"/>
      <c r="Q49" s="1047">
        <f t="shared" si="5"/>
        <v>0</v>
      </c>
      <c r="R49" s="402"/>
      <c r="S49" s="396">
        <f t="shared" si="38"/>
        <v>0</v>
      </c>
      <c r="T49" s="336"/>
      <c r="U49" s="342"/>
      <c r="V49" s="574"/>
      <c r="W49" s="363">
        <f>Assumptions!$C$95</f>
        <v>1.93</v>
      </c>
      <c r="X49" s="1192">
        <f t="shared" si="41"/>
        <v>0</v>
      </c>
      <c r="Y49" s="25">
        <v>46</v>
      </c>
      <c r="Z49" s="26">
        <f>Y49*Assumptions!$C$24</f>
        <v>14934360</v>
      </c>
      <c r="AA49" s="35">
        <f t="shared" si="11"/>
        <v>28823314.800000001</v>
      </c>
      <c r="AB49" s="348">
        <f t="shared" si="12"/>
        <v>14934360</v>
      </c>
      <c r="AC49" s="1211">
        <f t="shared" si="39"/>
        <v>28823314.800000001</v>
      </c>
      <c r="AD49" s="342">
        <f t="shared" si="40"/>
        <v>28823314.800000001</v>
      </c>
    </row>
    <row r="50" spans="1:30" x14ac:dyDescent="0.6">
      <c r="A50" s="46">
        <f t="shared" si="42"/>
        <v>43</v>
      </c>
      <c r="B50" s="44" t="s">
        <v>61</v>
      </c>
      <c r="C50" s="290">
        <v>2605</v>
      </c>
      <c r="D50" s="348">
        <f>C50*Assumptions!$C$19</f>
        <v>867621300</v>
      </c>
      <c r="E50" s="398"/>
      <c r="F50" s="297"/>
      <c r="G50" s="540"/>
      <c r="H50" s="1163">
        <f>Assumptions!$C$95</f>
        <v>1.93</v>
      </c>
      <c r="I50" s="382"/>
      <c r="J50" s="400"/>
      <c r="K50" s="322"/>
      <c r="L50" s="329"/>
      <c r="M50" s="320"/>
      <c r="N50" s="320"/>
      <c r="O50" s="314"/>
      <c r="P50" s="1046"/>
      <c r="Q50" s="1047">
        <f t="shared" si="5"/>
        <v>0</v>
      </c>
      <c r="R50" s="401"/>
      <c r="S50" s="396">
        <f t="shared" si="38"/>
        <v>0</v>
      </c>
      <c r="T50" s="336"/>
      <c r="U50" s="342"/>
      <c r="V50" s="574"/>
      <c r="W50" s="363">
        <f>Assumptions!$C$95</f>
        <v>1.93</v>
      </c>
      <c r="X50" s="1192">
        <f t="shared" si="41"/>
        <v>1674509109</v>
      </c>
      <c r="Y50" s="25">
        <v>835</v>
      </c>
      <c r="Z50" s="26">
        <f>Y50*Assumptions!$C$24</f>
        <v>271091100</v>
      </c>
      <c r="AA50" s="35">
        <f t="shared" si="11"/>
        <v>523205823</v>
      </c>
      <c r="AB50" s="348">
        <f t="shared" si="12"/>
        <v>1138712400</v>
      </c>
      <c r="AC50" s="1211">
        <f t="shared" si="39"/>
        <v>2197714932</v>
      </c>
      <c r="AD50" s="342">
        <f t="shared" si="40"/>
        <v>2197714932</v>
      </c>
    </row>
    <row r="51" spans="1:30" x14ac:dyDescent="0.6">
      <c r="A51" s="46">
        <f t="shared" si="42"/>
        <v>44</v>
      </c>
      <c r="B51" s="44" t="s">
        <v>62</v>
      </c>
      <c r="C51" s="290">
        <v>0</v>
      </c>
      <c r="D51" s="348">
        <f>C51*Assumptions!$C$19</f>
        <v>0</v>
      </c>
      <c r="E51" s="391"/>
      <c r="F51" s="297"/>
      <c r="G51" s="540"/>
      <c r="H51" s="1163">
        <f>Assumptions!$C$95</f>
        <v>1.93</v>
      </c>
      <c r="I51" s="382"/>
      <c r="J51" s="392"/>
      <c r="K51" s="322"/>
      <c r="L51" s="329"/>
      <c r="M51" s="320"/>
      <c r="N51" s="320"/>
      <c r="O51" s="314"/>
      <c r="P51" s="1046"/>
      <c r="Q51" s="1047">
        <f t="shared" si="5"/>
        <v>0</v>
      </c>
      <c r="R51" s="402"/>
      <c r="S51" s="396">
        <f t="shared" si="38"/>
        <v>0</v>
      </c>
      <c r="T51" s="336"/>
      <c r="U51" s="342"/>
      <c r="V51" s="574"/>
      <c r="W51" s="363">
        <f>Assumptions!$C$95</f>
        <v>1.93</v>
      </c>
      <c r="X51" s="1192">
        <f t="shared" si="41"/>
        <v>0</v>
      </c>
      <c r="Y51" s="25">
        <v>527</v>
      </c>
      <c r="Z51" s="26">
        <f>Y51*Assumptions!$C$24</f>
        <v>171095820</v>
      </c>
      <c r="AA51" s="35">
        <f t="shared" si="11"/>
        <v>330214932.59999996</v>
      </c>
      <c r="AB51" s="348">
        <f t="shared" si="12"/>
        <v>171095820</v>
      </c>
      <c r="AC51" s="1211">
        <f t="shared" si="39"/>
        <v>330214932.59999996</v>
      </c>
      <c r="AD51" s="342">
        <f t="shared" si="40"/>
        <v>330214932.59999996</v>
      </c>
    </row>
    <row r="52" spans="1:30" x14ac:dyDescent="0.6">
      <c r="A52" s="46">
        <f t="shared" si="42"/>
        <v>45</v>
      </c>
      <c r="B52" s="44" t="s">
        <v>63</v>
      </c>
      <c r="C52" s="290">
        <v>0</v>
      </c>
      <c r="D52" s="348">
        <f>C52*Assumptions!$C$19</f>
        <v>0</v>
      </c>
      <c r="E52" s="391"/>
      <c r="F52" s="297"/>
      <c r="G52" s="540"/>
      <c r="H52" s="1163">
        <f>Assumptions!$C$95</f>
        <v>1.93</v>
      </c>
      <c r="I52" s="382"/>
      <c r="J52" s="392"/>
      <c r="K52" s="322"/>
      <c r="L52" s="329"/>
      <c r="M52" s="320"/>
      <c r="N52" s="320"/>
      <c r="O52" s="314"/>
      <c r="P52" s="1046"/>
      <c r="Q52" s="1047">
        <f t="shared" si="5"/>
        <v>0</v>
      </c>
      <c r="R52" s="402"/>
      <c r="S52" s="396">
        <f t="shared" si="38"/>
        <v>0</v>
      </c>
      <c r="T52" s="336"/>
      <c r="U52" s="342"/>
      <c r="V52" s="574"/>
      <c r="W52" s="363">
        <f>Assumptions!$C$95</f>
        <v>1.93</v>
      </c>
      <c r="X52" s="1192">
        <f t="shared" si="41"/>
        <v>0</v>
      </c>
      <c r="Y52" s="25">
        <v>1301</v>
      </c>
      <c r="Z52" s="26">
        <f>Y52*Assumptions!$C$24</f>
        <v>422382660</v>
      </c>
      <c r="AA52" s="35">
        <f t="shared" si="11"/>
        <v>815198533.79999995</v>
      </c>
      <c r="AB52" s="348">
        <f t="shared" si="12"/>
        <v>422382660</v>
      </c>
      <c r="AC52" s="1211">
        <f t="shared" si="39"/>
        <v>815198533.79999995</v>
      </c>
      <c r="AD52" s="342">
        <f t="shared" si="40"/>
        <v>815198533.79999995</v>
      </c>
    </row>
    <row r="53" spans="1:30" x14ac:dyDescent="0.6">
      <c r="A53" s="46">
        <f t="shared" si="42"/>
        <v>46</v>
      </c>
      <c r="B53" s="44" t="s">
        <v>64</v>
      </c>
      <c r="C53" s="290">
        <v>32</v>
      </c>
      <c r="D53" s="348">
        <f>C53*Assumptions!$C$19</f>
        <v>10657920</v>
      </c>
      <c r="E53" s="391"/>
      <c r="F53" s="297"/>
      <c r="G53" s="540"/>
      <c r="H53" s="1163">
        <f>Assumptions!$C$95</f>
        <v>1.93</v>
      </c>
      <c r="I53" s="382"/>
      <c r="J53" s="392"/>
      <c r="K53" s="322"/>
      <c r="L53" s="329"/>
      <c r="M53" s="320"/>
      <c r="N53" s="320"/>
      <c r="O53" s="314"/>
      <c r="P53" s="1046"/>
      <c r="Q53" s="1047">
        <f t="shared" si="5"/>
        <v>0</v>
      </c>
      <c r="R53" s="402"/>
      <c r="S53" s="396">
        <f t="shared" si="38"/>
        <v>0</v>
      </c>
      <c r="T53" s="336"/>
      <c r="U53" s="342"/>
      <c r="V53" s="574"/>
      <c r="W53" s="363">
        <f>Assumptions!$C$95</f>
        <v>1.93</v>
      </c>
      <c r="X53" s="1192">
        <f t="shared" si="41"/>
        <v>20569785.599999998</v>
      </c>
      <c r="Y53" s="25">
        <v>306</v>
      </c>
      <c r="Z53" s="26">
        <f>Y53*Assumptions!$C$24</f>
        <v>99345960</v>
      </c>
      <c r="AA53" s="35">
        <f t="shared" si="11"/>
        <v>191737702.79999998</v>
      </c>
      <c r="AB53" s="348">
        <f t="shared" si="12"/>
        <v>110003880</v>
      </c>
      <c r="AC53" s="1211">
        <f t="shared" si="39"/>
        <v>212307488.40000001</v>
      </c>
      <c r="AD53" s="342">
        <f t="shared" si="40"/>
        <v>212307488.39999998</v>
      </c>
    </row>
    <row r="54" spans="1:30" x14ac:dyDescent="0.6">
      <c r="A54" s="46">
        <f t="shared" si="42"/>
        <v>47</v>
      </c>
      <c r="B54" s="44" t="s">
        <v>65</v>
      </c>
      <c r="C54" s="290">
        <v>0</v>
      </c>
      <c r="D54" s="348">
        <f>C54*Assumptions!$C$19</f>
        <v>0</v>
      </c>
      <c r="E54" s="391"/>
      <c r="F54" s="297"/>
      <c r="G54" s="540"/>
      <c r="H54" s="1163">
        <f>Assumptions!$C$95</f>
        <v>1.93</v>
      </c>
      <c r="I54" s="382"/>
      <c r="J54" s="392"/>
      <c r="K54" s="322"/>
      <c r="L54" s="329"/>
      <c r="M54" s="320"/>
      <c r="N54" s="320"/>
      <c r="O54" s="314"/>
      <c r="P54" s="1046"/>
      <c r="Q54" s="1047">
        <f t="shared" si="5"/>
        <v>0</v>
      </c>
      <c r="R54" s="402"/>
      <c r="S54" s="396">
        <f t="shared" si="38"/>
        <v>0</v>
      </c>
      <c r="T54" s="336"/>
      <c r="U54" s="544"/>
      <c r="V54" s="575"/>
      <c r="W54" s="363">
        <f>Assumptions!$C$95</f>
        <v>1.93</v>
      </c>
      <c r="X54" s="1192">
        <f t="shared" si="41"/>
        <v>0</v>
      </c>
      <c r="Y54" s="25">
        <v>690</v>
      </c>
      <c r="Z54" s="26">
        <f>Y54*Assumptions!$C$24</f>
        <v>224015400</v>
      </c>
      <c r="AA54" s="35">
        <f t="shared" si="11"/>
        <v>432349722</v>
      </c>
      <c r="AB54" s="348">
        <f t="shared" si="12"/>
        <v>224015400</v>
      </c>
      <c r="AC54" s="1211">
        <f t="shared" si="39"/>
        <v>432349722</v>
      </c>
      <c r="AD54" s="342">
        <f t="shared" si="40"/>
        <v>432349722</v>
      </c>
    </row>
    <row r="55" spans="1:30" x14ac:dyDescent="0.6">
      <c r="A55" s="46">
        <f t="shared" si="42"/>
        <v>48</v>
      </c>
      <c r="B55" s="44" t="s">
        <v>66</v>
      </c>
      <c r="C55" s="290">
        <v>0</v>
      </c>
      <c r="D55" s="348">
        <f>C55*Assumptions!$C$19</f>
        <v>0</v>
      </c>
      <c r="E55" s="391"/>
      <c r="F55" s="297"/>
      <c r="G55" s="540"/>
      <c r="H55" s="1163">
        <f>Assumptions!$C$95</f>
        <v>1.93</v>
      </c>
      <c r="I55" s="382"/>
      <c r="J55" s="392"/>
      <c r="K55" s="322"/>
      <c r="L55" s="329"/>
      <c r="M55" s="320"/>
      <c r="N55" s="320"/>
      <c r="O55" s="314"/>
      <c r="P55" s="1046"/>
      <c r="Q55" s="1047">
        <f t="shared" si="5"/>
        <v>0</v>
      </c>
      <c r="R55" s="402"/>
      <c r="S55" s="396">
        <f t="shared" si="38"/>
        <v>0</v>
      </c>
      <c r="T55" s="336"/>
      <c r="U55" s="544"/>
      <c r="V55" s="575"/>
      <c r="W55" s="363">
        <f>Assumptions!$C$95</f>
        <v>1.93</v>
      </c>
      <c r="X55" s="1192">
        <f t="shared" si="41"/>
        <v>0</v>
      </c>
      <c r="Y55" s="25">
        <v>63</v>
      </c>
      <c r="Z55" s="26">
        <f>Y55*Assumptions!$C$24</f>
        <v>20453580</v>
      </c>
      <c r="AA55" s="35">
        <f t="shared" si="11"/>
        <v>39475409.399999999</v>
      </c>
      <c r="AB55" s="348">
        <f t="shared" si="12"/>
        <v>20453580</v>
      </c>
      <c r="AC55" s="1211">
        <f t="shared" si="39"/>
        <v>39475409.399999999</v>
      </c>
      <c r="AD55" s="342">
        <f t="shared" si="40"/>
        <v>39475409.399999999</v>
      </c>
    </row>
    <row r="56" spans="1:30" x14ac:dyDescent="0.6">
      <c r="A56" s="46">
        <f t="shared" si="42"/>
        <v>49</v>
      </c>
      <c r="B56" s="44" t="s">
        <v>67</v>
      </c>
      <c r="C56" s="290">
        <v>607</v>
      </c>
      <c r="D56" s="348">
        <f>C56*Assumptions!$C$19</f>
        <v>202167420</v>
      </c>
      <c r="E56" s="391"/>
      <c r="F56" s="297"/>
      <c r="G56" s="540"/>
      <c r="H56" s="1163">
        <f>Assumptions!$C$95</f>
        <v>1.93</v>
      </c>
      <c r="I56" s="382"/>
      <c r="J56" s="392"/>
      <c r="K56" s="322"/>
      <c r="L56" s="329"/>
      <c r="M56" s="320"/>
      <c r="N56" s="320"/>
      <c r="O56" s="314"/>
      <c r="P56" s="1046"/>
      <c r="Q56" s="1047">
        <f t="shared" si="5"/>
        <v>0</v>
      </c>
      <c r="R56" s="402"/>
      <c r="S56" s="396">
        <f t="shared" si="38"/>
        <v>0</v>
      </c>
      <c r="T56" s="336"/>
      <c r="U56" s="544"/>
      <c r="V56" s="575"/>
      <c r="W56" s="363">
        <f>Assumptions!$C$95</f>
        <v>1.93</v>
      </c>
      <c r="X56" s="1192">
        <f t="shared" si="41"/>
        <v>390183120.59999996</v>
      </c>
      <c r="Y56" s="25">
        <v>2423</v>
      </c>
      <c r="Z56" s="26">
        <f>Y56*Assumptions!$C$24</f>
        <v>786651180</v>
      </c>
      <c r="AA56" s="35">
        <f t="shared" si="11"/>
        <v>1518236777.3999999</v>
      </c>
      <c r="AB56" s="348">
        <f t="shared" si="12"/>
        <v>988818600</v>
      </c>
      <c r="AC56" s="1211">
        <f t="shared" si="39"/>
        <v>1908419898</v>
      </c>
      <c r="AD56" s="342">
        <f t="shared" si="40"/>
        <v>1908419897.9999998</v>
      </c>
    </row>
    <row r="57" spans="1:30" x14ac:dyDescent="0.6">
      <c r="A57" s="46">
        <f t="shared" si="42"/>
        <v>50</v>
      </c>
      <c r="B57" s="44" t="s">
        <v>68</v>
      </c>
      <c r="C57" s="290">
        <v>0</v>
      </c>
      <c r="D57" s="348">
        <f>C57*Assumptions!$C$19</f>
        <v>0</v>
      </c>
      <c r="E57" s="391"/>
      <c r="F57" s="297"/>
      <c r="G57" s="540"/>
      <c r="H57" s="1163">
        <f>Assumptions!$C$95</f>
        <v>1.93</v>
      </c>
      <c r="I57" s="382"/>
      <c r="J57" s="392"/>
      <c r="K57" s="322"/>
      <c r="L57" s="329"/>
      <c r="M57" s="320"/>
      <c r="N57" s="320"/>
      <c r="O57" s="314"/>
      <c r="P57" s="1046"/>
      <c r="Q57" s="1047">
        <f t="shared" si="5"/>
        <v>0</v>
      </c>
      <c r="R57" s="402"/>
      <c r="S57" s="396">
        <f t="shared" si="38"/>
        <v>0</v>
      </c>
      <c r="T57" s="336"/>
      <c r="U57" s="544"/>
      <c r="V57" s="575"/>
      <c r="W57" s="363">
        <f>Assumptions!$C$95</f>
        <v>1.93</v>
      </c>
      <c r="X57" s="1192">
        <f t="shared" si="41"/>
        <v>0</v>
      </c>
      <c r="Y57" s="25">
        <v>339</v>
      </c>
      <c r="Z57" s="26">
        <f>Y57*Assumptions!$C$24</f>
        <v>110059740</v>
      </c>
      <c r="AA57" s="35">
        <f t="shared" si="11"/>
        <v>212415298.19999999</v>
      </c>
      <c r="AB57" s="348">
        <f t="shared" si="12"/>
        <v>110059740</v>
      </c>
      <c r="AC57" s="1211">
        <f t="shared" si="39"/>
        <v>212415298.19999999</v>
      </c>
      <c r="AD57" s="342">
        <f t="shared" si="40"/>
        <v>212415298.19999999</v>
      </c>
    </row>
    <row r="58" spans="1:30" x14ac:dyDescent="0.6">
      <c r="A58" s="46">
        <f t="shared" si="42"/>
        <v>51</v>
      </c>
      <c r="B58" s="44" t="s">
        <v>695</v>
      </c>
      <c r="C58" s="290">
        <v>0</v>
      </c>
      <c r="D58" s="348">
        <f>C58*Assumptions!$C$19</f>
        <v>0</v>
      </c>
      <c r="E58" s="391"/>
      <c r="F58" s="297"/>
      <c r="G58" s="540"/>
      <c r="H58" s="1163">
        <f>Assumptions!$C$95</f>
        <v>1.93</v>
      </c>
      <c r="I58" s="382"/>
      <c r="J58" s="392"/>
      <c r="K58" s="322"/>
      <c r="L58" s="329"/>
      <c r="M58" s="320"/>
      <c r="N58" s="320"/>
      <c r="O58" s="314"/>
      <c r="P58" s="1046"/>
      <c r="Q58" s="1047">
        <f t="shared" si="5"/>
        <v>0</v>
      </c>
      <c r="R58" s="402"/>
      <c r="S58" s="396"/>
      <c r="T58" s="336"/>
      <c r="U58" s="544"/>
      <c r="V58" s="575"/>
      <c r="W58" s="363">
        <f>Assumptions!$C$95</f>
        <v>1.93</v>
      </c>
      <c r="X58" s="1192">
        <f t="shared" si="41"/>
        <v>0</v>
      </c>
      <c r="Y58" s="25">
        <v>505</v>
      </c>
      <c r="Z58" s="26">
        <f>Y58*Assumptions!$C$24</f>
        <v>163953300</v>
      </c>
      <c r="AA58" s="35">
        <f t="shared" si="11"/>
        <v>316429869</v>
      </c>
      <c r="AB58" s="348">
        <f t="shared" si="12"/>
        <v>163953300</v>
      </c>
      <c r="AC58" s="1211">
        <f t="shared" si="39"/>
        <v>316429869</v>
      </c>
      <c r="AD58" s="342">
        <f t="shared" si="40"/>
        <v>316429869</v>
      </c>
    </row>
    <row r="59" spans="1:30" x14ac:dyDescent="0.6">
      <c r="A59" s="46">
        <f t="shared" si="42"/>
        <v>52</v>
      </c>
      <c r="B59" s="44" t="s">
        <v>69</v>
      </c>
      <c r="C59" s="290">
        <v>0</v>
      </c>
      <c r="D59" s="348">
        <f>C59*Assumptions!$C$19</f>
        <v>0</v>
      </c>
      <c r="E59" s="391"/>
      <c r="F59" s="297"/>
      <c r="G59" s="540"/>
      <c r="H59" s="1163">
        <f>Assumptions!$C$95</f>
        <v>1.93</v>
      </c>
      <c r="I59" s="382"/>
      <c r="J59" s="392"/>
      <c r="K59" s="322"/>
      <c r="L59" s="329"/>
      <c r="M59" s="320"/>
      <c r="N59" s="320"/>
      <c r="O59" s="314"/>
      <c r="P59" s="1046"/>
      <c r="Q59" s="1047">
        <f t="shared" si="5"/>
        <v>0</v>
      </c>
      <c r="R59" s="402"/>
      <c r="S59" s="396">
        <f t="shared" si="38"/>
        <v>0</v>
      </c>
      <c r="T59" s="336"/>
      <c r="U59" s="544"/>
      <c r="V59" s="575"/>
      <c r="W59" s="363">
        <f>Assumptions!$C$95</f>
        <v>1.93</v>
      </c>
      <c r="X59" s="1192">
        <f t="shared" si="41"/>
        <v>0</v>
      </c>
      <c r="Y59" s="25">
        <v>1209</v>
      </c>
      <c r="Z59" s="26">
        <f>Y59*Assumptions!$C$24</f>
        <v>392513940</v>
      </c>
      <c r="AA59" s="35">
        <f t="shared" si="11"/>
        <v>757551904.19999993</v>
      </c>
      <c r="AB59" s="348">
        <f t="shared" si="12"/>
        <v>392513940</v>
      </c>
      <c r="AC59" s="1211">
        <f t="shared" si="39"/>
        <v>757551904.19999993</v>
      </c>
      <c r="AD59" s="342">
        <f t="shared" si="40"/>
        <v>757551904.19999993</v>
      </c>
    </row>
    <row r="60" spans="1:30" x14ac:dyDescent="0.6">
      <c r="A60" s="46">
        <f t="shared" si="42"/>
        <v>53</v>
      </c>
      <c r="B60" s="44" t="s">
        <v>70</v>
      </c>
      <c r="C60" s="290">
        <v>879</v>
      </c>
      <c r="D60" s="348">
        <f>C60*Assumptions!$C$19</f>
        <v>292759740</v>
      </c>
      <c r="E60" s="391"/>
      <c r="F60" s="297"/>
      <c r="G60" s="540"/>
      <c r="H60" s="1163">
        <f>Assumptions!$C$95</f>
        <v>1.93</v>
      </c>
      <c r="I60" s="382"/>
      <c r="J60" s="392"/>
      <c r="K60" s="322"/>
      <c r="L60" s="329"/>
      <c r="M60" s="320"/>
      <c r="N60" s="320"/>
      <c r="O60" s="314"/>
      <c r="P60" s="1046"/>
      <c r="Q60" s="1047">
        <f t="shared" si="5"/>
        <v>0</v>
      </c>
      <c r="R60" s="402"/>
      <c r="S60" s="396">
        <f t="shared" si="38"/>
        <v>0</v>
      </c>
      <c r="T60" s="336"/>
      <c r="U60" s="544"/>
      <c r="V60" s="575"/>
      <c r="W60" s="363">
        <f>Assumptions!$C$95</f>
        <v>1.93</v>
      </c>
      <c r="X60" s="1192">
        <f t="shared" si="41"/>
        <v>565026298.19999993</v>
      </c>
      <c r="Y60" s="25">
        <v>2638</v>
      </c>
      <c r="Z60" s="26">
        <f>Y60*Assumptions!$C$24</f>
        <v>856453080</v>
      </c>
      <c r="AA60" s="35">
        <f t="shared" si="11"/>
        <v>1652954444.3999999</v>
      </c>
      <c r="AB60" s="348">
        <f t="shared" si="12"/>
        <v>1149212820</v>
      </c>
      <c r="AC60" s="1211">
        <f t="shared" si="39"/>
        <v>2217980742.5999999</v>
      </c>
      <c r="AD60" s="342">
        <f t="shared" si="40"/>
        <v>2217980742.5999999</v>
      </c>
    </row>
    <row r="61" spans="1:30" x14ac:dyDescent="0.6">
      <c r="A61" s="46">
        <f t="shared" si="42"/>
        <v>54</v>
      </c>
      <c r="B61" s="44" t="s">
        <v>71</v>
      </c>
      <c r="C61" s="290">
        <v>114</v>
      </c>
      <c r="D61" s="348">
        <f>C61*Assumptions!$C$19</f>
        <v>37968840</v>
      </c>
      <c r="E61" s="391"/>
      <c r="F61" s="297"/>
      <c r="G61" s="540"/>
      <c r="H61" s="1163">
        <f>Assumptions!$C$95</f>
        <v>1.93</v>
      </c>
      <c r="I61" s="382"/>
      <c r="J61" s="392"/>
      <c r="K61" s="322"/>
      <c r="L61" s="329"/>
      <c r="M61" s="320"/>
      <c r="N61" s="320"/>
      <c r="O61" s="314"/>
      <c r="P61" s="1046"/>
      <c r="Q61" s="1047">
        <f t="shared" si="5"/>
        <v>0</v>
      </c>
      <c r="R61" s="402"/>
      <c r="S61" s="396">
        <f t="shared" si="38"/>
        <v>0</v>
      </c>
      <c r="T61" s="336"/>
      <c r="U61" s="544"/>
      <c r="V61" s="575"/>
      <c r="W61" s="363">
        <f>Assumptions!$C$95</f>
        <v>1.93</v>
      </c>
      <c r="X61" s="1192">
        <f t="shared" si="41"/>
        <v>73279861.200000003</v>
      </c>
      <c r="Y61" s="25">
        <v>239</v>
      </c>
      <c r="Z61" s="26">
        <f>Y61*Assumptions!$C$24</f>
        <v>77593740</v>
      </c>
      <c r="AA61" s="35">
        <f t="shared" si="11"/>
        <v>149755918.19999999</v>
      </c>
      <c r="AB61" s="348">
        <f t="shared" si="12"/>
        <v>115562580</v>
      </c>
      <c r="AC61" s="1211">
        <f t="shared" si="39"/>
        <v>223035779.40000001</v>
      </c>
      <c r="AD61" s="342">
        <f t="shared" si="40"/>
        <v>223035779.39999998</v>
      </c>
    </row>
    <row r="62" spans="1:30" x14ac:dyDescent="0.6">
      <c r="A62" s="46">
        <f t="shared" si="42"/>
        <v>55</v>
      </c>
      <c r="B62" s="44" t="s">
        <v>72</v>
      </c>
      <c r="C62" s="290">
        <v>0</v>
      </c>
      <c r="D62" s="348">
        <f>C62*Assumptions!$C$19</f>
        <v>0</v>
      </c>
      <c r="E62" s="391"/>
      <c r="F62" s="297"/>
      <c r="G62" s="540"/>
      <c r="H62" s="1163">
        <f>Assumptions!$C$95</f>
        <v>1.93</v>
      </c>
      <c r="I62" s="382"/>
      <c r="J62" s="392"/>
      <c r="K62" s="322"/>
      <c r="L62" s="329"/>
      <c r="M62" s="320"/>
      <c r="N62" s="320"/>
      <c r="O62" s="314"/>
      <c r="P62" s="1046"/>
      <c r="Q62" s="1047">
        <f t="shared" si="5"/>
        <v>0</v>
      </c>
      <c r="R62" s="402"/>
      <c r="S62" s="396">
        <f t="shared" si="38"/>
        <v>0</v>
      </c>
      <c r="T62" s="336"/>
      <c r="U62" s="544"/>
      <c r="V62" s="575"/>
      <c r="W62" s="363">
        <f>Assumptions!$C$95</f>
        <v>1.93</v>
      </c>
      <c r="X62" s="1192">
        <f t="shared" si="41"/>
        <v>0</v>
      </c>
      <c r="Y62" s="25">
        <v>470</v>
      </c>
      <c r="Z62" s="26">
        <f>Y62*Assumptions!$C$24</f>
        <v>152590200</v>
      </c>
      <c r="AA62" s="35">
        <f t="shared" si="11"/>
        <v>294499086</v>
      </c>
      <c r="AB62" s="348">
        <f t="shared" si="12"/>
        <v>152590200</v>
      </c>
      <c r="AC62" s="1211">
        <f t="shared" si="39"/>
        <v>294499086</v>
      </c>
      <c r="AD62" s="342">
        <f t="shared" si="40"/>
        <v>294499086</v>
      </c>
    </row>
    <row r="63" spans="1:30" x14ac:dyDescent="0.6">
      <c r="A63" s="46">
        <f t="shared" si="42"/>
        <v>56</v>
      </c>
      <c r="B63" s="44" t="s">
        <v>73</v>
      </c>
      <c r="C63" s="290">
        <v>317</v>
      </c>
      <c r="D63" s="348">
        <f>C63*Assumptions!$C$19</f>
        <v>105580020</v>
      </c>
      <c r="E63" s="391"/>
      <c r="F63" s="297"/>
      <c r="G63" s="540"/>
      <c r="H63" s="1163">
        <f>Assumptions!$C$95</f>
        <v>1.93</v>
      </c>
      <c r="I63" s="382"/>
      <c r="J63" s="392"/>
      <c r="K63" s="322"/>
      <c r="L63" s="329"/>
      <c r="M63" s="320"/>
      <c r="N63" s="320"/>
      <c r="O63" s="314"/>
      <c r="P63" s="1046"/>
      <c r="Q63" s="1047">
        <f t="shared" si="5"/>
        <v>0</v>
      </c>
      <c r="R63" s="402"/>
      <c r="S63" s="396">
        <f t="shared" si="38"/>
        <v>0</v>
      </c>
      <c r="T63" s="336"/>
      <c r="U63" s="544"/>
      <c r="V63" s="575"/>
      <c r="W63" s="363">
        <f>Assumptions!$C$95</f>
        <v>1.93</v>
      </c>
      <c r="X63" s="1192">
        <f t="shared" si="41"/>
        <v>203769438.59999999</v>
      </c>
      <c r="Y63" s="25">
        <v>7794</v>
      </c>
      <c r="Z63" s="26">
        <f>Y63*Assumptions!$C$24</f>
        <v>2530400040</v>
      </c>
      <c r="AA63" s="35">
        <f t="shared" si="11"/>
        <v>4883672077.1999998</v>
      </c>
      <c r="AB63" s="348">
        <f t="shared" si="12"/>
        <v>2635980060</v>
      </c>
      <c r="AC63" s="1211">
        <f t="shared" si="39"/>
        <v>5087441515.8000002</v>
      </c>
      <c r="AD63" s="342">
        <f t="shared" si="40"/>
        <v>5087441515.8000002</v>
      </c>
    </row>
    <row r="64" spans="1:30" x14ac:dyDescent="0.6">
      <c r="A64" s="46">
        <f t="shared" si="42"/>
        <v>57</v>
      </c>
      <c r="B64" s="44" t="s">
        <v>74</v>
      </c>
      <c r="C64" s="290">
        <v>113</v>
      </c>
      <c r="D64" s="348">
        <f>C64*Assumptions!$C$19</f>
        <v>37635780</v>
      </c>
      <c r="E64" s="391"/>
      <c r="F64" s="297"/>
      <c r="G64" s="540"/>
      <c r="H64" s="1163">
        <f>Assumptions!$C$95</f>
        <v>1.93</v>
      </c>
      <c r="I64" s="382"/>
      <c r="J64" s="392"/>
      <c r="K64" s="322"/>
      <c r="L64" s="329"/>
      <c r="M64" s="320"/>
      <c r="N64" s="320"/>
      <c r="O64" s="314"/>
      <c r="P64" s="1046"/>
      <c r="Q64" s="1047">
        <f t="shared" si="5"/>
        <v>0</v>
      </c>
      <c r="R64" s="402"/>
      <c r="S64" s="396">
        <f t="shared" si="38"/>
        <v>0</v>
      </c>
      <c r="T64" s="336"/>
      <c r="U64" s="544"/>
      <c r="V64" s="575"/>
      <c r="W64" s="363">
        <f>Assumptions!$C$95</f>
        <v>1.93</v>
      </c>
      <c r="X64" s="1192">
        <f t="shared" si="41"/>
        <v>72637055.399999991</v>
      </c>
      <c r="Y64" s="25">
        <v>0</v>
      </c>
      <c r="Z64" s="26">
        <f>Y64*Assumptions!$C$24</f>
        <v>0</v>
      </c>
      <c r="AA64" s="35">
        <f t="shared" si="11"/>
        <v>0</v>
      </c>
      <c r="AB64" s="348">
        <f t="shared" si="12"/>
        <v>37635780</v>
      </c>
      <c r="AC64" s="1211">
        <f t="shared" si="39"/>
        <v>72637055.399999991</v>
      </c>
      <c r="AD64" s="342">
        <f t="shared" si="40"/>
        <v>72637055.399999991</v>
      </c>
    </row>
    <row r="65" spans="1:30" x14ac:dyDescent="0.6">
      <c r="A65" s="51">
        <f t="shared" si="42"/>
        <v>58</v>
      </c>
      <c r="B65" s="52" t="s">
        <v>75</v>
      </c>
      <c r="C65" s="292">
        <v>0</v>
      </c>
      <c r="D65" s="350">
        <f>C65*Assumptions!$C$19</f>
        <v>0</v>
      </c>
      <c r="E65" s="405"/>
      <c r="F65" s="300"/>
      <c r="G65" s="541"/>
      <c r="H65" s="1164">
        <f>Assumptions!$C$95</f>
        <v>1.93</v>
      </c>
      <c r="I65" s="407"/>
      <c r="J65" s="406"/>
      <c r="K65" s="967"/>
      <c r="L65" s="335"/>
      <c r="M65" s="1014"/>
      <c r="N65" s="1014"/>
      <c r="O65" s="328"/>
      <c r="P65" s="1049"/>
      <c r="Q65" s="1050">
        <f t="shared" si="5"/>
        <v>0</v>
      </c>
      <c r="R65" s="408"/>
      <c r="S65" s="409">
        <f t="shared" si="38"/>
        <v>0</v>
      </c>
      <c r="T65" s="545"/>
      <c r="U65" s="546"/>
      <c r="V65" s="576"/>
      <c r="W65" s="572">
        <f>Assumptions!$C$95</f>
        <v>1.93</v>
      </c>
      <c r="X65" s="1196">
        <f t="shared" si="41"/>
        <v>0</v>
      </c>
      <c r="Y65" s="590">
        <v>663</v>
      </c>
      <c r="Z65" s="591">
        <f>Y65*Assumptions!$C$24</f>
        <v>215249580</v>
      </c>
      <c r="AA65" s="592">
        <f t="shared" si="11"/>
        <v>415431689.39999998</v>
      </c>
      <c r="AB65" s="350">
        <f t="shared" si="12"/>
        <v>215249580</v>
      </c>
      <c r="AC65" s="1213">
        <f t="shared" si="39"/>
        <v>415431689.39999998</v>
      </c>
      <c r="AD65" s="551">
        <f t="shared" si="40"/>
        <v>415431689.39999998</v>
      </c>
    </row>
    <row r="66" spans="1:30" x14ac:dyDescent="0.6">
      <c r="C66" s="21" t="s">
        <v>696</v>
      </c>
      <c r="D66" s="21">
        <f>SUM(D4:D65)</f>
        <v>34409427780</v>
      </c>
      <c r="E66" s="398"/>
      <c r="I66" s="411"/>
      <c r="K66" s="412"/>
      <c r="L66" s="413"/>
      <c r="M66" s="278"/>
      <c r="N66" s="278"/>
      <c r="O66" s="414"/>
      <c r="P66" s="414"/>
      <c r="Q66" s="414"/>
      <c r="T66" s="1"/>
      <c r="U66" s="1"/>
      <c r="V66" s="1"/>
      <c r="W66" s="1"/>
      <c r="X66" s="1"/>
      <c r="AD66" s="1"/>
    </row>
    <row r="67" spans="1:30" x14ac:dyDescent="0.6">
      <c r="A67" s="1"/>
      <c r="C67" s="21" t="s">
        <v>697</v>
      </c>
      <c r="D67" s="21">
        <f>SUM(Z4:Z65)</f>
        <v>41471419080</v>
      </c>
      <c r="E67" s="398"/>
      <c r="F67" s="1"/>
      <c r="I67" s="411"/>
      <c r="J67" s="1"/>
      <c r="K67" s="412"/>
      <c r="L67" s="413"/>
      <c r="M67" s="278"/>
      <c r="N67" s="278"/>
      <c r="O67" s="414"/>
      <c r="P67" s="414"/>
      <c r="Q67" s="414"/>
      <c r="R67" s="1"/>
      <c r="S67" s="85"/>
      <c r="T67" s="1"/>
      <c r="U67" s="1"/>
      <c r="V67" s="1"/>
      <c r="W67" s="1"/>
      <c r="X67" s="1"/>
      <c r="AD67" s="1"/>
    </row>
    <row r="68" spans="1:30" x14ac:dyDescent="0.6">
      <c r="C68" s="21" t="s">
        <v>42</v>
      </c>
      <c r="D68" s="21">
        <f>D67+D66</f>
        <v>75880846860</v>
      </c>
      <c r="E68" s="398"/>
      <c r="I68" s="411"/>
      <c r="K68" s="412"/>
      <c r="L68" s="413"/>
      <c r="M68" s="278"/>
      <c r="N68" s="278"/>
      <c r="O68" s="414"/>
      <c r="P68" s="414"/>
      <c r="Q68" s="414"/>
      <c r="X68" s="1"/>
      <c r="AD68" s="1"/>
    </row>
    <row r="69" spans="1:30" x14ac:dyDescent="0.6">
      <c r="D69" s="21">
        <f>277733*Assumptions!C24</f>
        <v>90168795780</v>
      </c>
      <c r="E69" s="398"/>
      <c r="I69" s="83"/>
      <c r="K69" s="412"/>
      <c r="L69" s="413"/>
      <c r="M69" s="83"/>
      <c r="N69" s="83"/>
      <c r="O69" s="414"/>
      <c r="P69" s="414"/>
      <c r="Q69" s="414"/>
      <c r="W69" s="1"/>
      <c r="X69" s="1"/>
      <c r="AD69" s="1"/>
    </row>
    <row r="70" spans="1:30" x14ac:dyDescent="0.6">
      <c r="D70" s="360">
        <f>D68/D69</f>
        <v>0.84154220097537158</v>
      </c>
      <c r="E70" s="398"/>
      <c r="I70" s="411"/>
      <c r="K70" s="412"/>
      <c r="L70" s="413"/>
      <c r="M70" s="278"/>
      <c r="N70" s="278"/>
      <c r="O70" s="414"/>
      <c r="P70" s="414"/>
      <c r="Q70" s="414"/>
      <c r="AB70" s="360"/>
      <c r="AC70" s="271"/>
    </row>
    <row r="71" spans="1:30" x14ac:dyDescent="0.6">
      <c r="E71" s="398"/>
      <c r="I71" s="411"/>
      <c r="K71" s="412"/>
      <c r="L71" s="413"/>
      <c r="M71" s="278"/>
      <c r="N71" s="278"/>
      <c r="O71" s="414"/>
      <c r="P71" s="414"/>
      <c r="Q71" s="414"/>
    </row>
    <row r="72" spans="1:30" x14ac:dyDescent="0.6">
      <c r="E72" s="398"/>
      <c r="I72" s="411"/>
    </row>
    <row r="73" spans="1:30" x14ac:dyDescent="0.6">
      <c r="E73" s="398"/>
      <c r="I73" s="411"/>
    </row>
    <row r="74" spans="1:30" x14ac:dyDescent="0.6">
      <c r="E74" s="398"/>
      <c r="I74" s="411"/>
    </row>
    <row r="75" spans="1:30" x14ac:dyDescent="0.6">
      <c r="E75" s="398"/>
      <c r="I75" s="411"/>
    </row>
    <row r="76" spans="1:30" x14ac:dyDescent="0.6">
      <c r="E76" s="398"/>
      <c r="I76" s="411"/>
    </row>
    <row r="77" spans="1:30" x14ac:dyDescent="0.6">
      <c r="E77" s="398"/>
      <c r="I77" s="411"/>
    </row>
    <row r="78" spans="1:30" x14ac:dyDescent="0.6">
      <c r="E78" s="398"/>
      <c r="I78" s="411"/>
    </row>
    <row r="79" spans="1:30" x14ac:dyDescent="0.6">
      <c r="E79" s="398"/>
      <c r="I79" s="411"/>
    </row>
    <row r="80" spans="1:30" x14ac:dyDescent="0.6">
      <c r="E80" s="398"/>
      <c r="I80" s="411"/>
    </row>
    <row r="81" spans="5:9" x14ac:dyDescent="0.6">
      <c r="E81" s="398"/>
      <c r="I81" s="41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4" width="10.09765625" style="55" customWidth="1"/>
    <col min="5" max="5" width="9.5" style="55" customWidth="1"/>
    <col min="6" max="6" width="14.09765625" style="122" customWidth="1"/>
    <col min="7" max="7" width="9.5" style="194" customWidth="1"/>
    <col min="8" max="8" width="15.09765625" style="122" bestFit="1" customWidth="1"/>
    <col min="9" max="9" width="15.09765625" style="122" customWidth="1"/>
    <col min="10" max="10" width="16.59765625" style="1" bestFit="1" customWidth="1"/>
    <col min="11" max="11" width="8.34765625" style="54" customWidth="1"/>
    <col min="12" max="12" width="8.59765625" style="54" customWidth="1"/>
    <col min="13" max="13" width="11.09765625" style="54" bestFit="1" customWidth="1"/>
    <col min="14" max="14" width="9.09765625" style="54" customWidth="1"/>
    <col min="15" max="15" width="16" style="17" bestFit="1" customWidth="1"/>
    <col min="16" max="16" width="17.5" style="70" bestFit="1" customWidth="1"/>
    <col min="17" max="17" width="17.5" style="17" bestFit="1" customWidth="1"/>
    <col min="18" max="18" width="17.5" style="1" bestFit="1" customWidth="1"/>
    <col min="19" max="19" width="5.09765625" style="1" bestFit="1" customWidth="1"/>
    <col min="20" max="16384" width="10.84765625" style="1"/>
  </cols>
  <sheetData>
    <row r="1" spans="1:18" x14ac:dyDescent="0.6">
      <c r="A1" s="78" t="s">
        <v>1146</v>
      </c>
      <c r="D1" s="89"/>
      <c r="E1" s="879"/>
      <c r="J1" s="13"/>
      <c r="K1" s="95" t="s">
        <v>1091</v>
      </c>
      <c r="M1" s="17"/>
      <c r="N1" s="17"/>
      <c r="O1" s="98"/>
      <c r="Q1" s="98"/>
      <c r="R1" s="880"/>
    </row>
    <row r="2" spans="1:18" s="2" customFormat="1" x14ac:dyDescent="0.6">
      <c r="A2" s="24" t="s">
        <v>879</v>
      </c>
      <c r="B2" s="60"/>
      <c r="C2" s="56"/>
      <c r="D2" s="56"/>
      <c r="E2" s="56"/>
      <c r="F2" s="1185" t="s">
        <v>24</v>
      </c>
      <c r="G2" s="249" t="s">
        <v>1147</v>
      </c>
      <c r="H2" s="1185" t="s">
        <v>696</v>
      </c>
      <c r="I2" s="1185"/>
      <c r="J2" s="60" t="s">
        <v>1150</v>
      </c>
      <c r="K2" s="95" t="s">
        <v>190</v>
      </c>
      <c r="L2" s="95" t="s">
        <v>396</v>
      </c>
      <c r="M2" s="95" t="s">
        <v>397</v>
      </c>
      <c r="N2" s="95" t="s">
        <v>42</v>
      </c>
      <c r="O2" s="18" t="s">
        <v>193</v>
      </c>
      <c r="P2" s="114" t="s">
        <v>396</v>
      </c>
      <c r="Q2" s="18" t="s">
        <v>397</v>
      </c>
      <c r="R2" s="2" t="s">
        <v>398</v>
      </c>
    </row>
    <row r="3" spans="1:18" s="2" customFormat="1" x14ac:dyDescent="0.6">
      <c r="A3" s="24"/>
      <c r="B3" s="60"/>
      <c r="C3" s="56" t="s">
        <v>136</v>
      </c>
      <c r="D3" s="56" t="s">
        <v>604</v>
      </c>
      <c r="E3" s="56" t="s">
        <v>42</v>
      </c>
      <c r="F3" s="157" t="s">
        <v>1139</v>
      </c>
      <c r="G3" s="249" t="s">
        <v>1148</v>
      </c>
      <c r="H3" s="157" t="s">
        <v>1149</v>
      </c>
      <c r="I3" s="157"/>
      <c r="J3" s="2" t="s">
        <v>1149</v>
      </c>
      <c r="K3" s="95" t="s">
        <v>191</v>
      </c>
      <c r="L3" s="95" t="s">
        <v>190</v>
      </c>
      <c r="M3" s="95" t="s">
        <v>190</v>
      </c>
      <c r="N3" s="95" t="s">
        <v>79</v>
      </c>
      <c r="O3" s="18" t="s">
        <v>192</v>
      </c>
      <c r="P3" s="114" t="s">
        <v>192</v>
      </c>
      <c r="Q3" s="18" t="s">
        <v>192</v>
      </c>
      <c r="R3" s="2" t="s">
        <v>198</v>
      </c>
    </row>
    <row r="4" spans="1:18" s="85" customFormat="1" x14ac:dyDescent="0.6">
      <c r="A4" s="60">
        <v>1</v>
      </c>
      <c r="B4" s="85" t="s">
        <v>178</v>
      </c>
      <c r="C4" s="89">
        <v>4.3999999999999997E-2</v>
      </c>
      <c r="D4" s="89">
        <v>4.53E-2</v>
      </c>
      <c r="E4" s="89">
        <f t="shared" ref="E4:E35" si="0">D4+C4</f>
        <v>8.929999999999999E-2</v>
      </c>
      <c r="F4" s="948">
        <v>17.8</v>
      </c>
      <c r="G4" s="1197">
        <v>1</v>
      </c>
      <c r="H4" s="949">
        <f>F4*Assumptions!$C$21*G4</f>
        <v>136923076.92307693</v>
      </c>
      <c r="I4" s="949">
        <f>F4*Assumptions!$C$21*(1-G4)</f>
        <v>0</v>
      </c>
      <c r="J4" s="897">
        <f t="shared" ref="J4" si="1">I4+H4</f>
        <v>136923076.92307693</v>
      </c>
      <c r="K4" s="156">
        <f>L4+E4</f>
        <v>1.6922999999999999</v>
      </c>
      <c r="L4" s="156">
        <v>1.603</v>
      </c>
      <c r="M4" s="156">
        <f>L4</f>
        <v>1.603</v>
      </c>
      <c r="N4" s="952">
        <f>K4-L4</f>
        <v>8.9299999999999935E-2</v>
      </c>
      <c r="O4" s="70">
        <f>K4*H4</f>
        <v>231714923.07692307</v>
      </c>
      <c r="P4" s="70">
        <f>L4*H4</f>
        <v>219487692.30769232</v>
      </c>
      <c r="Q4" s="70">
        <f>M4*H4</f>
        <v>219487692.30769232</v>
      </c>
      <c r="R4" s="70">
        <f t="shared" ref="R4:R54" si="2">O4-Q4</f>
        <v>12227230.769230753</v>
      </c>
    </row>
    <row r="5" spans="1:18" s="85" customFormat="1" x14ac:dyDescent="0.6">
      <c r="A5" s="60">
        <f t="shared" ref="A5:A54" si="3">A4+1</f>
        <v>2</v>
      </c>
      <c r="B5" s="85" t="s">
        <v>188</v>
      </c>
      <c r="C5" s="89">
        <f t="shared" ref="C5:C54" si="4">C4</f>
        <v>4.3999999999999997E-2</v>
      </c>
      <c r="D5" s="89">
        <v>3.2000000000000001E-2</v>
      </c>
      <c r="E5" s="89">
        <f t="shared" si="0"/>
        <v>7.5999999999999998E-2</v>
      </c>
      <c r="F5" s="948">
        <v>102.9</v>
      </c>
      <c r="G5" s="1197">
        <v>0.8</v>
      </c>
      <c r="H5" s="949">
        <f>F5*Assumptions!$C$21*G5</f>
        <v>633230769.23076928</v>
      </c>
      <c r="I5" s="949">
        <f>F5*Assumptions!$C$21*(1-G5)</f>
        <v>158307692.30769229</v>
      </c>
      <c r="J5" s="897">
        <f>I5+H5</f>
        <v>791538461.53846157</v>
      </c>
      <c r="K5" s="156">
        <f t="shared" ref="K5:K54" si="5">L5+E5</f>
        <v>1.7410000000000001</v>
      </c>
      <c r="L5" s="156">
        <v>1.665</v>
      </c>
      <c r="M5" s="156">
        <f t="shared" ref="M5:M54" si="6">L5</f>
        <v>1.665</v>
      </c>
      <c r="N5" s="952">
        <f t="shared" ref="N5:N54" si="7">K5-L5</f>
        <v>7.6000000000000068E-2</v>
      </c>
      <c r="O5" s="70">
        <f t="shared" ref="O5:O53" si="8">K5*H5</f>
        <v>1102454769.2307694</v>
      </c>
      <c r="P5" s="70">
        <f t="shared" ref="P5:P53" si="9">L5*H5</f>
        <v>1054329230.7692308</v>
      </c>
      <c r="Q5" s="70">
        <f t="shared" ref="Q5:Q53" si="10">M5*H5</f>
        <v>1054329230.7692308</v>
      </c>
      <c r="R5" s="70">
        <f t="shared" si="2"/>
        <v>48125538.461538553</v>
      </c>
    </row>
    <row r="6" spans="1:18" s="85" customFormat="1" x14ac:dyDescent="0.6">
      <c r="A6" s="60">
        <f t="shared" si="3"/>
        <v>3</v>
      </c>
      <c r="B6" s="85" t="s">
        <v>181</v>
      </c>
      <c r="C6" s="89">
        <f t="shared" si="4"/>
        <v>4.3999999999999997E-2</v>
      </c>
      <c r="D6" s="89">
        <v>1.6500000000000001E-2</v>
      </c>
      <c r="E6" s="89">
        <f t="shared" si="0"/>
        <v>6.0499999999999998E-2</v>
      </c>
      <c r="F6" s="948">
        <v>21.8</v>
      </c>
      <c r="G6" s="1197">
        <v>0.8</v>
      </c>
      <c r="H6" s="949">
        <f>F6*Assumptions!$C$21*G6</f>
        <v>134153846.15384614</v>
      </c>
      <c r="I6" s="949">
        <f>F6*Assumptions!$C$21*(1-G6)</f>
        <v>33538461.538461529</v>
      </c>
      <c r="J6" s="897">
        <f t="shared" ref="J6:J54" si="11">I6+H6</f>
        <v>167692307.69230768</v>
      </c>
      <c r="K6" s="156">
        <f t="shared" si="5"/>
        <v>1.7055</v>
      </c>
      <c r="L6" s="156">
        <v>1.645</v>
      </c>
      <c r="M6" s="156">
        <f t="shared" si="6"/>
        <v>1.645</v>
      </c>
      <c r="N6" s="952">
        <f t="shared" si="7"/>
        <v>6.0499999999999998E-2</v>
      </c>
      <c r="O6" s="70">
        <f t="shared" si="8"/>
        <v>228799384.61538461</v>
      </c>
      <c r="P6" s="70">
        <f t="shared" si="9"/>
        <v>220683076.9230769</v>
      </c>
      <c r="Q6" s="70">
        <f t="shared" si="10"/>
        <v>220683076.9230769</v>
      </c>
      <c r="R6" s="70">
        <f t="shared" si="2"/>
        <v>8116307.6923077106</v>
      </c>
    </row>
    <row r="7" spans="1:18" s="85" customFormat="1" x14ac:dyDescent="0.6">
      <c r="A7" s="60">
        <f t="shared" si="3"/>
        <v>4</v>
      </c>
      <c r="B7" s="85" t="s">
        <v>176</v>
      </c>
      <c r="C7" s="89">
        <f t="shared" si="4"/>
        <v>4.3999999999999997E-2</v>
      </c>
      <c r="D7" s="89">
        <v>0.21299999999999999</v>
      </c>
      <c r="E7" s="89">
        <f t="shared" si="0"/>
        <v>0.25700000000000001</v>
      </c>
      <c r="F7" s="948">
        <v>7.2</v>
      </c>
      <c r="G7" s="1197">
        <v>1</v>
      </c>
      <c r="H7" s="949">
        <f>F7*Assumptions!$C$21*G7</f>
        <v>55384615.384615384</v>
      </c>
      <c r="I7" s="949">
        <f>F7*Assumptions!$C$21*(1-G7)</f>
        <v>0</v>
      </c>
      <c r="J7" s="897">
        <f t="shared" si="11"/>
        <v>55384615.384615384</v>
      </c>
      <c r="K7" s="156">
        <f t="shared" si="5"/>
        <v>1.8479999999999999</v>
      </c>
      <c r="L7" s="156">
        <v>1.591</v>
      </c>
      <c r="M7" s="156">
        <f t="shared" si="6"/>
        <v>1.591</v>
      </c>
      <c r="N7" s="952">
        <f t="shared" si="7"/>
        <v>0.2569999999999999</v>
      </c>
      <c r="O7" s="70">
        <f t="shared" si="8"/>
        <v>102350769.23076922</v>
      </c>
      <c r="P7" s="70">
        <f t="shared" si="9"/>
        <v>88116923.076923072</v>
      </c>
      <c r="Q7" s="70">
        <f t="shared" si="10"/>
        <v>88116923.076923072</v>
      </c>
      <c r="R7" s="70">
        <f t="shared" si="2"/>
        <v>14233846.153846145</v>
      </c>
    </row>
    <row r="8" spans="1:18" s="85" customFormat="1" x14ac:dyDescent="0.6">
      <c r="A8" s="60">
        <f t="shared" si="3"/>
        <v>5</v>
      </c>
      <c r="B8" s="85" t="s">
        <v>142</v>
      </c>
      <c r="C8" s="89">
        <f t="shared" si="4"/>
        <v>4.3999999999999997E-2</v>
      </c>
      <c r="D8" s="89">
        <v>0.27</v>
      </c>
      <c r="E8" s="89">
        <f t="shared" si="0"/>
        <v>0.314</v>
      </c>
      <c r="F8" s="948">
        <v>637.6</v>
      </c>
      <c r="G8" s="1197">
        <v>0.5</v>
      </c>
      <c r="H8" s="949">
        <f>F8*Assumptions!$C$21*G8</f>
        <v>2452307692.3076925</v>
      </c>
      <c r="I8" s="949">
        <f>F8*Assumptions!$C$21*(1-G8)</f>
        <v>2452307692.3076925</v>
      </c>
      <c r="J8" s="897">
        <f t="shared" si="11"/>
        <v>4904615384.6153851</v>
      </c>
      <c r="K8" s="156">
        <f t="shared" si="5"/>
        <v>1.962</v>
      </c>
      <c r="L8" s="156">
        <v>1.6479999999999999</v>
      </c>
      <c r="M8" s="156">
        <f t="shared" si="6"/>
        <v>1.6479999999999999</v>
      </c>
      <c r="N8" s="952">
        <f t="shared" si="7"/>
        <v>0.31400000000000006</v>
      </c>
      <c r="O8" s="70">
        <f t="shared" si="8"/>
        <v>4811427692.3076925</v>
      </c>
      <c r="P8" s="70">
        <f t="shared" si="9"/>
        <v>4041403076.9230771</v>
      </c>
      <c r="Q8" s="70">
        <f t="shared" si="10"/>
        <v>4041403076.9230771</v>
      </c>
      <c r="R8" s="70">
        <f t="shared" si="2"/>
        <v>770024615.38461542</v>
      </c>
    </row>
    <row r="9" spans="1:18" s="85" customFormat="1" x14ac:dyDescent="0.6">
      <c r="A9" s="60">
        <f t="shared" si="3"/>
        <v>6</v>
      </c>
      <c r="B9" s="85" t="s">
        <v>175</v>
      </c>
      <c r="C9" s="89">
        <f t="shared" si="4"/>
        <v>4.3999999999999997E-2</v>
      </c>
      <c r="D9" s="89">
        <v>0.127</v>
      </c>
      <c r="E9" s="89">
        <f t="shared" si="0"/>
        <v>0.17099999999999999</v>
      </c>
      <c r="F9" s="948">
        <v>52.5</v>
      </c>
      <c r="G9" s="1197">
        <v>0.8</v>
      </c>
      <c r="H9" s="949">
        <f>F9*Assumptions!$C$21*G9</f>
        <v>323076923.07692313</v>
      </c>
      <c r="I9" s="949">
        <f>F9*Assumptions!$C$21*(1-G9)</f>
        <v>80769230.769230753</v>
      </c>
      <c r="J9" s="897">
        <f t="shared" si="11"/>
        <v>403846153.84615386</v>
      </c>
      <c r="K9" s="156">
        <f t="shared" si="5"/>
        <v>1.8260000000000001</v>
      </c>
      <c r="L9" s="156">
        <v>1.655</v>
      </c>
      <c r="M9" s="156">
        <f t="shared" si="6"/>
        <v>1.655</v>
      </c>
      <c r="N9" s="952">
        <f t="shared" si="7"/>
        <v>0.17100000000000004</v>
      </c>
      <c r="O9" s="70">
        <f t="shared" si="8"/>
        <v>589938461.53846169</v>
      </c>
      <c r="P9" s="70">
        <f t="shared" si="9"/>
        <v>534692307.69230777</v>
      </c>
      <c r="Q9" s="70">
        <f t="shared" si="10"/>
        <v>534692307.69230777</v>
      </c>
      <c r="R9" s="70">
        <f t="shared" si="2"/>
        <v>55246153.846153915</v>
      </c>
    </row>
    <row r="10" spans="1:18" s="85" customFormat="1" x14ac:dyDescent="0.6">
      <c r="A10" s="60">
        <f t="shared" si="3"/>
        <v>7</v>
      </c>
      <c r="B10" s="85" t="s">
        <v>143</v>
      </c>
      <c r="C10" s="89">
        <f t="shared" si="4"/>
        <v>4.3999999999999997E-2</v>
      </c>
      <c r="D10" s="89">
        <v>0.26429999999999998</v>
      </c>
      <c r="E10" s="89">
        <f t="shared" si="0"/>
        <v>0.30829999999999996</v>
      </c>
      <c r="F10" s="948">
        <v>8.6999999999999993</v>
      </c>
      <c r="G10" s="1197">
        <v>0.8</v>
      </c>
      <c r="H10" s="949">
        <f>F10*Assumptions!$C$21*G10</f>
        <v>53538461.538461536</v>
      </c>
      <c r="I10" s="949">
        <f>F10*Assumptions!$C$21*(1-G10)</f>
        <v>13384615.38461538</v>
      </c>
      <c r="J10" s="897">
        <f t="shared" si="11"/>
        <v>66923076.923076913</v>
      </c>
      <c r="K10" s="156">
        <f t="shared" si="5"/>
        <v>2.0352999999999999</v>
      </c>
      <c r="L10" s="156">
        <v>1.7270000000000001</v>
      </c>
      <c r="M10" s="156">
        <f t="shared" si="6"/>
        <v>1.7270000000000001</v>
      </c>
      <c r="N10" s="952">
        <f t="shared" si="7"/>
        <v>0.3082999999999998</v>
      </c>
      <c r="O10" s="70">
        <f t="shared" si="8"/>
        <v>108966830.76923075</v>
      </c>
      <c r="P10" s="70">
        <f t="shared" si="9"/>
        <v>92460923.076923072</v>
      </c>
      <c r="Q10" s="70">
        <f t="shared" si="10"/>
        <v>92460923.076923072</v>
      </c>
      <c r="R10" s="70">
        <f t="shared" si="2"/>
        <v>16505907.692307681</v>
      </c>
    </row>
    <row r="11" spans="1:18" s="85" customFormat="1" x14ac:dyDescent="0.6">
      <c r="A11" s="60">
        <f t="shared" si="3"/>
        <v>8</v>
      </c>
      <c r="B11" s="85" t="s">
        <v>172</v>
      </c>
      <c r="C11" s="89">
        <f t="shared" si="4"/>
        <v>4.3999999999999997E-2</v>
      </c>
      <c r="D11" s="89">
        <v>0</v>
      </c>
      <c r="E11" s="89">
        <f t="shared" si="0"/>
        <v>4.3999999999999997E-2</v>
      </c>
      <c r="F11" s="948">
        <v>0.7</v>
      </c>
      <c r="G11" s="1197">
        <v>1</v>
      </c>
      <c r="H11" s="949">
        <f>F11*Assumptions!$C$21*G11</f>
        <v>5384615.384615384</v>
      </c>
      <c r="I11" s="949">
        <f>F11*Assumptions!$C$21*(1-G11)</f>
        <v>0</v>
      </c>
      <c r="J11" s="897">
        <f t="shared" si="11"/>
        <v>5384615.384615384</v>
      </c>
      <c r="K11" s="156">
        <f t="shared" si="5"/>
        <v>1.663</v>
      </c>
      <c r="L11" s="156">
        <v>1.619</v>
      </c>
      <c r="M11" s="156">
        <f t="shared" si="6"/>
        <v>1.619</v>
      </c>
      <c r="N11" s="952">
        <f t="shared" si="7"/>
        <v>4.4000000000000039E-2</v>
      </c>
      <c r="O11" s="70">
        <f t="shared" si="8"/>
        <v>8954615.384615384</v>
      </c>
      <c r="P11" s="70">
        <f t="shared" si="9"/>
        <v>8717692.3076923061</v>
      </c>
      <c r="Q11" s="70">
        <f t="shared" si="10"/>
        <v>8717692.3076923061</v>
      </c>
      <c r="R11" s="70">
        <f t="shared" si="2"/>
        <v>236923.07692307793</v>
      </c>
    </row>
    <row r="12" spans="1:18" s="85" customFormat="1" x14ac:dyDescent="0.6">
      <c r="A12" s="60">
        <f t="shared" si="3"/>
        <v>9</v>
      </c>
      <c r="B12" s="85" t="s">
        <v>171</v>
      </c>
      <c r="C12" s="89">
        <f t="shared" si="4"/>
        <v>4.3999999999999997E-2</v>
      </c>
      <c r="D12" s="89">
        <v>0</v>
      </c>
      <c r="E12" s="89">
        <f t="shared" si="0"/>
        <v>4.3999999999999997E-2</v>
      </c>
      <c r="F12" s="948">
        <v>0</v>
      </c>
      <c r="G12" s="1197">
        <v>1</v>
      </c>
      <c r="H12" s="949">
        <f>F12*Assumptions!$C$21*G12</f>
        <v>0</v>
      </c>
      <c r="I12" s="949">
        <f>F12*Assumptions!$C$21*(1-G12)</f>
        <v>0</v>
      </c>
      <c r="J12" s="897">
        <f t="shared" si="11"/>
        <v>0</v>
      </c>
      <c r="K12" s="156">
        <f t="shared" si="5"/>
        <v>1.663</v>
      </c>
      <c r="L12" s="156">
        <v>1.619</v>
      </c>
      <c r="M12" s="156">
        <f t="shared" si="6"/>
        <v>1.619</v>
      </c>
      <c r="N12" s="952">
        <f t="shared" si="7"/>
        <v>4.4000000000000039E-2</v>
      </c>
      <c r="O12" s="70">
        <f t="shared" si="8"/>
        <v>0</v>
      </c>
      <c r="P12" s="70">
        <f t="shared" si="9"/>
        <v>0</v>
      </c>
      <c r="Q12" s="70">
        <f t="shared" si="10"/>
        <v>0</v>
      </c>
      <c r="R12" s="70">
        <f t="shared" si="2"/>
        <v>0</v>
      </c>
    </row>
    <row r="13" spans="1:18" s="85" customFormat="1" x14ac:dyDescent="0.6">
      <c r="A13" s="60">
        <f t="shared" si="3"/>
        <v>10</v>
      </c>
      <c r="B13" s="85" t="s">
        <v>144</v>
      </c>
      <c r="C13" s="89">
        <f t="shared" si="4"/>
        <v>4.3999999999999997E-2</v>
      </c>
      <c r="D13" s="89">
        <v>8.9700000000000002E-2</v>
      </c>
      <c r="E13" s="89">
        <f t="shared" si="0"/>
        <v>0.13369999999999999</v>
      </c>
      <c r="F13" s="948">
        <v>198.6</v>
      </c>
      <c r="G13" s="1197">
        <v>0.5</v>
      </c>
      <c r="H13" s="949">
        <f>F13*Assumptions!$C$21*G13</f>
        <v>763846153.84615386</v>
      </c>
      <c r="I13" s="949">
        <f>F13*Assumptions!$C$21*(1-G13)</f>
        <v>763846153.84615386</v>
      </c>
      <c r="J13" s="897">
        <f t="shared" si="11"/>
        <v>1527692307.6923077</v>
      </c>
      <c r="K13" s="156">
        <f t="shared" si="5"/>
        <v>1.7947</v>
      </c>
      <c r="L13" s="156">
        <v>1.661</v>
      </c>
      <c r="M13" s="156">
        <f t="shared" si="6"/>
        <v>1.661</v>
      </c>
      <c r="N13" s="952">
        <f t="shared" si="7"/>
        <v>0.13369999999999993</v>
      </c>
      <c r="O13" s="70">
        <f t="shared" si="8"/>
        <v>1370874692.3076923</v>
      </c>
      <c r="P13" s="70">
        <f t="shared" si="9"/>
        <v>1268748461.5384617</v>
      </c>
      <c r="Q13" s="70">
        <f t="shared" si="10"/>
        <v>1268748461.5384617</v>
      </c>
      <c r="R13" s="70">
        <f t="shared" si="2"/>
        <v>102126230.7692306</v>
      </c>
    </row>
    <row r="14" spans="1:18" s="85" customFormat="1" x14ac:dyDescent="0.6">
      <c r="A14" s="60">
        <f t="shared" si="3"/>
        <v>11</v>
      </c>
      <c r="B14" s="85" t="s">
        <v>154</v>
      </c>
      <c r="C14" s="89">
        <f t="shared" si="4"/>
        <v>4.3999999999999997E-2</v>
      </c>
      <c r="D14" s="89">
        <v>0.15</v>
      </c>
      <c r="E14" s="89">
        <f t="shared" si="0"/>
        <v>0.19400000000000001</v>
      </c>
      <c r="F14" s="948">
        <v>23.5</v>
      </c>
      <c r="G14" s="1197">
        <v>0.7</v>
      </c>
      <c r="H14" s="949">
        <f>F14*Assumptions!$C$21*G14</f>
        <v>126538461.53846152</v>
      </c>
      <c r="I14" s="949">
        <f>F14*Assumptions!$C$21*(1-G14)</f>
        <v>54230769.230769232</v>
      </c>
      <c r="J14" s="897">
        <f t="shared" si="11"/>
        <v>180769230.76923075</v>
      </c>
      <c r="K14" s="156">
        <f t="shared" si="5"/>
        <v>1.847</v>
      </c>
      <c r="L14" s="156">
        <v>1.653</v>
      </c>
      <c r="M14" s="156">
        <f t="shared" si="6"/>
        <v>1.653</v>
      </c>
      <c r="N14" s="952">
        <f t="shared" si="7"/>
        <v>0.19399999999999995</v>
      </c>
      <c r="O14" s="70">
        <f t="shared" si="8"/>
        <v>233716538.46153843</v>
      </c>
      <c r="P14" s="70">
        <f t="shared" si="9"/>
        <v>209168076.9230769</v>
      </c>
      <c r="Q14" s="70">
        <f t="shared" si="10"/>
        <v>209168076.9230769</v>
      </c>
      <c r="R14" s="70">
        <f t="shared" si="2"/>
        <v>24548461.538461536</v>
      </c>
    </row>
    <row r="15" spans="1:18" s="85" customFormat="1" x14ac:dyDescent="0.6">
      <c r="A15" s="60">
        <f t="shared" si="3"/>
        <v>12</v>
      </c>
      <c r="B15" s="85" t="s">
        <v>141</v>
      </c>
      <c r="C15" s="89">
        <f t="shared" si="4"/>
        <v>4.3999999999999997E-2</v>
      </c>
      <c r="D15" s="89">
        <v>0.161</v>
      </c>
      <c r="E15" s="89">
        <f t="shared" si="0"/>
        <v>0.20500000000000002</v>
      </c>
      <c r="F15" s="948">
        <v>76.099999999999994</v>
      </c>
      <c r="G15" s="1197">
        <v>0.66700000000000004</v>
      </c>
      <c r="H15" s="949">
        <f>F15*Assumptions!$C$21*G15</f>
        <v>390451538.46153843</v>
      </c>
      <c r="I15" s="949">
        <f>F15*Assumptions!$C$21*(1-G15)</f>
        <v>194933076.92307687</v>
      </c>
      <c r="J15" s="897">
        <f t="shared" si="11"/>
        <v>585384615.3846153</v>
      </c>
      <c r="K15" s="156">
        <f t="shared" si="5"/>
        <v>1.87</v>
      </c>
      <c r="L15" s="156">
        <v>1.665</v>
      </c>
      <c r="M15" s="156">
        <f t="shared" si="6"/>
        <v>1.665</v>
      </c>
      <c r="N15" s="952">
        <f t="shared" si="7"/>
        <v>0.20500000000000007</v>
      </c>
      <c r="O15" s="70">
        <f t="shared" si="8"/>
        <v>730144376.92307687</v>
      </c>
      <c r="P15" s="70">
        <f t="shared" si="9"/>
        <v>650101811.53846157</v>
      </c>
      <c r="Q15" s="70">
        <f t="shared" si="10"/>
        <v>650101811.53846157</v>
      </c>
      <c r="R15" s="70">
        <f t="shared" si="2"/>
        <v>80042565.384615302</v>
      </c>
    </row>
    <row r="16" spans="1:18" s="85" customFormat="1" x14ac:dyDescent="0.6">
      <c r="A16" s="60">
        <f t="shared" si="3"/>
        <v>13</v>
      </c>
      <c r="B16" s="85" t="s">
        <v>152</v>
      </c>
      <c r="C16" s="89">
        <f t="shared" si="4"/>
        <v>4.3999999999999997E-2</v>
      </c>
      <c r="D16" s="89">
        <v>7.0000000000000007E-2</v>
      </c>
      <c r="E16" s="89">
        <f t="shared" si="0"/>
        <v>0.114</v>
      </c>
      <c r="F16" s="948">
        <v>4.7</v>
      </c>
      <c r="G16" s="1197">
        <v>0.9</v>
      </c>
      <c r="H16" s="949">
        <f>F16*Assumptions!$C$21*G16</f>
        <v>32538461.538461536</v>
      </c>
      <c r="I16" s="949">
        <f>F16*Assumptions!$C$21*(1-G16)</f>
        <v>3615384.6153846146</v>
      </c>
      <c r="J16" s="897">
        <f t="shared" si="11"/>
        <v>36153846.153846152</v>
      </c>
      <c r="K16" s="156">
        <f t="shared" si="5"/>
        <v>1.804</v>
      </c>
      <c r="L16" s="156">
        <v>1.69</v>
      </c>
      <c r="M16" s="156">
        <f t="shared" si="6"/>
        <v>1.69</v>
      </c>
      <c r="N16" s="952">
        <f t="shared" si="7"/>
        <v>0.1140000000000001</v>
      </c>
      <c r="O16" s="70">
        <f t="shared" si="8"/>
        <v>58699384.615384616</v>
      </c>
      <c r="P16" s="70">
        <f t="shared" si="9"/>
        <v>54989999.999999993</v>
      </c>
      <c r="Q16" s="70">
        <f t="shared" si="10"/>
        <v>54989999.999999993</v>
      </c>
      <c r="R16" s="70">
        <f t="shared" si="2"/>
        <v>3709384.6153846234</v>
      </c>
    </row>
    <row r="17" spans="1:18" s="85" customFormat="1" x14ac:dyDescent="0.6">
      <c r="A17" s="60">
        <f t="shared" si="3"/>
        <v>14</v>
      </c>
      <c r="B17" s="85" t="s">
        <v>157</v>
      </c>
      <c r="C17" s="89">
        <f t="shared" si="4"/>
        <v>4.3999999999999997E-2</v>
      </c>
      <c r="D17" s="89">
        <v>0.32750000000000001</v>
      </c>
      <c r="E17" s="89">
        <f t="shared" si="0"/>
        <v>0.3715</v>
      </c>
      <c r="F17" s="948">
        <v>150.69999999999999</v>
      </c>
      <c r="G17" s="1197">
        <v>0.7</v>
      </c>
      <c r="H17" s="949">
        <f>F17*Assumptions!$C$21*G17</f>
        <v>811461538.46153831</v>
      </c>
      <c r="I17" s="949">
        <f>F17*Assumptions!$C$21*(1-G17)</f>
        <v>347769230.76923078</v>
      </c>
      <c r="J17" s="897">
        <f t="shared" si="11"/>
        <v>1159230769.2307692</v>
      </c>
      <c r="K17" s="156">
        <f t="shared" si="5"/>
        <v>1.9904999999999999</v>
      </c>
      <c r="L17" s="156">
        <v>1.619</v>
      </c>
      <c r="M17" s="156">
        <f t="shared" si="6"/>
        <v>1.619</v>
      </c>
      <c r="N17" s="952">
        <f t="shared" si="7"/>
        <v>0.37149999999999994</v>
      </c>
      <c r="O17" s="70">
        <f t="shared" si="8"/>
        <v>1615214192.3076921</v>
      </c>
      <c r="P17" s="70">
        <f t="shared" si="9"/>
        <v>1313756230.7692306</v>
      </c>
      <c r="Q17" s="70">
        <f t="shared" si="10"/>
        <v>1313756230.7692306</v>
      </c>
      <c r="R17" s="70">
        <f t="shared" si="2"/>
        <v>301457961.53846145</v>
      </c>
    </row>
    <row r="18" spans="1:18" s="85" customFormat="1" x14ac:dyDescent="0.6">
      <c r="A18" s="60">
        <f t="shared" si="3"/>
        <v>15</v>
      </c>
      <c r="B18" s="85" t="s">
        <v>160</v>
      </c>
      <c r="C18" s="89">
        <f t="shared" si="4"/>
        <v>4.3999999999999997E-2</v>
      </c>
      <c r="D18" s="89">
        <v>0.01</v>
      </c>
      <c r="E18" s="89">
        <f t="shared" si="0"/>
        <v>5.3999999999999999E-2</v>
      </c>
      <c r="F18" s="948">
        <v>46.4</v>
      </c>
      <c r="G18" s="1197">
        <v>0.8</v>
      </c>
      <c r="H18" s="949">
        <f>F18*Assumptions!$C$21*G18</f>
        <v>285538461.53846157</v>
      </c>
      <c r="I18" s="949">
        <f>F18*Assumptions!$C$21*(1-G18)</f>
        <v>71384615.384615377</v>
      </c>
      <c r="J18" s="897">
        <f t="shared" si="11"/>
        <v>356923076.92307693</v>
      </c>
      <c r="K18" s="156">
        <f t="shared" si="5"/>
        <v>1.6500000000000001</v>
      </c>
      <c r="L18" s="156">
        <v>1.5960000000000001</v>
      </c>
      <c r="M18" s="156">
        <f t="shared" si="6"/>
        <v>1.5960000000000001</v>
      </c>
      <c r="N18" s="952">
        <f t="shared" si="7"/>
        <v>5.4000000000000048E-2</v>
      </c>
      <c r="O18" s="70">
        <f t="shared" si="8"/>
        <v>471138461.53846163</v>
      </c>
      <c r="P18" s="70">
        <f t="shared" si="9"/>
        <v>455719384.6153847</v>
      </c>
      <c r="Q18" s="70">
        <f t="shared" si="10"/>
        <v>455719384.6153847</v>
      </c>
      <c r="R18" s="70">
        <f t="shared" si="2"/>
        <v>15419076.923076928</v>
      </c>
    </row>
    <row r="19" spans="1:18" s="85" customFormat="1" x14ac:dyDescent="0.6">
      <c r="A19" s="60">
        <f t="shared" si="3"/>
        <v>16</v>
      </c>
      <c r="B19" s="85" t="s">
        <v>151</v>
      </c>
      <c r="C19" s="89">
        <f t="shared" si="4"/>
        <v>4.3999999999999997E-2</v>
      </c>
      <c r="D19" s="89">
        <v>0.04</v>
      </c>
      <c r="E19" s="89">
        <f t="shared" si="0"/>
        <v>8.3999999999999991E-2</v>
      </c>
      <c r="F19" s="948">
        <v>5.6</v>
      </c>
      <c r="G19" s="1197">
        <v>1</v>
      </c>
      <c r="H19" s="949">
        <f>F19*Assumptions!$C$21*G19</f>
        <v>43076923.076923072</v>
      </c>
      <c r="I19" s="949">
        <f>F19*Assumptions!$C$21*(1-G19)</f>
        <v>0</v>
      </c>
      <c r="J19" s="897">
        <f t="shared" si="11"/>
        <v>43076923.076923072</v>
      </c>
      <c r="K19" s="156">
        <f t="shared" si="5"/>
        <v>1.6880000000000002</v>
      </c>
      <c r="L19" s="156">
        <v>1.6040000000000001</v>
      </c>
      <c r="M19" s="156">
        <f t="shared" si="6"/>
        <v>1.6040000000000001</v>
      </c>
      <c r="N19" s="952">
        <f t="shared" si="7"/>
        <v>8.4000000000000075E-2</v>
      </c>
      <c r="O19" s="70">
        <f t="shared" si="8"/>
        <v>72713846.15384616</v>
      </c>
      <c r="P19" s="70">
        <f t="shared" si="9"/>
        <v>69095384.615384609</v>
      </c>
      <c r="Q19" s="70">
        <f t="shared" si="10"/>
        <v>69095384.615384609</v>
      </c>
      <c r="R19" s="70">
        <f t="shared" si="2"/>
        <v>3618461.5384615511</v>
      </c>
    </row>
    <row r="20" spans="1:18" s="85" customFormat="1" x14ac:dyDescent="0.6">
      <c r="A20" s="60">
        <f t="shared" si="3"/>
        <v>17</v>
      </c>
      <c r="B20" s="85" t="s">
        <v>168</v>
      </c>
      <c r="C20" s="89">
        <f t="shared" si="4"/>
        <v>4.3999999999999997E-2</v>
      </c>
      <c r="D20" s="89">
        <v>0.2145</v>
      </c>
      <c r="E20" s="89">
        <f t="shared" si="0"/>
        <v>0.25850000000000001</v>
      </c>
      <c r="F20" s="948">
        <v>9.1</v>
      </c>
      <c r="G20" s="1197">
        <v>1</v>
      </c>
      <c r="H20" s="949">
        <f>F20*Assumptions!$C$21*G20</f>
        <v>70000000</v>
      </c>
      <c r="I20" s="949">
        <f>F20*Assumptions!$C$21*(1-G20)</f>
        <v>0</v>
      </c>
      <c r="J20" s="897">
        <f t="shared" si="11"/>
        <v>70000000</v>
      </c>
      <c r="K20" s="156">
        <f t="shared" si="5"/>
        <v>1.8625</v>
      </c>
      <c r="L20" s="156">
        <v>1.6040000000000001</v>
      </c>
      <c r="M20" s="156">
        <f t="shared" si="6"/>
        <v>1.6040000000000001</v>
      </c>
      <c r="N20" s="952">
        <f t="shared" si="7"/>
        <v>0.25849999999999995</v>
      </c>
      <c r="O20" s="70">
        <f t="shared" si="8"/>
        <v>130375000</v>
      </c>
      <c r="P20" s="70">
        <f t="shared" si="9"/>
        <v>112280000</v>
      </c>
      <c r="Q20" s="70">
        <f t="shared" si="10"/>
        <v>112280000</v>
      </c>
      <c r="R20" s="70">
        <f t="shared" si="2"/>
        <v>18095000</v>
      </c>
    </row>
    <row r="21" spans="1:18" s="85" customFormat="1" x14ac:dyDescent="0.6">
      <c r="A21" s="60">
        <f t="shared" si="3"/>
        <v>18</v>
      </c>
      <c r="B21" s="85" t="s">
        <v>167</v>
      </c>
      <c r="C21" s="89">
        <f t="shared" si="4"/>
        <v>4.3999999999999997E-2</v>
      </c>
      <c r="D21" s="89">
        <v>3.4000000000000002E-2</v>
      </c>
      <c r="E21" s="89">
        <f t="shared" si="0"/>
        <v>7.8E-2</v>
      </c>
      <c r="F21" s="948">
        <v>61.4</v>
      </c>
      <c r="G21" s="1197">
        <v>0.9</v>
      </c>
      <c r="H21" s="949">
        <f>F21*Assumptions!$C$21*G21</f>
        <v>425076923.07692307</v>
      </c>
      <c r="I21" s="949">
        <f>F21*Assumptions!$C$21*(1-G21)</f>
        <v>47230769.230769217</v>
      </c>
      <c r="J21" s="897">
        <f t="shared" si="11"/>
        <v>472307692.30769229</v>
      </c>
      <c r="K21" s="156">
        <f t="shared" si="5"/>
        <v>1.6820000000000002</v>
      </c>
      <c r="L21" s="156">
        <v>1.6040000000000001</v>
      </c>
      <c r="M21" s="156">
        <f t="shared" si="6"/>
        <v>1.6040000000000001</v>
      </c>
      <c r="N21" s="952">
        <f t="shared" si="7"/>
        <v>7.8000000000000069E-2</v>
      </c>
      <c r="O21" s="70">
        <f t="shared" si="8"/>
        <v>714979384.6153847</v>
      </c>
      <c r="P21" s="70">
        <f t="shared" si="9"/>
        <v>681823384.6153847</v>
      </c>
      <c r="Q21" s="70">
        <f t="shared" si="10"/>
        <v>681823384.6153847</v>
      </c>
      <c r="R21" s="70">
        <f t="shared" si="2"/>
        <v>33156000</v>
      </c>
    </row>
    <row r="22" spans="1:18" s="85" customFormat="1" x14ac:dyDescent="0.6">
      <c r="A22" s="60">
        <f t="shared" si="3"/>
        <v>19</v>
      </c>
      <c r="B22" s="85" t="s">
        <v>179</v>
      </c>
      <c r="C22" s="89">
        <f t="shared" si="4"/>
        <v>4.3999999999999997E-2</v>
      </c>
      <c r="D22" s="89">
        <v>0.12130000000000001</v>
      </c>
      <c r="E22" s="89">
        <f t="shared" si="0"/>
        <v>0.1653</v>
      </c>
      <c r="F22" s="948">
        <v>178</v>
      </c>
      <c r="G22" s="1197">
        <v>0.75</v>
      </c>
      <c r="H22" s="949">
        <f>F22*Assumptions!$C$21*G22</f>
        <v>1026923076.9230769</v>
      </c>
      <c r="I22" s="949">
        <f>F22*Assumptions!$C$21*(1-G22)</f>
        <v>342307692.30769229</v>
      </c>
      <c r="J22" s="897">
        <f t="shared" si="11"/>
        <v>1369230769.2307692</v>
      </c>
      <c r="K22" s="156">
        <f t="shared" si="5"/>
        <v>1.7353000000000001</v>
      </c>
      <c r="L22" s="156">
        <v>1.57</v>
      </c>
      <c r="M22" s="156">
        <f t="shared" si="6"/>
        <v>1.57</v>
      </c>
      <c r="N22" s="952">
        <f t="shared" si="7"/>
        <v>0.1653</v>
      </c>
      <c r="O22" s="70">
        <f t="shared" si="8"/>
        <v>1782019615.3846154</v>
      </c>
      <c r="P22" s="70">
        <f t="shared" si="9"/>
        <v>1612269230.7692308</v>
      </c>
      <c r="Q22" s="70">
        <f t="shared" si="10"/>
        <v>1612269230.7692308</v>
      </c>
      <c r="R22" s="70">
        <f t="shared" si="2"/>
        <v>169750384.61538458</v>
      </c>
    </row>
    <row r="23" spans="1:18" s="85" customFormat="1" x14ac:dyDescent="0.6">
      <c r="A23" s="60">
        <f t="shared" si="3"/>
        <v>20</v>
      </c>
      <c r="B23" s="85" t="s">
        <v>158</v>
      </c>
      <c r="C23" s="89">
        <f t="shared" si="4"/>
        <v>4.3999999999999997E-2</v>
      </c>
      <c r="D23" s="89">
        <v>4.1599999999999998E-2</v>
      </c>
      <c r="E23" s="89">
        <f t="shared" si="0"/>
        <v>8.5599999999999996E-2</v>
      </c>
      <c r="F23" s="948">
        <v>5.4</v>
      </c>
      <c r="G23" s="1197">
        <v>0.9</v>
      </c>
      <c r="H23" s="949">
        <f>F23*Assumptions!$C$21*G23</f>
        <v>37384615.384615384</v>
      </c>
      <c r="I23" s="949">
        <f>F23*Assumptions!$C$21*(1-G23)</f>
        <v>4153846.1538461526</v>
      </c>
      <c r="J23" s="897">
        <f t="shared" si="11"/>
        <v>41538461.538461536</v>
      </c>
      <c r="K23" s="156">
        <f t="shared" si="5"/>
        <v>1.8126</v>
      </c>
      <c r="L23" s="156">
        <v>1.7270000000000001</v>
      </c>
      <c r="M23" s="156">
        <f t="shared" si="6"/>
        <v>1.7270000000000001</v>
      </c>
      <c r="N23" s="952">
        <f t="shared" si="7"/>
        <v>8.5599999999999898E-2</v>
      </c>
      <c r="O23" s="70">
        <f t="shared" si="8"/>
        <v>67763353.84615384</v>
      </c>
      <c r="P23" s="70">
        <f t="shared" si="9"/>
        <v>64563230.769230768</v>
      </c>
      <c r="Q23" s="70">
        <f t="shared" si="10"/>
        <v>64563230.769230768</v>
      </c>
      <c r="R23" s="70">
        <f t="shared" si="2"/>
        <v>3200123.0769230723</v>
      </c>
    </row>
    <row r="24" spans="1:18" s="85" customFormat="1" x14ac:dyDescent="0.6">
      <c r="A24" s="60">
        <f t="shared" si="3"/>
        <v>21</v>
      </c>
      <c r="B24" s="85" t="s">
        <v>150</v>
      </c>
      <c r="C24" s="89">
        <f t="shared" si="4"/>
        <v>4.3999999999999997E-2</v>
      </c>
      <c r="D24" s="89">
        <v>6.9999999999999999E-4</v>
      </c>
      <c r="E24" s="89">
        <f t="shared" si="0"/>
        <v>4.4699999999999997E-2</v>
      </c>
      <c r="F24" s="948">
        <v>8</v>
      </c>
      <c r="G24" s="1197">
        <v>0.66700000000000004</v>
      </c>
      <c r="H24" s="949">
        <f>F24*Assumptions!$C$21*G24</f>
        <v>41046153.846153848</v>
      </c>
      <c r="I24" s="949">
        <f>F24*Assumptions!$C$21*(1-G24)</f>
        <v>20492307.692307688</v>
      </c>
      <c r="J24" s="897">
        <f t="shared" si="11"/>
        <v>61538461.538461536</v>
      </c>
      <c r="K24" s="156">
        <f t="shared" si="5"/>
        <v>1.6637</v>
      </c>
      <c r="L24" s="156">
        <v>1.619</v>
      </c>
      <c r="M24" s="156">
        <f t="shared" si="6"/>
        <v>1.619</v>
      </c>
      <c r="N24" s="952">
        <f t="shared" si="7"/>
        <v>4.4699999999999962E-2</v>
      </c>
      <c r="O24" s="70">
        <f t="shared" si="8"/>
        <v>68288486.15384616</v>
      </c>
      <c r="P24" s="70">
        <f t="shared" si="9"/>
        <v>66453723.07692308</v>
      </c>
      <c r="Q24" s="70">
        <f t="shared" si="10"/>
        <v>66453723.07692308</v>
      </c>
      <c r="R24" s="70">
        <f t="shared" si="2"/>
        <v>1834763.0769230798</v>
      </c>
    </row>
    <row r="25" spans="1:18" s="85" customFormat="1" x14ac:dyDescent="0.6">
      <c r="A25" s="60">
        <f t="shared" si="3"/>
        <v>22</v>
      </c>
      <c r="B25" s="85" t="s">
        <v>166</v>
      </c>
      <c r="C25" s="89">
        <f t="shared" si="4"/>
        <v>4.3999999999999997E-2</v>
      </c>
      <c r="D25" s="89">
        <v>0.16589999999999999</v>
      </c>
      <c r="E25" s="89">
        <f t="shared" si="0"/>
        <v>0.20989999999999998</v>
      </c>
      <c r="F25" s="948">
        <v>36.5</v>
      </c>
      <c r="G25" s="1197">
        <v>0.66700000000000004</v>
      </c>
      <c r="H25" s="949">
        <f>F25*Assumptions!$C$21*G25</f>
        <v>187273076.92307696</v>
      </c>
      <c r="I25" s="949">
        <f>F25*Assumptions!$C$21*(1-G25)</f>
        <v>93496153.84615384</v>
      </c>
      <c r="J25" s="897">
        <f t="shared" si="11"/>
        <v>280769230.76923078</v>
      </c>
      <c r="K25" s="156">
        <f t="shared" si="5"/>
        <v>1.8789</v>
      </c>
      <c r="L25" s="156">
        <v>1.669</v>
      </c>
      <c r="M25" s="156">
        <f t="shared" si="6"/>
        <v>1.669</v>
      </c>
      <c r="N25" s="952">
        <f t="shared" si="7"/>
        <v>0.20989999999999998</v>
      </c>
      <c r="O25" s="70">
        <f t="shared" si="8"/>
        <v>351867384.23076928</v>
      </c>
      <c r="P25" s="70">
        <f t="shared" si="9"/>
        <v>312558765.38461542</v>
      </c>
      <c r="Q25" s="70">
        <f t="shared" si="10"/>
        <v>312558765.38461542</v>
      </c>
      <c r="R25" s="70">
        <f t="shared" si="2"/>
        <v>39308618.846153855</v>
      </c>
    </row>
    <row r="26" spans="1:18" s="85" customFormat="1" x14ac:dyDescent="0.6">
      <c r="A26" s="60">
        <f t="shared" si="3"/>
        <v>23</v>
      </c>
      <c r="B26" s="85" t="s">
        <v>155</v>
      </c>
      <c r="C26" s="89">
        <f t="shared" si="4"/>
        <v>4.3999999999999997E-2</v>
      </c>
      <c r="D26" s="89">
        <v>0.21879999999999999</v>
      </c>
      <c r="E26" s="89">
        <f t="shared" si="0"/>
        <v>0.26279999999999998</v>
      </c>
      <c r="F26" s="948">
        <v>22</v>
      </c>
      <c r="G26" s="1197">
        <v>0.66700000000000004</v>
      </c>
      <c r="H26" s="949">
        <f>F26*Assumptions!$C$21*G26</f>
        <v>112876923.07692307</v>
      </c>
      <c r="I26" s="949">
        <f>F26*Assumptions!$C$21*(1-G26)</f>
        <v>56353846.153846145</v>
      </c>
      <c r="J26" s="897">
        <f t="shared" si="11"/>
        <v>169230769.23076922</v>
      </c>
      <c r="K26" s="156">
        <f t="shared" si="5"/>
        <v>1.8668</v>
      </c>
      <c r="L26" s="156">
        <v>1.6040000000000001</v>
      </c>
      <c r="M26" s="156">
        <f t="shared" si="6"/>
        <v>1.6040000000000001</v>
      </c>
      <c r="N26" s="952">
        <f t="shared" si="7"/>
        <v>0.26279999999999992</v>
      </c>
      <c r="O26" s="70">
        <f t="shared" si="8"/>
        <v>210718640</v>
      </c>
      <c r="P26" s="70">
        <f t="shared" si="9"/>
        <v>181054584.61538461</v>
      </c>
      <c r="Q26" s="70">
        <f t="shared" si="10"/>
        <v>181054584.61538461</v>
      </c>
      <c r="R26" s="70">
        <f t="shared" si="2"/>
        <v>29664055.384615391</v>
      </c>
    </row>
    <row r="27" spans="1:18" s="85" customFormat="1" x14ac:dyDescent="0.6">
      <c r="A27" s="60">
        <f t="shared" si="3"/>
        <v>24</v>
      </c>
      <c r="B27" s="85" t="s">
        <v>162</v>
      </c>
      <c r="C27" s="89">
        <f t="shared" si="4"/>
        <v>4.3999999999999997E-2</v>
      </c>
      <c r="D27" s="89">
        <v>2.7E-2</v>
      </c>
      <c r="E27" s="89">
        <f t="shared" si="0"/>
        <v>7.0999999999999994E-2</v>
      </c>
      <c r="F27" s="948">
        <v>28.2</v>
      </c>
      <c r="G27" s="1197">
        <v>0.66700000000000004</v>
      </c>
      <c r="H27" s="949">
        <f>F27*Assumptions!$C$21*G27</f>
        <v>144687692.30769229</v>
      </c>
      <c r="I27" s="949">
        <f>F27*Assumptions!$C$21*(1-G27)</f>
        <v>72235384.615384594</v>
      </c>
      <c r="J27" s="897">
        <f t="shared" si="11"/>
        <v>216923076.92307687</v>
      </c>
      <c r="K27" s="156">
        <f t="shared" si="5"/>
        <v>1.6579999999999999</v>
      </c>
      <c r="L27" s="156">
        <v>1.587</v>
      </c>
      <c r="M27" s="156">
        <f t="shared" si="6"/>
        <v>1.587</v>
      </c>
      <c r="N27" s="952">
        <f t="shared" si="7"/>
        <v>7.0999999999999952E-2</v>
      </c>
      <c r="O27" s="70">
        <f t="shared" si="8"/>
        <v>239892193.8461538</v>
      </c>
      <c r="P27" s="70">
        <f t="shared" si="9"/>
        <v>229619367.69230765</v>
      </c>
      <c r="Q27" s="70">
        <f t="shared" si="10"/>
        <v>229619367.69230765</v>
      </c>
      <c r="R27" s="70">
        <f t="shared" si="2"/>
        <v>10272826.153846145</v>
      </c>
    </row>
    <row r="28" spans="1:18" s="85" customFormat="1" x14ac:dyDescent="0.6">
      <c r="A28" s="60">
        <f t="shared" si="3"/>
        <v>25</v>
      </c>
      <c r="B28" s="85" t="s">
        <v>183</v>
      </c>
      <c r="C28" s="89">
        <f t="shared" si="4"/>
        <v>4.3999999999999997E-2</v>
      </c>
      <c r="D28" s="89">
        <v>5.2499999999999998E-2</v>
      </c>
      <c r="E28" s="89">
        <f t="shared" si="0"/>
        <v>9.6500000000000002E-2</v>
      </c>
      <c r="F28" s="948">
        <v>59.5</v>
      </c>
      <c r="G28" s="1197">
        <v>1</v>
      </c>
      <c r="H28" s="949">
        <f>F28*Assumptions!$C$21*G28</f>
        <v>457692307.69230765</v>
      </c>
      <c r="I28" s="949">
        <f>F28*Assumptions!$C$21*(1-G28)</f>
        <v>0</v>
      </c>
      <c r="J28" s="897">
        <f t="shared" si="11"/>
        <v>457692307.69230765</v>
      </c>
      <c r="K28" s="156">
        <f t="shared" si="5"/>
        <v>1.5885</v>
      </c>
      <c r="L28" s="156">
        <v>1.492</v>
      </c>
      <c r="M28" s="156">
        <f t="shared" si="6"/>
        <v>1.492</v>
      </c>
      <c r="N28" s="952">
        <f t="shared" si="7"/>
        <v>9.650000000000003E-2</v>
      </c>
      <c r="O28" s="70">
        <f t="shared" si="8"/>
        <v>727044230.76923072</v>
      </c>
      <c r="P28" s="70">
        <f t="shared" si="9"/>
        <v>682876923.07692301</v>
      </c>
      <c r="Q28" s="70">
        <f t="shared" si="10"/>
        <v>682876923.07692301</v>
      </c>
      <c r="R28" s="70">
        <f t="shared" si="2"/>
        <v>44167307.692307711</v>
      </c>
    </row>
    <row r="29" spans="1:18" s="85" customFormat="1" x14ac:dyDescent="0.6">
      <c r="A29" s="60">
        <f t="shared" si="3"/>
        <v>26</v>
      </c>
      <c r="B29" s="85" t="s">
        <v>184</v>
      </c>
      <c r="C29" s="89">
        <f t="shared" si="4"/>
        <v>4.3999999999999997E-2</v>
      </c>
      <c r="D29" s="89">
        <v>3.3000000000000002E-2</v>
      </c>
      <c r="E29" s="89">
        <f t="shared" si="0"/>
        <v>7.6999999999999999E-2</v>
      </c>
      <c r="F29" s="948">
        <v>18.3</v>
      </c>
      <c r="G29" s="1197">
        <v>0.8</v>
      </c>
      <c r="H29" s="949">
        <f>F29*Assumptions!$C$21*G29</f>
        <v>112615384.61538464</v>
      </c>
      <c r="I29" s="949">
        <f>F29*Assumptions!$C$21*(1-G29)</f>
        <v>28153846.153846152</v>
      </c>
      <c r="J29" s="897">
        <f t="shared" si="11"/>
        <v>140769230.76923078</v>
      </c>
      <c r="K29" s="156">
        <f t="shared" si="5"/>
        <v>1.681</v>
      </c>
      <c r="L29" s="156">
        <v>1.6040000000000001</v>
      </c>
      <c r="M29" s="156">
        <f t="shared" si="6"/>
        <v>1.6040000000000001</v>
      </c>
      <c r="N29" s="952">
        <f t="shared" si="7"/>
        <v>7.6999999999999957E-2</v>
      </c>
      <c r="O29" s="70">
        <f t="shared" si="8"/>
        <v>189306461.5384616</v>
      </c>
      <c r="P29" s="70">
        <f t="shared" si="9"/>
        <v>180635076.92307696</v>
      </c>
      <c r="Q29" s="70">
        <f t="shared" si="10"/>
        <v>180635076.92307696</v>
      </c>
      <c r="R29" s="70">
        <f t="shared" si="2"/>
        <v>8671384.6153846383</v>
      </c>
    </row>
    <row r="30" spans="1:18" s="85" customFormat="1" x14ac:dyDescent="0.6">
      <c r="A30" s="60">
        <f t="shared" si="3"/>
        <v>27</v>
      </c>
      <c r="B30" s="85" t="s">
        <v>164</v>
      </c>
      <c r="C30" s="89">
        <f t="shared" si="4"/>
        <v>4.3999999999999997E-2</v>
      </c>
      <c r="D30" s="89">
        <v>4.7500000000000001E-2</v>
      </c>
      <c r="E30" s="89">
        <f t="shared" si="0"/>
        <v>9.1499999999999998E-2</v>
      </c>
      <c r="F30" s="948">
        <v>5.4</v>
      </c>
      <c r="G30" s="1197">
        <v>0.9</v>
      </c>
      <c r="H30" s="949">
        <f>F30*Assumptions!$C$21*G30</f>
        <v>37384615.384615384</v>
      </c>
      <c r="I30" s="949">
        <f>F30*Assumptions!$C$21*(1-G30)</f>
        <v>4153846.1538461526</v>
      </c>
      <c r="J30" s="897">
        <f t="shared" si="11"/>
        <v>41538461.538461536</v>
      </c>
      <c r="K30" s="156">
        <f t="shared" si="5"/>
        <v>1.7814999999999999</v>
      </c>
      <c r="L30" s="156">
        <v>1.69</v>
      </c>
      <c r="M30" s="156">
        <f t="shared" si="6"/>
        <v>1.69</v>
      </c>
      <c r="N30" s="952">
        <f t="shared" si="7"/>
        <v>9.1499999999999915E-2</v>
      </c>
      <c r="O30" s="70">
        <f t="shared" si="8"/>
        <v>66600692.307692304</v>
      </c>
      <c r="P30" s="70">
        <f t="shared" si="9"/>
        <v>63180000</v>
      </c>
      <c r="Q30" s="70">
        <f t="shared" si="10"/>
        <v>63180000</v>
      </c>
      <c r="R30" s="70">
        <f t="shared" si="2"/>
        <v>3420692.3076923043</v>
      </c>
    </row>
    <row r="31" spans="1:18" s="85" customFormat="1" x14ac:dyDescent="0.6">
      <c r="A31" s="60">
        <f t="shared" si="3"/>
        <v>28</v>
      </c>
      <c r="B31" s="85" t="s">
        <v>165</v>
      </c>
      <c r="C31" s="89">
        <f t="shared" si="4"/>
        <v>4.3999999999999997E-2</v>
      </c>
      <c r="D31" s="89">
        <v>3.3000000000000002E-2</v>
      </c>
      <c r="E31" s="89">
        <f t="shared" si="0"/>
        <v>7.6999999999999999E-2</v>
      </c>
      <c r="F31" s="948">
        <v>6.5</v>
      </c>
      <c r="G31" s="1197">
        <v>1</v>
      </c>
      <c r="H31" s="949">
        <f>F31*Assumptions!$C$21*G31</f>
        <v>50000000</v>
      </c>
      <c r="I31" s="949">
        <f>F31*Assumptions!$C$21*(1-G31)</f>
        <v>0</v>
      </c>
      <c r="J31" s="897">
        <f t="shared" si="11"/>
        <v>50000000</v>
      </c>
      <c r="K31" s="156">
        <f t="shared" si="5"/>
        <v>1.681</v>
      </c>
      <c r="L31" s="156">
        <v>1.6040000000000001</v>
      </c>
      <c r="M31" s="156">
        <f t="shared" si="6"/>
        <v>1.6040000000000001</v>
      </c>
      <c r="N31" s="952">
        <f t="shared" si="7"/>
        <v>7.6999999999999957E-2</v>
      </c>
      <c r="O31" s="70">
        <f t="shared" si="8"/>
        <v>84050000</v>
      </c>
      <c r="P31" s="70">
        <f t="shared" si="9"/>
        <v>80200000</v>
      </c>
      <c r="Q31" s="70">
        <f t="shared" si="10"/>
        <v>80200000</v>
      </c>
      <c r="R31" s="70">
        <f t="shared" si="2"/>
        <v>3850000</v>
      </c>
    </row>
    <row r="32" spans="1:18" s="85" customFormat="1" x14ac:dyDescent="0.6">
      <c r="A32" s="60">
        <f t="shared" si="3"/>
        <v>29</v>
      </c>
      <c r="B32" s="85" t="s">
        <v>147</v>
      </c>
      <c r="C32" s="89">
        <f t="shared" si="4"/>
        <v>4.3999999999999997E-2</v>
      </c>
      <c r="D32" s="89">
        <v>0.04</v>
      </c>
      <c r="E32" s="89">
        <f t="shared" si="0"/>
        <v>8.3999999999999991E-2</v>
      </c>
      <c r="F32" s="948">
        <v>30.3</v>
      </c>
      <c r="G32" s="1197">
        <v>0.85</v>
      </c>
      <c r="H32" s="949">
        <f>F32*Assumptions!$C$21*G32</f>
        <v>198115384.61538461</v>
      </c>
      <c r="I32" s="949">
        <f>F32*Assumptions!$C$21*(1-G32)</f>
        <v>34961538.461538464</v>
      </c>
      <c r="J32" s="897">
        <f t="shared" si="11"/>
        <v>233076923.07692307</v>
      </c>
      <c r="K32" s="156">
        <f t="shared" si="5"/>
        <v>1.76</v>
      </c>
      <c r="L32" s="156">
        <v>1.6759999999999999</v>
      </c>
      <c r="M32" s="156">
        <f t="shared" si="6"/>
        <v>1.6759999999999999</v>
      </c>
      <c r="N32" s="952">
        <f t="shared" si="7"/>
        <v>8.4000000000000075E-2</v>
      </c>
      <c r="O32" s="70">
        <f t="shared" si="8"/>
        <v>348683076.92307693</v>
      </c>
      <c r="P32" s="70">
        <f t="shared" si="9"/>
        <v>332041384.61538458</v>
      </c>
      <c r="Q32" s="70">
        <f t="shared" si="10"/>
        <v>332041384.61538458</v>
      </c>
      <c r="R32" s="70">
        <f t="shared" si="2"/>
        <v>16641692.307692349</v>
      </c>
    </row>
    <row r="33" spans="1:18" s="85" customFormat="1" x14ac:dyDescent="0.6">
      <c r="A33" s="60">
        <f t="shared" si="3"/>
        <v>30</v>
      </c>
      <c r="B33" s="85" t="s">
        <v>170</v>
      </c>
      <c r="C33" s="89">
        <f t="shared" si="4"/>
        <v>4.3999999999999997E-2</v>
      </c>
      <c r="D33" s="89">
        <v>6.3E-3</v>
      </c>
      <c r="E33" s="89">
        <f t="shared" si="0"/>
        <v>5.0299999999999997E-2</v>
      </c>
      <c r="F33" s="948">
        <v>2</v>
      </c>
      <c r="G33" s="1197">
        <v>0.9</v>
      </c>
      <c r="H33" s="949">
        <f>F33*Assumptions!$C$21*G33</f>
        <v>13846153.846153846</v>
      </c>
      <c r="I33" s="949">
        <f>F33*Assumptions!$C$21*(1-G33)</f>
        <v>1538461.538461538</v>
      </c>
      <c r="J33" s="897">
        <f t="shared" si="11"/>
        <v>15384615.384615384</v>
      </c>
      <c r="K33" s="156">
        <f t="shared" si="5"/>
        <v>1.7773000000000001</v>
      </c>
      <c r="L33" s="156">
        <v>1.7270000000000001</v>
      </c>
      <c r="M33" s="156">
        <f t="shared" si="6"/>
        <v>1.7270000000000001</v>
      </c>
      <c r="N33" s="952">
        <f t="shared" si="7"/>
        <v>5.0300000000000011E-2</v>
      </c>
      <c r="O33" s="70">
        <f t="shared" si="8"/>
        <v>24608769.230769232</v>
      </c>
      <c r="P33" s="70">
        <f t="shared" si="9"/>
        <v>23912307.692307692</v>
      </c>
      <c r="Q33" s="70">
        <f t="shared" si="10"/>
        <v>23912307.692307692</v>
      </c>
      <c r="R33" s="70">
        <f t="shared" si="2"/>
        <v>696461.53846153989</v>
      </c>
    </row>
    <row r="34" spans="1:18" s="85" customFormat="1" x14ac:dyDescent="0.6">
      <c r="A34" s="60">
        <f t="shared" si="3"/>
        <v>31</v>
      </c>
      <c r="B34" s="85" t="s">
        <v>187</v>
      </c>
      <c r="C34" s="89">
        <f t="shared" si="4"/>
        <v>4.3999999999999997E-2</v>
      </c>
      <c r="D34" s="89">
        <v>3.5000000000000001E-3</v>
      </c>
      <c r="E34" s="89">
        <f t="shared" si="0"/>
        <v>4.7500000000000001E-2</v>
      </c>
      <c r="F34" s="948">
        <v>220.6</v>
      </c>
      <c r="G34" s="1197">
        <v>0.6</v>
      </c>
      <c r="H34" s="949">
        <f>F34*Assumptions!$C$21*G34</f>
        <v>1018153846.153846</v>
      </c>
      <c r="I34" s="949">
        <f>F34*Assumptions!$C$21*(1-G34)</f>
        <v>678769230.76923084</v>
      </c>
      <c r="J34" s="897">
        <f t="shared" si="11"/>
        <v>1696923076.9230769</v>
      </c>
      <c r="K34" s="156">
        <f t="shared" si="5"/>
        <v>1.6605000000000001</v>
      </c>
      <c r="L34" s="156">
        <v>1.613</v>
      </c>
      <c r="M34" s="156">
        <f t="shared" si="6"/>
        <v>1.613</v>
      </c>
      <c r="N34" s="952">
        <f t="shared" si="7"/>
        <v>4.7500000000000098E-2</v>
      </c>
      <c r="O34" s="70">
        <f t="shared" si="8"/>
        <v>1690644461.5384614</v>
      </c>
      <c r="P34" s="70">
        <f t="shared" si="9"/>
        <v>1642282153.8461537</v>
      </c>
      <c r="Q34" s="70">
        <f t="shared" si="10"/>
        <v>1642282153.8461537</v>
      </c>
      <c r="R34" s="70">
        <f t="shared" si="2"/>
        <v>48362307.692307711</v>
      </c>
    </row>
    <row r="35" spans="1:18" s="85" customFormat="1" x14ac:dyDescent="0.6">
      <c r="A35" s="60">
        <f t="shared" si="3"/>
        <v>32</v>
      </c>
      <c r="B35" s="85" t="s">
        <v>182</v>
      </c>
      <c r="C35" s="89">
        <f t="shared" si="4"/>
        <v>4.3999999999999997E-2</v>
      </c>
      <c r="D35" s="89">
        <v>9.4500000000000001E-2</v>
      </c>
      <c r="E35" s="89">
        <f t="shared" si="0"/>
        <v>0.13850000000000001</v>
      </c>
      <c r="F35" s="948">
        <v>7.3</v>
      </c>
      <c r="G35" s="1197">
        <v>0.85</v>
      </c>
      <c r="H35" s="949">
        <f>F35*Assumptions!$C$21*G35</f>
        <v>47730769.230769224</v>
      </c>
      <c r="I35" s="949">
        <f>F35*Assumptions!$C$21*(1-G35)</f>
        <v>8423076.9230769239</v>
      </c>
      <c r="J35" s="897">
        <f t="shared" si="11"/>
        <v>56153846.153846145</v>
      </c>
      <c r="K35" s="156">
        <f t="shared" si="5"/>
        <v>1.7295</v>
      </c>
      <c r="L35" s="156">
        <v>1.591</v>
      </c>
      <c r="M35" s="156">
        <f t="shared" si="6"/>
        <v>1.591</v>
      </c>
      <c r="N35" s="952">
        <f t="shared" si="7"/>
        <v>0.13850000000000007</v>
      </c>
      <c r="O35" s="70">
        <f t="shared" si="8"/>
        <v>82550365.384615377</v>
      </c>
      <c r="P35" s="70">
        <f t="shared" si="9"/>
        <v>75939653.84615384</v>
      </c>
      <c r="Q35" s="70">
        <f t="shared" si="10"/>
        <v>75939653.84615384</v>
      </c>
      <c r="R35" s="70">
        <f t="shared" si="2"/>
        <v>6610711.5384615362</v>
      </c>
    </row>
    <row r="36" spans="1:18" s="85" customFormat="1" x14ac:dyDescent="0.6">
      <c r="A36" s="60">
        <f t="shared" si="3"/>
        <v>33</v>
      </c>
      <c r="B36" s="85" t="s">
        <v>140</v>
      </c>
      <c r="C36" s="89">
        <f t="shared" si="4"/>
        <v>4.3999999999999997E-2</v>
      </c>
      <c r="D36" s="89">
        <v>5.0000000000000001E-3</v>
      </c>
      <c r="E36" s="89">
        <f t="shared" ref="E36:E54" si="12">D36+C36</f>
        <v>4.8999999999999995E-2</v>
      </c>
      <c r="F36" s="948">
        <v>177.6</v>
      </c>
      <c r="G36" s="1197">
        <v>0.6</v>
      </c>
      <c r="H36" s="949">
        <f>F36*Assumptions!$C$21*G36</f>
        <v>819692307.69230759</v>
      </c>
      <c r="I36" s="949">
        <f>F36*Assumptions!$C$21*(1-G36)</f>
        <v>546461538.46153843</v>
      </c>
      <c r="J36" s="897">
        <f t="shared" si="11"/>
        <v>1366153846.153846</v>
      </c>
      <c r="K36" s="156">
        <f t="shared" si="5"/>
        <v>1.6679999999999999</v>
      </c>
      <c r="L36" s="156">
        <v>1.619</v>
      </c>
      <c r="M36" s="156">
        <f t="shared" si="6"/>
        <v>1.619</v>
      </c>
      <c r="N36" s="952">
        <f t="shared" si="7"/>
        <v>4.8999999999999932E-2</v>
      </c>
      <c r="O36" s="70">
        <f t="shared" si="8"/>
        <v>1367246769.2307689</v>
      </c>
      <c r="P36" s="70">
        <f t="shared" si="9"/>
        <v>1327081846.153846</v>
      </c>
      <c r="Q36" s="70">
        <f t="shared" si="10"/>
        <v>1327081846.153846</v>
      </c>
      <c r="R36" s="70">
        <f t="shared" si="2"/>
        <v>40164923.076922894</v>
      </c>
    </row>
    <row r="37" spans="1:18" s="85" customFormat="1" x14ac:dyDescent="0.6">
      <c r="A37" s="60">
        <f t="shared" si="3"/>
        <v>34</v>
      </c>
      <c r="B37" s="85" t="s">
        <v>145</v>
      </c>
      <c r="C37" s="89">
        <f t="shared" si="4"/>
        <v>4.3999999999999997E-2</v>
      </c>
      <c r="D37" s="89">
        <v>5.2499999999999998E-2</v>
      </c>
      <c r="E37" s="89">
        <f t="shared" si="12"/>
        <v>9.6500000000000002E-2</v>
      </c>
      <c r="F37" s="948">
        <v>20.5</v>
      </c>
      <c r="G37" s="1197">
        <v>0.8</v>
      </c>
      <c r="H37" s="949">
        <f>F37*Assumptions!$C$21*G37</f>
        <v>126153846.15384614</v>
      </c>
      <c r="I37" s="949">
        <f>F37*Assumptions!$C$21*(1-G37)</f>
        <v>31538461.538461529</v>
      </c>
      <c r="J37" s="897">
        <f t="shared" si="11"/>
        <v>157692307.69230768</v>
      </c>
      <c r="K37" s="156">
        <f t="shared" si="5"/>
        <v>1.7495000000000001</v>
      </c>
      <c r="L37" s="156">
        <v>1.653</v>
      </c>
      <c r="M37" s="156">
        <f t="shared" si="6"/>
        <v>1.653</v>
      </c>
      <c r="N37" s="952">
        <f t="shared" si="7"/>
        <v>9.650000000000003E-2</v>
      </c>
      <c r="O37" s="70">
        <f t="shared" si="8"/>
        <v>220706153.84615383</v>
      </c>
      <c r="P37" s="70">
        <f t="shared" si="9"/>
        <v>208532307.69230768</v>
      </c>
      <c r="Q37" s="70">
        <f t="shared" si="10"/>
        <v>208532307.69230768</v>
      </c>
      <c r="R37" s="70">
        <f t="shared" si="2"/>
        <v>12173846.153846145</v>
      </c>
    </row>
    <row r="38" spans="1:18" s="85" customFormat="1" x14ac:dyDescent="0.6">
      <c r="A38" s="60">
        <f t="shared" si="3"/>
        <v>35</v>
      </c>
      <c r="B38" s="85" t="s">
        <v>173</v>
      </c>
      <c r="C38" s="89">
        <f t="shared" si="4"/>
        <v>4.3999999999999997E-2</v>
      </c>
      <c r="D38" s="89">
        <v>0.08</v>
      </c>
      <c r="E38" s="89">
        <f t="shared" si="12"/>
        <v>0.124</v>
      </c>
      <c r="F38" s="948">
        <v>6.3</v>
      </c>
      <c r="G38" s="1197">
        <v>0.9</v>
      </c>
      <c r="H38" s="949">
        <f>F38*Assumptions!$C$21*G38</f>
        <v>43615384.615384609</v>
      </c>
      <c r="I38" s="949">
        <f>F38*Assumptions!$C$21*(1-G38)</f>
        <v>4846153.8461538441</v>
      </c>
      <c r="J38" s="897">
        <f t="shared" si="11"/>
        <v>48461538.461538449</v>
      </c>
      <c r="K38" s="156">
        <f t="shared" si="5"/>
        <v>1.7280000000000002</v>
      </c>
      <c r="L38" s="156">
        <v>1.6040000000000001</v>
      </c>
      <c r="M38" s="156">
        <f t="shared" si="6"/>
        <v>1.6040000000000001</v>
      </c>
      <c r="N38" s="952">
        <f t="shared" si="7"/>
        <v>0.12400000000000011</v>
      </c>
      <c r="O38" s="70">
        <f t="shared" si="8"/>
        <v>75367384.615384609</v>
      </c>
      <c r="P38" s="70">
        <f t="shared" si="9"/>
        <v>69959076.923076913</v>
      </c>
      <c r="Q38" s="70">
        <f t="shared" si="10"/>
        <v>69959076.923076913</v>
      </c>
      <c r="R38" s="70">
        <f t="shared" si="2"/>
        <v>5408307.6923076957</v>
      </c>
    </row>
    <row r="39" spans="1:18" s="85" customFormat="1" x14ac:dyDescent="0.6">
      <c r="A39" s="60">
        <f t="shared" si="3"/>
        <v>36</v>
      </c>
      <c r="B39" s="85" t="s">
        <v>163</v>
      </c>
      <c r="C39" s="89">
        <f t="shared" si="4"/>
        <v>4.3999999999999997E-2</v>
      </c>
      <c r="D39" s="89">
        <v>0</v>
      </c>
      <c r="E39" s="89">
        <f t="shared" si="12"/>
        <v>4.3999999999999997E-2</v>
      </c>
      <c r="F39" s="948">
        <v>70.8</v>
      </c>
      <c r="G39" s="1197">
        <v>0.66700000000000004</v>
      </c>
      <c r="H39" s="949">
        <f>F39*Assumptions!$C$21*G39</f>
        <v>363258461.53846151</v>
      </c>
      <c r="I39" s="949">
        <f>F39*Assumptions!$C$21*(1-G39)</f>
        <v>181356923.07692304</v>
      </c>
      <c r="J39" s="897">
        <f t="shared" si="11"/>
        <v>544615384.61538458</v>
      </c>
      <c r="K39" s="156">
        <f t="shared" si="5"/>
        <v>1.6440000000000001</v>
      </c>
      <c r="L39" s="156">
        <v>1.6</v>
      </c>
      <c r="M39" s="156">
        <f t="shared" si="6"/>
        <v>1.6</v>
      </c>
      <c r="N39" s="952">
        <f t="shared" si="7"/>
        <v>4.4000000000000039E-2</v>
      </c>
      <c r="O39" s="70">
        <f t="shared" si="8"/>
        <v>597196910.76923072</v>
      </c>
      <c r="P39" s="70">
        <f t="shared" si="9"/>
        <v>581213538.46153843</v>
      </c>
      <c r="Q39" s="70">
        <f t="shared" si="10"/>
        <v>581213538.46153843</v>
      </c>
      <c r="R39" s="70">
        <f t="shared" si="2"/>
        <v>15983372.307692289</v>
      </c>
    </row>
    <row r="40" spans="1:18" s="85" customFormat="1" x14ac:dyDescent="0.6">
      <c r="A40" s="60">
        <f t="shared" si="3"/>
        <v>37</v>
      </c>
      <c r="B40" s="85" t="s">
        <v>185</v>
      </c>
      <c r="C40" s="89">
        <f t="shared" si="4"/>
        <v>4.3999999999999997E-2</v>
      </c>
      <c r="D40" s="89">
        <v>1.8800000000000001E-2</v>
      </c>
      <c r="E40" s="89">
        <f t="shared" si="12"/>
        <v>6.2799999999999995E-2</v>
      </c>
      <c r="F40" s="948">
        <v>48.2</v>
      </c>
      <c r="G40" s="1197">
        <v>1</v>
      </c>
      <c r="H40" s="949">
        <f>F40*Assumptions!$C$21*G40</f>
        <v>370769230.76923078</v>
      </c>
      <c r="I40" s="949">
        <f>F40*Assumptions!$C$21*(1-G40)</f>
        <v>0</v>
      </c>
      <c r="J40" s="897">
        <f t="shared" si="11"/>
        <v>370769230.76923078</v>
      </c>
      <c r="K40" s="156">
        <f t="shared" si="5"/>
        <v>1.6848000000000001</v>
      </c>
      <c r="L40" s="156">
        <v>1.6220000000000001</v>
      </c>
      <c r="M40" s="156">
        <f t="shared" si="6"/>
        <v>1.6220000000000001</v>
      </c>
      <c r="N40" s="952">
        <f t="shared" si="7"/>
        <v>6.2799999999999967E-2</v>
      </c>
      <c r="O40" s="70">
        <f t="shared" si="8"/>
        <v>624672000</v>
      </c>
      <c r="P40" s="70">
        <f t="shared" si="9"/>
        <v>601387692.30769241</v>
      </c>
      <c r="Q40" s="70">
        <f t="shared" si="10"/>
        <v>601387692.30769241</v>
      </c>
      <c r="R40" s="70">
        <f t="shared" si="2"/>
        <v>23284307.692307591</v>
      </c>
    </row>
    <row r="41" spans="1:18" s="85" customFormat="1" x14ac:dyDescent="0.6">
      <c r="A41" s="60">
        <f t="shared" si="3"/>
        <v>38</v>
      </c>
      <c r="B41" s="85" t="s">
        <v>153</v>
      </c>
      <c r="C41" s="89">
        <f t="shared" si="4"/>
        <v>4.3999999999999997E-2</v>
      </c>
      <c r="D41" s="89">
        <v>0.01</v>
      </c>
      <c r="E41" s="89">
        <f t="shared" si="12"/>
        <v>5.3999999999999999E-2</v>
      </c>
      <c r="F41" s="948">
        <v>26.8</v>
      </c>
      <c r="G41" s="1197">
        <v>0.8</v>
      </c>
      <c r="H41" s="949">
        <f>F41*Assumptions!$C$21*G41</f>
        <v>164923076.92307693</v>
      </c>
      <c r="I41" s="949">
        <f>F41*Assumptions!$C$21*(1-G41)</f>
        <v>41230769.230769217</v>
      </c>
      <c r="J41" s="897">
        <f t="shared" si="11"/>
        <v>206153846.15384614</v>
      </c>
      <c r="K41" s="156">
        <f t="shared" si="5"/>
        <v>1.7050000000000001</v>
      </c>
      <c r="L41" s="156">
        <v>1.651</v>
      </c>
      <c r="M41" s="156">
        <f t="shared" si="6"/>
        <v>1.651</v>
      </c>
      <c r="N41" s="952">
        <f t="shared" si="7"/>
        <v>5.4000000000000048E-2</v>
      </c>
      <c r="O41" s="70">
        <f t="shared" si="8"/>
        <v>281193846.15384614</v>
      </c>
      <c r="P41" s="70">
        <f t="shared" si="9"/>
        <v>272288000</v>
      </c>
      <c r="Q41" s="70">
        <f t="shared" si="10"/>
        <v>272288000</v>
      </c>
      <c r="R41" s="70">
        <f t="shared" si="2"/>
        <v>8905846.1538461447</v>
      </c>
    </row>
    <row r="42" spans="1:18" s="85" customFormat="1" x14ac:dyDescent="0.6">
      <c r="A42" s="60">
        <f t="shared" si="3"/>
        <v>39</v>
      </c>
      <c r="B42" s="85" t="s">
        <v>138</v>
      </c>
      <c r="C42" s="89">
        <f t="shared" si="4"/>
        <v>4.3999999999999997E-2</v>
      </c>
      <c r="D42" s="89">
        <v>0.03</v>
      </c>
      <c r="E42" s="89">
        <f t="shared" si="12"/>
        <v>7.3999999999999996E-2</v>
      </c>
      <c r="F42" s="948">
        <v>42.6</v>
      </c>
      <c r="G42" s="1197">
        <v>0.8</v>
      </c>
      <c r="H42" s="949">
        <f>F42*Assumptions!$C$21*G42</f>
        <v>262153846.15384617</v>
      </c>
      <c r="I42" s="949">
        <f>F42*Assumptions!$C$21*(1-G42)</f>
        <v>65538461.538461529</v>
      </c>
      <c r="J42" s="897">
        <f t="shared" si="11"/>
        <v>327692307.69230771</v>
      </c>
      <c r="K42" s="156">
        <f t="shared" si="5"/>
        <v>1.6930000000000001</v>
      </c>
      <c r="L42" s="156">
        <v>1.619</v>
      </c>
      <c r="M42" s="156">
        <f t="shared" si="6"/>
        <v>1.619</v>
      </c>
      <c r="N42" s="952">
        <f t="shared" si="7"/>
        <v>7.4000000000000066E-2</v>
      </c>
      <c r="O42" s="70">
        <f t="shared" si="8"/>
        <v>443826461.53846157</v>
      </c>
      <c r="P42" s="70">
        <f t="shared" si="9"/>
        <v>424427076.92307693</v>
      </c>
      <c r="Q42" s="70">
        <f t="shared" si="10"/>
        <v>424427076.92307693</v>
      </c>
      <c r="R42" s="70">
        <f t="shared" si="2"/>
        <v>19399384.615384638</v>
      </c>
    </row>
    <row r="43" spans="1:18" s="85" customFormat="1" x14ac:dyDescent="0.6">
      <c r="A43" s="60">
        <f t="shared" si="3"/>
        <v>40</v>
      </c>
      <c r="B43" s="85" t="s">
        <v>146</v>
      </c>
      <c r="C43" s="89">
        <f t="shared" si="4"/>
        <v>4.3999999999999997E-2</v>
      </c>
      <c r="D43" s="89">
        <v>1.1999999999999999E-3</v>
      </c>
      <c r="E43" s="89">
        <f t="shared" si="12"/>
        <v>4.5199999999999997E-2</v>
      </c>
      <c r="F43" s="948">
        <v>3.8</v>
      </c>
      <c r="G43" s="1197">
        <v>0.9</v>
      </c>
      <c r="H43" s="949">
        <f>F43*Assumptions!$C$21*G43</f>
        <v>26307692.307692304</v>
      </c>
      <c r="I43" s="949">
        <f>F43*Assumptions!$C$21*(1-G43)</f>
        <v>2923076.9230769221</v>
      </c>
      <c r="J43" s="897">
        <f t="shared" si="11"/>
        <v>29230769.230769224</v>
      </c>
      <c r="K43" s="156">
        <f t="shared" si="5"/>
        <v>1.7722</v>
      </c>
      <c r="L43" s="156">
        <v>1.7270000000000001</v>
      </c>
      <c r="M43" s="156">
        <f t="shared" si="6"/>
        <v>1.7270000000000001</v>
      </c>
      <c r="N43" s="952">
        <f t="shared" si="7"/>
        <v>4.5199999999999907E-2</v>
      </c>
      <c r="O43" s="70">
        <f t="shared" si="8"/>
        <v>46622492.307692304</v>
      </c>
      <c r="P43" s="70">
        <f t="shared" si="9"/>
        <v>45433384.615384609</v>
      </c>
      <c r="Q43" s="70">
        <f t="shared" si="10"/>
        <v>45433384.615384609</v>
      </c>
      <c r="R43" s="70">
        <f t="shared" si="2"/>
        <v>1189107.6923076957</v>
      </c>
    </row>
    <row r="44" spans="1:18" s="85" customFormat="1" x14ac:dyDescent="0.6">
      <c r="A44" s="60">
        <f t="shared" si="3"/>
        <v>41</v>
      </c>
      <c r="B44" s="85" t="s">
        <v>186</v>
      </c>
      <c r="C44" s="89">
        <f t="shared" si="4"/>
        <v>4.3999999999999997E-2</v>
      </c>
      <c r="D44" s="89">
        <v>7.4999999999999997E-3</v>
      </c>
      <c r="E44" s="89">
        <f t="shared" si="12"/>
        <v>5.1499999999999997E-2</v>
      </c>
      <c r="F44" s="948">
        <v>12.1</v>
      </c>
      <c r="G44" s="1197">
        <v>0.8</v>
      </c>
      <c r="H44" s="949">
        <f>F44*Assumptions!$C$21*G44</f>
        <v>74461538.461538464</v>
      </c>
      <c r="I44" s="949">
        <f>F44*Assumptions!$C$21*(1-G44)</f>
        <v>18615384.615384609</v>
      </c>
      <c r="J44" s="897">
        <f t="shared" si="11"/>
        <v>93076923.076923072</v>
      </c>
      <c r="K44" s="156">
        <f t="shared" si="5"/>
        <v>1.7045000000000001</v>
      </c>
      <c r="L44" s="156">
        <v>1.653</v>
      </c>
      <c r="M44" s="156">
        <f t="shared" si="6"/>
        <v>1.653</v>
      </c>
      <c r="N44" s="952">
        <f t="shared" si="7"/>
        <v>5.1500000000000101E-2</v>
      </c>
      <c r="O44" s="70">
        <f t="shared" si="8"/>
        <v>126919692.30769232</v>
      </c>
      <c r="P44" s="70">
        <f t="shared" si="9"/>
        <v>123084923.07692309</v>
      </c>
      <c r="Q44" s="70">
        <f t="shared" si="10"/>
        <v>123084923.07692309</v>
      </c>
      <c r="R44" s="70">
        <f t="shared" si="2"/>
        <v>3834769.2307692319</v>
      </c>
    </row>
    <row r="45" spans="1:18" s="85" customFormat="1" x14ac:dyDescent="0.6">
      <c r="A45" s="60">
        <f t="shared" si="3"/>
        <v>42</v>
      </c>
      <c r="B45" s="85" t="s">
        <v>159</v>
      </c>
      <c r="C45" s="89">
        <f t="shared" si="4"/>
        <v>4.3999999999999997E-2</v>
      </c>
      <c r="D45" s="89">
        <v>0.06</v>
      </c>
      <c r="E45" s="89">
        <f t="shared" si="12"/>
        <v>0.104</v>
      </c>
      <c r="F45" s="948">
        <v>4.8</v>
      </c>
      <c r="G45" s="1197">
        <v>1</v>
      </c>
      <c r="H45" s="949">
        <f>F45*Assumptions!$C$21*G45</f>
        <v>36923076.92307692</v>
      </c>
      <c r="I45" s="949">
        <f>F45*Assumptions!$C$21*(1-G45)</f>
        <v>0</v>
      </c>
      <c r="J45" s="897">
        <f t="shared" si="11"/>
        <v>36923076.92307692</v>
      </c>
      <c r="K45" s="156">
        <f t="shared" si="5"/>
        <v>1.875</v>
      </c>
      <c r="L45" s="156">
        <v>1.7709999999999999</v>
      </c>
      <c r="M45" s="156">
        <f t="shared" si="6"/>
        <v>1.7709999999999999</v>
      </c>
      <c r="N45" s="952">
        <f t="shared" si="7"/>
        <v>0.10400000000000009</v>
      </c>
      <c r="O45" s="70">
        <f t="shared" si="8"/>
        <v>69230769.230769232</v>
      </c>
      <c r="P45" s="70">
        <f t="shared" si="9"/>
        <v>65390769.230769224</v>
      </c>
      <c r="Q45" s="70">
        <f t="shared" si="10"/>
        <v>65390769.230769224</v>
      </c>
      <c r="R45" s="70">
        <f t="shared" si="2"/>
        <v>3840000.0000000075</v>
      </c>
    </row>
    <row r="46" spans="1:18" s="85" customFormat="1" x14ac:dyDescent="0.6">
      <c r="A46" s="60">
        <f t="shared" si="3"/>
        <v>43</v>
      </c>
      <c r="B46" s="85" t="s">
        <v>177</v>
      </c>
      <c r="C46" s="89">
        <f t="shared" si="4"/>
        <v>4.3999999999999997E-2</v>
      </c>
      <c r="D46" s="89">
        <v>0.15</v>
      </c>
      <c r="E46" s="89">
        <f t="shared" si="12"/>
        <v>0.19400000000000001</v>
      </c>
      <c r="F46" s="948">
        <v>67.7</v>
      </c>
      <c r="G46" s="1197">
        <v>0.8</v>
      </c>
      <c r="H46" s="949">
        <f>F46*Assumptions!$C$21*G46</f>
        <v>416615384.61538464</v>
      </c>
      <c r="I46" s="949">
        <f>F46*Assumptions!$C$21*(1-G46)</f>
        <v>104153846.15384613</v>
      </c>
      <c r="J46" s="897">
        <f t="shared" si="11"/>
        <v>520769230.76923078</v>
      </c>
      <c r="K46" s="156">
        <f t="shared" si="5"/>
        <v>1.798</v>
      </c>
      <c r="L46" s="156">
        <v>1.6040000000000001</v>
      </c>
      <c r="M46" s="156">
        <f t="shared" si="6"/>
        <v>1.6040000000000001</v>
      </c>
      <c r="N46" s="952">
        <f t="shared" si="7"/>
        <v>0.19399999999999995</v>
      </c>
      <c r="O46" s="70">
        <f t="shared" si="8"/>
        <v>749074461.53846157</v>
      </c>
      <c r="P46" s="70">
        <f t="shared" si="9"/>
        <v>668251076.92307699</v>
      </c>
      <c r="Q46" s="70">
        <f t="shared" si="10"/>
        <v>668251076.92307699</v>
      </c>
      <c r="R46" s="70">
        <f t="shared" si="2"/>
        <v>80823384.615384579</v>
      </c>
    </row>
    <row r="47" spans="1:18" s="85" customFormat="1" x14ac:dyDescent="0.6">
      <c r="A47" s="60">
        <f t="shared" si="3"/>
        <v>44</v>
      </c>
      <c r="B47" s="85" t="s">
        <v>180</v>
      </c>
      <c r="C47" s="89">
        <f t="shared" si="4"/>
        <v>4.3999999999999997E-2</v>
      </c>
      <c r="D47" s="89">
        <v>0</v>
      </c>
      <c r="E47" s="89">
        <f t="shared" si="12"/>
        <v>4.3999999999999997E-2</v>
      </c>
      <c r="F47" s="948">
        <v>448.4</v>
      </c>
      <c r="G47" s="1197">
        <v>0.66700000000000004</v>
      </c>
      <c r="H47" s="949">
        <f>F47*Assumptions!$C$21*G47</f>
        <v>2300636923.0769234</v>
      </c>
      <c r="I47" s="949">
        <f>F47*Assumptions!$C$21*(1-G47)</f>
        <v>1148593846.153846</v>
      </c>
      <c r="J47" s="897">
        <f t="shared" si="11"/>
        <v>3449230769.2307692</v>
      </c>
      <c r="K47" s="156">
        <f t="shared" si="5"/>
        <v>1.645</v>
      </c>
      <c r="L47" s="156">
        <v>1.601</v>
      </c>
      <c r="M47" s="156">
        <f t="shared" si="6"/>
        <v>1.601</v>
      </c>
      <c r="N47" s="952">
        <f t="shared" si="7"/>
        <v>4.4000000000000039E-2</v>
      </c>
      <c r="O47" s="70">
        <f t="shared" si="8"/>
        <v>3784547738.4615388</v>
      </c>
      <c r="P47" s="70">
        <f t="shared" si="9"/>
        <v>3683319713.8461542</v>
      </c>
      <c r="Q47" s="70">
        <f t="shared" si="10"/>
        <v>3683319713.8461542</v>
      </c>
      <c r="R47" s="70">
        <f t="shared" si="2"/>
        <v>101228024.61538458</v>
      </c>
    </row>
    <row r="48" spans="1:18" s="85" customFormat="1" x14ac:dyDescent="0.6">
      <c r="A48" s="60">
        <f t="shared" si="3"/>
        <v>45</v>
      </c>
      <c r="B48" s="85" t="s">
        <v>161</v>
      </c>
      <c r="C48" s="89">
        <f t="shared" si="4"/>
        <v>4.3999999999999997E-2</v>
      </c>
      <c r="D48" s="89">
        <v>0.03</v>
      </c>
      <c r="E48" s="89">
        <f t="shared" si="12"/>
        <v>7.3999999999999996E-2</v>
      </c>
      <c r="F48" s="948">
        <v>35.200000000000003</v>
      </c>
      <c r="G48" s="1197">
        <v>0.8</v>
      </c>
      <c r="H48" s="949">
        <f>F48*Assumptions!$C$21*G48</f>
        <v>216615384.61538464</v>
      </c>
      <c r="I48" s="949">
        <f>F48*Assumptions!$C$21*(1-G48)</f>
        <v>54153846.153846145</v>
      </c>
      <c r="J48" s="897">
        <f t="shared" si="11"/>
        <v>270769230.76923078</v>
      </c>
      <c r="K48" s="156">
        <f t="shared" si="5"/>
        <v>1.7810000000000001</v>
      </c>
      <c r="L48" s="156">
        <v>1.7070000000000001</v>
      </c>
      <c r="M48" s="156">
        <f t="shared" si="6"/>
        <v>1.7070000000000001</v>
      </c>
      <c r="N48" s="952">
        <f t="shared" si="7"/>
        <v>7.4000000000000066E-2</v>
      </c>
      <c r="O48" s="70">
        <f t="shared" si="8"/>
        <v>385792000.00000006</v>
      </c>
      <c r="P48" s="70">
        <f t="shared" si="9"/>
        <v>369762461.53846157</v>
      </c>
      <c r="Q48" s="70">
        <f t="shared" si="10"/>
        <v>369762461.53846157</v>
      </c>
      <c r="R48" s="70">
        <f t="shared" si="2"/>
        <v>16029538.461538494</v>
      </c>
    </row>
    <row r="49" spans="1:19" s="85" customFormat="1" x14ac:dyDescent="0.6">
      <c r="A49" s="60">
        <f t="shared" si="3"/>
        <v>46</v>
      </c>
      <c r="B49" s="85" t="s">
        <v>156</v>
      </c>
      <c r="C49" s="89">
        <f t="shared" si="4"/>
        <v>4.3999999999999997E-2</v>
      </c>
      <c r="D49" s="89">
        <v>0.21</v>
      </c>
      <c r="E49" s="89">
        <f t="shared" si="12"/>
        <v>0.254</v>
      </c>
      <c r="F49" s="948">
        <v>1.5</v>
      </c>
      <c r="G49" s="1197">
        <v>0.8</v>
      </c>
      <c r="H49" s="949">
        <f>F49*Assumptions!$C$21*G49</f>
        <v>9230769.2307692301</v>
      </c>
      <c r="I49" s="949">
        <f>F49*Assumptions!$C$21*(1-G49)</f>
        <v>2307692.307692307</v>
      </c>
      <c r="J49" s="897">
        <f t="shared" si="11"/>
        <v>11538461.538461536</v>
      </c>
      <c r="K49" s="156">
        <f t="shared" si="5"/>
        <v>1.9810000000000001</v>
      </c>
      <c r="L49" s="156">
        <v>1.7270000000000001</v>
      </c>
      <c r="M49" s="156">
        <f t="shared" si="6"/>
        <v>1.7270000000000001</v>
      </c>
      <c r="N49" s="952">
        <f t="shared" si="7"/>
        <v>0.254</v>
      </c>
      <c r="O49" s="70">
        <f t="shared" si="8"/>
        <v>18286153.846153844</v>
      </c>
      <c r="P49" s="70">
        <f t="shared" si="9"/>
        <v>15941538.461538462</v>
      </c>
      <c r="Q49" s="70">
        <f t="shared" si="10"/>
        <v>15941538.461538462</v>
      </c>
      <c r="R49" s="70">
        <f t="shared" si="2"/>
        <v>2344615.3846153822</v>
      </c>
    </row>
    <row r="50" spans="1:19" s="85" customFormat="1" x14ac:dyDescent="0.6">
      <c r="A50" s="60">
        <f t="shared" si="3"/>
        <v>47</v>
      </c>
      <c r="B50" s="85" t="s">
        <v>174</v>
      </c>
      <c r="C50" s="89">
        <f t="shared" si="4"/>
        <v>4.3999999999999997E-2</v>
      </c>
      <c r="D50" s="89">
        <v>1.0999999999999999E-2</v>
      </c>
      <c r="E50" s="89">
        <f t="shared" si="12"/>
        <v>5.4999999999999993E-2</v>
      </c>
      <c r="F50" s="948">
        <v>63.5</v>
      </c>
      <c r="G50" s="1197">
        <v>0.66700000000000004</v>
      </c>
      <c r="H50" s="949">
        <f>F50*Assumptions!$C$21*G50</f>
        <v>325803846.15384614</v>
      </c>
      <c r="I50" s="949">
        <f>F50*Assumptions!$C$21*(1-G50)</f>
        <v>162657692.30769229</v>
      </c>
      <c r="J50" s="897">
        <f t="shared" si="11"/>
        <v>488461538.46153843</v>
      </c>
      <c r="K50" s="156">
        <f t="shared" si="5"/>
        <v>1.708</v>
      </c>
      <c r="L50" s="156">
        <v>1.653</v>
      </c>
      <c r="M50" s="156">
        <f t="shared" si="6"/>
        <v>1.653</v>
      </c>
      <c r="N50" s="952">
        <f t="shared" si="7"/>
        <v>5.4999999999999938E-2</v>
      </c>
      <c r="O50" s="70">
        <f t="shared" si="8"/>
        <v>556472969.23076916</v>
      </c>
      <c r="P50" s="70">
        <f t="shared" si="9"/>
        <v>538553757.69230771</v>
      </c>
      <c r="Q50" s="70">
        <f t="shared" si="10"/>
        <v>538553757.69230771</v>
      </c>
      <c r="R50" s="70">
        <f t="shared" si="2"/>
        <v>17919211.538461447</v>
      </c>
    </row>
    <row r="51" spans="1:19" s="85" customFormat="1" x14ac:dyDescent="0.6">
      <c r="A51" s="60">
        <f t="shared" si="3"/>
        <v>48</v>
      </c>
      <c r="B51" s="85" t="s">
        <v>139</v>
      </c>
      <c r="C51" s="89">
        <f t="shared" si="4"/>
        <v>4.3999999999999997E-2</v>
      </c>
      <c r="D51" s="89">
        <v>0.04</v>
      </c>
      <c r="E51" s="89">
        <f t="shared" si="12"/>
        <v>8.3999999999999991E-2</v>
      </c>
      <c r="F51" s="948">
        <v>106.3</v>
      </c>
      <c r="G51" s="1197">
        <v>0.66700000000000004</v>
      </c>
      <c r="H51" s="949">
        <f>F51*Assumptions!$C$21*G51</f>
        <v>545400769.23076916</v>
      </c>
      <c r="I51" s="949">
        <f>F51*Assumptions!$C$21*(1-G51)</f>
        <v>272291538.46153837</v>
      </c>
      <c r="J51" s="897">
        <f t="shared" si="11"/>
        <v>817692307.69230747</v>
      </c>
      <c r="K51" s="156">
        <f t="shared" si="5"/>
        <v>1.726</v>
      </c>
      <c r="L51" s="156">
        <v>1.6419999999999999</v>
      </c>
      <c r="M51" s="156">
        <f t="shared" si="6"/>
        <v>1.6419999999999999</v>
      </c>
      <c r="N51" s="952">
        <f t="shared" si="7"/>
        <v>8.4000000000000075E-2</v>
      </c>
      <c r="O51" s="70">
        <f t="shared" si="8"/>
        <v>941361727.69230759</v>
      </c>
      <c r="P51" s="70">
        <f t="shared" si="9"/>
        <v>895548063.07692289</v>
      </c>
      <c r="Q51" s="70">
        <f t="shared" si="10"/>
        <v>895548063.07692289</v>
      </c>
      <c r="R51" s="70">
        <f t="shared" si="2"/>
        <v>45813664.615384698</v>
      </c>
    </row>
    <row r="52" spans="1:19" s="85" customFormat="1" x14ac:dyDescent="0.6">
      <c r="A52" s="60">
        <f t="shared" si="3"/>
        <v>49</v>
      </c>
      <c r="B52" s="85" t="s">
        <v>148</v>
      </c>
      <c r="C52" s="89">
        <f t="shared" si="4"/>
        <v>4.3999999999999997E-2</v>
      </c>
      <c r="D52" s="89">
        <v>0.152</v>
      </c>
      <c r="E52" s="89">
        <f t="shared" si="12"/>
        <v>0.19600000000000001</v>
      </c>
      <c r="F52" s="948">
        <v>1.2</v>
      </c>
      <c r="G52" s="1197">
        <v>1</v>
      </c>
      <c r="H52" s="949">
        <f>F52*Assumptions!$C$21*G52</f>
        <v>9230769.2307692301</v>
      </c>
      <c r="I52" s="949">
        <f>F52*Assumptions!$C$21*(1-G52)</f>
        <v>0</v>
      </c>
      <c r="J52" s="897">
        <f t="shared" si="11"/>
        <v>9230769.2307692301</v>
      </c>
      <c r="K52" s="156">
        <f t="shared" si="5"/>
        <v>1.849</v>
      </c>
      <c r="L52" s="156">
        <v>1.653</v>
      </c>
      <c r="M52" s="156">
        <f t="shared" si="6"/>
        <v>1.653</v>
      </c>
      <c r="N52" s="952">
        <f t="shared" si="7"/>
        <v>0.19599999999999995</v>
      </c>
      <c r="O52" s="70">
        <f t="shared" si="8"/>
        <v>17067692.307692308</v>
      </c>
      <c r="P52" s="70">
        <f t="shared" si="9"/>
        <v>15258461.538461538</v>
      </c>
      <c r="Q52" s="70">
        <f t="shared" si="10"/>
        <v>15258461.538461538</v>
      </c>
      <c r="R52" s="70">
        <f t="shared" si="2"/>
        <v>1809230.7692307699</v>
      </c>
    </row>
    <row r="53" spans="1:19" s="85" customFormat="1" x14ac:dyDescent="0.6">
      <c r="A53" s="60">
        <f t="shared" si="3"/>
        <v>50</v>
      </c>
      <c r="B53" s="85" t="s">
        <v>149</v>
      </c>
      <c r="C53" s="89">
        <f t="shared" si="4"/>
        <v>4.3999999999999997E-2</v>
      </c>
      <c r="D53" s="89">
        <v>0.02</v>
      </c>
      <c r="E53" s="89">
        <f t="shared" si="12"/>
        <v>6.4000000000000001E-2</v>
      </c>
      <c r="F53" s="948">
        <v>10.9</v>
      </c>
      <c r="G53" s="1197">
        <v>0.8</v>
      </c>
      <c r="H53" s="949">
        <f>F53*Assumptions!$C$21*G53</f>
        <v>67076923.076923072</v>
      </c>
      <c r="I53" s="949">
        <f>F53*Assumptions!$C$21*(1-G53)</f>
        <v>16769230.769230764</v>
      </c>
      <c r="J53" s="897">
        <f t="shared" si="11"/>
        <v>83846153.84615384</v>
      </c>
      <c r="K53" s="156">
        <f t="shared" si="5"/>
        <v>1.6680000000000001</v>
      </c>
      <c r="L53" s="156">
        <v>1.6040000000000001</v>
      </c>
      <c r="M53" s="156">
        <f t="shared" si="6"/>
        <v>1.6040000000000001</v>
      </c>
      <c r="N53" s="952">
        <f t="shared" si="7"/>
        <v>6.4000000000000057E-2</v>
      </c>
      <c r="O53" s="70">
        <f t="shared" si="8"/>
        <v>111884307.6923077</v>
      </c>
      <c r="P53" s="70">
        <f t="shared" si="9"/>
        <v>107591384.61538461</v>
      </c>
      <c r="Q53" s="70">
        <f t="shared" si="10"/>
        <v>107591384.61538461</v>
      </c>
      <c r="R53" s="70">
        <f t="shared" si="2"/>
        <v>4292923.0769230872</v>
      </c>
    </row>
    <row r="54" spans="1:19" s="85" customFormat="1" x14ac:dyDescent="0.6">
      <c r="A54" s="60">
        <f t="shared" si="3"/>
        <v>51</v>
      </c>
      <c r="B54" s="85" t="s">
        <v>169</v>
      </c>
      <c r="C54" s="89">
        <f t="shared" si="4"/>
        <v>4.3999999999999997E-2</v>
      </c>
      <c r="D54" s="89">
        <v>0.05</v>
      </c>
      <c r="E54" s="89">
        <f t="shared" si="12"/>
        <v>9.4E-2</v>
      </c>
      <c r="F54" s="948">
        <v>2.8</v>
      </c>
      <c r="G54" s="1197">
        <v>1</v>
      </c>
      <c r="H54" s="949">
        <f>F54*Assumptions!$C$21*G54</f>
        <v>21538461.538461536</v>
      </c>
      <c r="I54" s="949">
        <f>F54*Assumptions!$C$21*(1-G54)</f>
        <v>0</v>
      </c>
      <c r="J54" s="897">
        <f t="shared" si="11"/>
        <v>21538461.538461536</v>
      </c>
      <c r="K54" s="156">
        <f t="shared" si="5"/>
        <v>1.784</v>
      </c>
      <c r="L54" s="156">
        <v>1.69</v>
      </c>
      <c r="M54" s="156">
        <f t="shared" si="6"/>
        <v>1.69</v>
      </c>
      <c r="N54" s="952">
        <f t="shared" si="7"/>
        <v>9.4000000000000083E-2</v>
      </c>
      <c r="O54" s="70">
        <f t="shared" ref="O54" si="13">K54*J54</f>
        <v>38424615.384615384</v>
      </c>
      <c r="P54" s="70">
        <f t="shared" ref="P54" si="14">L54*J54</f>
        <v>36399999.999999993</v>
      </c>
      <c r="Q54" s="70">
        <f t="shared" ref="Q54" si="15">M54*J54</f>
        <v>36399999.999999993</v>
      </c>
      <c r="R54" s="70">
        <f t="shared" si="2"/>
        <v>2024615.3846153915</v>
      </c>
    </row>
    <row r="55" spans="1:19" s="85" customFormat="1" x14ac:dyDescent="0.6">
      <c r="C55" s="89"/>
      <c r="D55" s="89"/>
      <c r="E55" s="89"/>
      <c r="F55" s="948"/>
      <c r="G55" s="1197"/>
      <c r="H55" s="964"/>
      <c r="I55" s="964"/>
      <c r="J55" s="913"/>
      <c r="K55" s="156"/>
      <c r="L55" s="156"/>
      <c r="M55" s="156"/>
      <c r="N55" s="952"/>
      <c r="O55" s="70"/>
      <c r="P55" s="70"/>
      <c r="Q55" s="70"/>
    </row>
    <row r="56" spans="1:19" s="104" customFormat="1" x14ac:dyDescent="0.6">
      <c r="B56" s="104" t="s">
        <v>42</v>
      </c>
      <c r="C56" s="942"/>
      <c r="D56" s="942">
        <f>SUMPRODUCT(D4:D54,H4:H54)/SUM(H4:H54)</f>
        <v>9.5987631726832431E-2</v>
      </c>
      <c r="E56" s="942"/>
      <c r="F56" s="1186">
        <f>SUM(F4:F54)</f>
        <v>3204.3000000000006</v>
      </c>
      <c r="G56" s="1197"/>
      <c r="H56" s="947">
        <f>SUM(H4:H55)</f>
        <v>16428666153.846159</v>
      </c>
      <c r="I56" s="947">
        <f>SUM(I4:I55)</f>
        <v>8219795384.6153841</v>
      </c>
      <c r="J56" s="951">
        <f>SUM(J4:J55)</f>
        <v>24648461538.461536</v>
      </c>
      <c r="K56" s="881"/>
      <c r="L56" s="156"/>
      <c r="M56" s="881"/>
      <c r="N56" s="952"/>
      <c r="O56" s="593">
        <f>SUM(O4:O55)</f>
        <v>28972395200.384617</v>
      </c>
      <c r="P56" s="593">
        <f>SUM(P4:P55)</f>
        <v>26672585133.07692</v>
      </c>
      <c r="Q56" s="593">
        <f>SUM(Q4:Q55)</f>
        <v>26672585133.07692</v>
      </c>
      <c r="R56" s="593">
        <f>SUM(R4:R55)</f>
        <v>2299810067.3076911</v>
      </c>
    </row>
    <row r="57" spans="1:19" s="104" customFormat="1" ht="15.9" thickBot="1" x14ac:dyDescent="0.65">
      <c r="A57" s="99"/>
      <c r="B57" s="99"/>
      <c r="C57" s="944"/>
      <c r="D57" s="944"/>
      <c r="E57" s="944"/>
      <c r="F57" s="953"/>
      <c r="G57" s="1198"/>
      <c r="H57" s="899">
        <f>H56/(H56+J56)</f>
        <v>0.39994680925372184</v>
      </c>
      <c r="I57" s="899"/>
      <c r="J57" s="900">
        <f>J56/(H56+J56)</f>
        <v>0.60005319074627828</v>
      </c>
      <c r="K57" s="237"/>
      <c r="L57" s="237"/>
      <c r="M57" s="237"/>
      <c r="N57" s="955"/>
      <c r="O57" s="944"/>
      <c r="P57" s="108"/>
      <c r="Q57" s="944"/>
      <c r="R57" s="944"/>
      <c r="S57" s="942"/>
    </row>
    <row r="58" spans="1:19" s="85" customFormat="1" ht="15.9" thickTop="1" x14ac:dyDescent="0.6">
      <c r="C58" s="89"/>
      <c r="D58" s="89"/>
      <c r="E58" s="89"/>
      <c r="F58" s="178"/>
      <c r="G58" s="238"/>
      <c r="H58" s="178"/>
      <c r="I58" s="178"/>
      <c r="K58" s="156"/>
      <c r="L58" s="156"/>
      <c r="M58" s="156"/>
      <c r="N58" s="156"/>
      <c r="O58" s="181"/>
      <c r="P58" s="70"/>
      <c r="Q58" s="70"/>
    </row>
    <row r="59" spans="1:19" s="85" customFormat="1" x14ac:dyDescent="0.6">
      <c r="C59" s="85" t="s">
        <v>1746</v>
      </c>
      <c r="D59" s="89">
        <f>LARGE($D$4:$D$54,1)</f>
        <v>0.32750000000000001</v>
      </c>
      <c r="E59" s="89"/>
      <c r="F59" s="178"/>
      <c r="G59" s="238"/>
      <c r="H59" s="178"/>
      <c r="I59" s="1654" t="s">
        <v>1746</v>
      </c>
      <c r="J59" s="21">
        <f>LARGE($J$4:$J$54,1)</f>
        <v>4904615384.6153851</v>
      </c>
      <c r="K59" s="156"/>
      <c r="L59" s="156"/>
      <c r="M59" s="156"/>
      <c r="N59" s="156"/>
      <c r="O59" s="70"/>
      <c r="R59" s="240" t="s">
        <v>504</v>
      </c>
    </row>
    <row r="60" spans="1:19" s="85" customFormat="1" x14ac:dyDescent="0.6">
      <c r="C60" s="89" t="s">
        <v>1744</v>
      </c>
      <c r="D60" s="89">
        <f>LARGE($D$4:$D$54,2)</f>
        <v>0.27</v>
      </c>
      <c r="E60" s="89"/>
      <c r="F60" s="1187"/>
      <c r="G60" s="238"/>
      <c r="H60" s="1187"/>
      <c r="I60" s="1659" t="s">
        <v>1744</v>
      </c>
      <c r="J60" s="21">
        <f>LARGE($J$4:$J$54,2)</f>
        <v>3449230769.2307692</v>
      </c>
      <c r="K60" s="156"/>
      <c r="L60" s="156"/>
      <c r="M60" s="156"/>
      <c r="N60" s="156"/>
      <c r="O60" s="70"/>
      <c r="P60" s="70" t="s">
        <v>26</v>
      </c>
      <c r="Q60" s="70">
        <f>O56-P56</f>
        <v>2299810067.3076973</v>
      </c>
      <c r="R60" s="881">
        <f>Q60/$H$56</f>
        <v>0.13998763172683271</v>
      </c>
    </row>
    <row r="61" spans="1:19" s="85" customFormat="1" x14ac:dyDescent="0.6">
      <c r="C61" s="89" t="s">
        <v>1745</v>
      </c>
      <c r="D61" s="89">
        <f>LARGE($D$4:$D$54,3)</f>
        <v>0.26429999999999998</v>
      </c>
      <c r="E61" s="89"/>
      <c r="F61" s="360"/>
      <c r="G61" s="238"/>
      <c r="H61" s="360"/>
      <c r="I61" s="1267" t="s">
        <v>1745</v>
      </c>
      <c r="J61" s="21">
        <f>LARGE($J$4:$J$54,3)</f>
        <v>1696923076.9230769</v>
      </c>
      <c r="K61" s="156"/>
      <c r="L61" s="156"/>
      <c r="M61" s="156"/>
      <c r="N61" s="156"/>
      <c r="O61" s="70"/>
      <c r="P61" s="70" t="s">
        <v>654</v>
      </c>
      <c r="Q61" s="70">
        <f>Q56-P56</f>
        <v>0</v>
      </c>
      <c r="R61" s="881">
        <f>Q61/$H$56</f>
        <v>0</v>
      </c>
    </row>
    <row r="62" spans="1:19" s="85" customFormat="1" x14ac:dyDescent="0.6">
      <c r="E62" s="89"/>
      <c r="F62" s="178"/>
      <c r="G62" s="238"/>
      <c r="H62" s="178"/>
      <c r="I62" s="178"/>
      <c r="K62" s="156"/>
      <c r="L62" s="156"/>
      <c r="M62" s="156"/>
      <c r="N62" s="156"/>
      <c r="O62" s="70"/>
      <c r="P62" s="70" t="s">
        <v>602</v>
      </c>
      <c r="Q62" s="70">
        <f>Q60-Q61</f>
        <v>2299810067.3076973</v>
      </c>
      <c r="R62" s="881">
        <f>Q62/$H$56</f>
        <v>0.13998763172683271</v>
      </c>
    </row>
    <row r="63" spans="1:19" s="85" customFormat="1" x14ac:dyDescent="0.6">
      <c r="C63" s="89"/>
      <c r="D63" s="89"/>
      <c r="E63" s="89"/>
      <c r="F63" s="178"/>
      <c r="G63" s="238"/>
      <c r="H63" s="178"/>
      <c r="I63" s="178"/>
      <c r="K63" s="156"/>
      <c r="L63" s="156"/>
      <c r="M63" s="156"/>
      <c r="N63" s="156"/>
      <c r="O63" s="70"/>
      <c r="P63" s="70"/>
      <c r="R63" s="70"/>
    </row>
    <row r="64" spans="1:19" s="85" customFormat="1" x14ac:dyDescent="0.6">
      <c r="C64" s="89"/>
      <c r="D64" s="89"/>
      <c r="E64" s="89"/>
      <c r="F64" s="178"/>
      <c r="G64" s="238"/>
      <c r="H64" s="178"/>
      <c r="I64" s="178"/>
      <c r="K64" s="156"/>
      <c r="L64" s="156"/>
      <c r="M64" s="156"/>
      <c r="N64" s="156"/>
      <c r="O64" s="70"/>
      <c r="P64" s="70" t="s">
        <v>686</v>
      </c>
      <c r="R64" s="506">
        <f>P56/H56</f>
        <v>1.6235392991312645</v>
      </c>
    </row>
    <row r="65" spans="3:19" s="85" customFormat="1" x14ac:dyDescent="0.6">
      <c r="C65" s="89"/>
      <c r="D65" s="89"/>
      <c r="E65" s="89"/>
      <c r="F65" s="178"/>
      <c r="G65" s="238"/>
      <c r="H65" s="178"/>
      <c r="I65" s="178"/>
      <c r="K65" s="156"/>
      <c r="L65" s="156"/>
      <c r="M65" s="156"/>
      <c r="N65" s="156"/>
      <c r="O65" s="70"/>
      <c r="P65" s="70" t="s">
        <v>645</v>
      </c>
      <c r="R65" s="506">
        <f>O56/H56</f>
        <v>1.7635269308580972</v>
      </c>
    </row>
    <row r="66" spans="3:19" s="85" customFormat="1" x14ac:dyDescent="0.6">
      <c r="C66" s="89"/>
      <c r="D66" s="89"/>
      <c r="E66" s="89"/>
      <c r="F66" s="178"/>
      <c r="G66" s="238"/>
      <c r="H66" s="178"/>
      <c r="I66" s="178"/>
      <c r="K66" s="156"/>
      <c r="L66" s="156"/>
      <c r="M66" s="156"/>
      <c r="N66" s="156"/>
      <c r="O66" s="70"/>
      <c r="P66" s="70"/>
      <c r="Q66" s="70"/>
    </row>
    <row r="67" spans="3:19" s="85" customFormat="1" x14ac:dyDescent="0.6">
      <c r="C67" s="89"/>
      <c r="D67" s="89"/>
      <c r="E67" s="89"/>
      <c r="F67" s="178"/>
      <c r="G67" s="238"/>
      <c r="H67" s="178"/>
      <c r="I67" s="178"/>
      <c r="K67" s="156"/>
      <c r="L67" s="156"/>
      <c r="M67" s="156"/>
      <c r="N67" s="156"/>
      <c r="O67" s="70"/>
      <c r="P67" s="17"/>
      <c r="Q67" s="1" t="s">
        <v>142</v>
      </c>
      <c r="R67" s="17">
        <f>LARGE(R4:R54,1)</f>
        <v>770024615.38461542</v>
      </c>
      <c r="S67" s="826"/>
    </row>
    <row r="68" spans="3:19" s="85" customFormat="1" x14ac:dyDescent="0.6">
      <c r="C68" s="89"/>
      <c r="D68" s="89"/>
      <c r="E68" s="89"/>
      <c r="F68" s="178"/>
      <c r="G68" s="238"/>
      <c r="H68" s="178"/>
      <c r="I68" s="178"/>
      <c r="K68" s="156"/>
      <c r="L68" s="156"/>
      <c r="M68" s="156"/>
      <c r="N68" s="156"/>
      <c r="O68" s="70"/>
      <c r="P68" s="1"/>
      <c r="Q68" s="1" t="s">
        <v>157</v>
      </c>
      <c r="R68" s="70">
        <f>LARGE(R4:R54,2)</f>
        <v>301457961.53846145</v>
      </c>
      <c r="S68" s="17"/>
    </row>
    <row r="69" spans="3:19" s="85" customFormat="1" x14ac:dyDescent="0.6">
      <c r="C69" s="89"/>
      <c r="D69" s="89"/>
      <c r="E69" s="89"/>
      <c r="F69" s="178"/>
      <c r="G69" s="238"/>
      <c r="H69" s="178"/>
      <c r="I69" s="178"/>
      <c r="K69" s="156"/>
      <c r="L69" s="156"/>
      <c r="M69" s="156"/>
      <c r="N69" s="156"/>
      <c r="O69" s="70"/>
      <c r="P69" s="1"/>
      <c r="Q69" s="1" t="s">
        <v>179</v>
      </c>
      <c r="R69" s="70">
        <f>LARGE(R4:R54,3)</f>
        <v>169750384.61538458</v>
      </c>
      <c r="S69" s="17"/>
    </row>
    <row r="70" spans="3:19" s="85" customFormat="1" x14ac:dyDescent="0.6">
      <c r="C70" s="89"/>
      <c r="D70" s="89"/>
      <c r="E70" s="89"/>
      <c r="F70" s="178"/>
      <c r="G70" s="238"/>
      <c r="H70" s="178"/>
      <c r="I70" s="178"/>
      <c r="K70" s="156"/>
      <c r="L70" s="156"/>
      <c r="M70" s="156"/>
      <c r="N70" s="156"/>
      <c r="O70" s="70"/>
      <c r="P70" s="1"/>
      <c r="Q70" s="1"/>
      <c r="R70" s="70"/>
      <c r="S70" s="17"/>
    </row>
    <row r="71" spans="3:19" s="85" customFormat="1" x14ac:dyDescent="0.6">
      <c r="C71" s="89"/>
      <c r="D71" s="89"/>
      <c r="E71" s="89"/>
      <c r="F71" s="178"/>
      <c r="G71" s="238"/>
      <c r="H71" s="178"/>
      <c r="I71" s="178"/>
      <c r="K71" s="156"/>
      <c r="L71" s="156"/>
      <c r="M71" s="156"/>
      <c r="N71" s="156"/>
      <c r="O71" s="70"/>
      <c r="P71" s="1"/>
      <c r="Q71" s="1" t="s">
        <v>852</v>
      </c>
      <c r="R71" s="891">
        <f>SUM(R4:R54)</f>
        <v>2299810067.3076911</v>
      </c>
      <c r="S71" s="929">
        <v>51</v>
      </c>
    </row>
    <row r="72" spans="3:19" s="85" customFormat="1" x14ac:dyDescent="0.6">
      <c r="C72" s="89"/>
      <c r="D72" s="89"/>
      <c r="E72" s="89"/>
      <c r="F72" s="178"/>
      <c r="G72" s="238"/>
      <c r="H72" s="178"/>
      <c r="I72" s="178"/>
      <c r="K72" s="156"/>
      <c r="L72" s="156"/>
      <c r="M72" s="156"/>
      <c r="N72" s="156"/>
      <c r="O72" s="70"/>
      <c r="P72" s="1"/>
      <c r="Q72" s="1" t="s">
        <v>853</v>
      </c>
      <c r="R72" s="891">
        <v>0</v>
      </c>
      <c r="S72" s="929">
        <v>0</v>
      </c>
    </row>
    <row r="73" spans="3:19" s="85" customFormat="1" x14ac:dyDescent="0.6">
      <c r="C73" s="89"/>
      <c r="D73" s="89"/>
      <c r="E73" s="89"/>
      <c r="F73" s="178"/>
      <c r="G73" s="238"/>
      <c r="H73" s="178"/>
      <c r="I73" s="178"/>
      <c r="K73" s="156"/>
      <c r="L73" s="156"/>
      <c r="M73" s="156"/>
      <c r="N73" s="156"/>
      <c r="O73" s="70"/>
      <c r="P73" s="1"/>
      <c r="Q73" s="1"/>
      <c r="R73" s="70"/>
      <c r="S73" s="17"/>
    </row>
    <row r="74" spans="3:19" s="85" customFormat="1" x14ac:dyDescent="0.6">
      <c r="C74" s="89"/>
      <c r="D74" s="89"/>
      <c r="E74" s="89"/>
      <c r="F74" s="178"/>
      <c r="G74" s="238"/>
      <c r="H74" s="178"/>
      <c r="I74" s="178"/>
      <c r="K74" s="156"/>
      <c r="L74" s="156"/>
      <c r="M74" s="156"/>
      <c r="N74" s="156"/>
      <c r="O74" s="70"/>
      <c r="P74" s="1"/>
      <c r="Q74" s="1"/>
      <c r="R74" s="891"/>
      <c r="S74" s="17"/>
    </row>
    <row r="75" spans="3:19" s="85" customFormat="1" x14ac:dyDescent="0.6">
      <c r="C75" s="89"/>
      <c r="D75" s="89"/>
      <c r="E75" s="89"/>
      <c r="F75" s="178"/>
      <c r="G75" s="238"/>
      <c r="H75" s="178"/>
      <c r="I75" s="178"/>
      <c r="K75" s="156"/>
      <c r="L75" s="156"/>
      <c r="M75" s="156"/>
      <c r="N75" s="156"/>
      <c r="O75" s="70"/>
      <c r="P75" s="1"/>
    </row>
    <row r="76" spans="3:19" s="85" customFormat="1" x14ac:dyDescent="0.6">
      <c r="C76" s="89"/>
      <c r="D76" s="89"/>
      <c r="E76" s="89"/>
      <c r="F76" s="178"/>
      <c r="G76" s="238"/>
      <c r="H76" s="178"/>
      <c r="I76" s="178"/>
      <c r="K76" s="156"/>
      <c r="L76" s="156"/>
      <c r="M76" s="156"/>
      <c r="N76" s="156"/>
      <c r="O76" s="70"/>
      <c r="P76" s="1"/>
    </row>
    <row r="77" spans="3:19" s="85" customFormat="1" x14ac:dyDescent="0.6">
      <c r="C77" s="89"/>
      <c r="D77" s="89"/>
      <c r="E77" s="89"/>
      <c r="F77" s="178"/>
      <c r="G77" s="238"/>
      <c r="H77" s="178"/>
      <c r="I77" s="178"/>
      <c r="K77" s="156"/>
      <c r="L77" s="156"/>
      <c r="M77" s="156"/>
      <c r="N77" s="156"/>
      <c r="O77" s="70"/>
      <c r="P77" s="17"/>
      <c r="Q77" s="17"/>
      <c r="R77" s="891"/>
      <c r="S77" s="1"/>
    </row>
    <row r="78" spans="3:19" s="85" customFormat="1" x14ac:dyDescent="0.6">
      <c r="C78" s="89"/>
      <c r="D78" s="89"/>
      <c r="E78" s="89"/>
      <c r="F78" s="178"/>
      <c r="G78" s="238"/>
      <c r="H78" s="178"/>
      <c r="I78" s="178"/>
      <c r="K78" s="156"/>
      <c r="L78" s="156"/>
      <c r="M78" s="156"/>
      <c r="N78" s="156"/>
      <c r="O78" s="70"/>
      <c r="P78" s="17"/>
      <c r="Q78" s="17"/>
      <c r="R78" s="891"/>
      <c r="S78" s="1"/>
    </row>
    <row r="79" spans="3:19" s="85" customFormat="1" x14ac:dyDescent="0.6">
      <c r="C79" s="89"/>
      <c r="D79" s="89"/>
      <c r="E79" s="89"/>
      <c r="F79" s="178"/>
      <c r="G79" s="238"/>
      <c r="H79" s="178"/>
      <c r="I79" s="178"/>
      <c r="K79" s="156"/>
      <c r="L79" s="156"/>
      <c r="M79" s="156"/>
      <c r="N79" s="156"/>
      <c r="O79" s="70"/>
      <c r="P79" s="17"/>
      <c r="Q79" s="17"/>
      <c r="R79" s="891"/>
      <c r="S79" s="1"/>
    </row>
    <row r="80" spans="3:19" s="85" customFormat="1" x14ac:dyDescent="0.6">
      <c r="C80" s="89"/>
      <c r="D80" s="89"/>
      <c r="E80" s="89"/>
      <c r="F80" s="178"/>
      <c r="G80" s="238"/>
      <c r="H80" s="178"/>
      <c r="I80" s="178"/>
      <c r="K80" s="156"/>
      <c r="L80" s="156"/>
      <c r="M80" s="156"/>
      <c r="N80" s="156"/>
      <c r="O80" s="70"/>
      <c r="P80" s="17"/>
      <c r="Q80" s="17"/>
      <c r="R80" s="70"/>
      <c r="S80" s="1"/>
    </row>
    <row r="81" spans="3:17" s="85" customFormat="1" x14ac:dyDescent="0.6">
      <c r="C81" s="89"/>
      <c r="D81" s="89"/>
      <c r="E81" s="89"/>
      <c r="F81" s="178"/>
      <c r="G81" s="238"/>
      <c r="H81" s="178"/>
      <c r="I81" s="178"/>
      <c r="K81" s="156"/>
      <c r="L81" s="156"/>
      <c r="M81" s="156"/>
      <c r="N81" s="156"/>
      <c r="O81" s="70"/>
      <c r="P81" s="70"/>
      <c r="Q81" s="70"/>
    </row>
    <row r="82" spans="3:17" s="85" customFormat="1" x14ac:dyDescent="0.6">
      <c r="C82" s="89"/>
      <c r="D82" s="89"/>
      <c r="E82" s="89"/>
      <c r="F82" s="178"/>
      <c r="G82" s="238"/>
      <c r="H82" s="178"/>
      <c r="I82" s="178"/>
      <c r="K82" s="156"/>
      <c r="L82" s="156"/>
      <c r="M82" s="156"/>
      <c r="N82" s="156"/>
      <c r="O82" s="70"/>
      <c r="P82" s="70"/>
      <c r="Q82" s="70"/>
    </row>
    <row r="83" spans="3:17" s="85" customFormat="1" x14ac:dyDescent="0.6">
      <c r="C83" s="89"/>
      <c r="D83" s="89"/>
      <c r="E83" s="89"/>
      <c r="F83" s="178"/>
      <c r="G83" s="238"/>
      <c r="H83" s="178"/>
      <c r="I83" s="178"/>
      <c r="K83" s="156"/>
      <c r="L83" s="156"/>
      <c r="M83" s="156"/>
      <c r="N83" s="156"/>
      <c r="O83" s="70"/>
      <c r="P83" s="70"/>
      <c r="Q83" s="70"/>
    </row>
    <row r="84" spans="3:17" s="85" customFormat="1" x14ac:dyDescent="0.6">
      <c r="C84" s="89"/>
      <c r="D84" s="89"/>
      <c r="E84" s="89"/>
      <c r="F84" s="178"/>
      <c r="G84" s="238"/>
      <c r="H84" s="178"/>
      <c r="I84" s="178"/>
      <c r="K84" s="156"/>
      <c r="L84" s="156"/>
      <c r="M84" s="156"/>
      <c r="N84" s="156"/>
      <c r="O84" s="70"/>
      <c r="P84" s="70"/>
      <c r="Q84" s="70"/>
    </row>
    <row r="85" spans="3:17" s="85" customFormat="1" x14ac:dyDescent="0.6">
      <c r="C85" s="89"/>
      <c r="D85" s="89"/>
      <c r="E85" s="89"/>
      <c r="F85" s="178"/>
      <c r="G85" s="238"/>
      <c r="H85" s="178"/>
      <c r="I85" s="178"/>
      <c r="K85" s="156"/>
      <c r="L85" s="156"/>
      <c r="M85" s="156"/>
      <c r="N85" s="156"/>
      <c r="O85" s="70"/>
      <c r="P85" s="70"/>
      <c r="Q85" s="70"/>
    </row>
    <row r="86" spans="3:17" s="85" customFormat="1" x14ac:dyDescent="0.6">
      <c r="C86" s="89"/>
      <c r="D86" s="89"/>
      <c r="E86" s="89"/>
      <c r="F86" s="178"/>
      <c r="G86" s="238"/>
      <c r="H86" s="178"/>
      <c r="I86" s="178"/>
      <c r="K86" s="156"/>
      <c r="L86" s="156"/>
      <c r="M86" s="156"/>
      <c r="N86" s="156"/>
      <c r="O86" s="70"/>
      <c r="P86" s="70"/>
      <c r="Q86" s="70"/>
    </row>
  </sheetData>
  <sortState xmlns:xlrd2="http://schemas.microsoft.com/office/spreadsheetml/2017/richdata2" ref="B4:L54">
    <sortCondition ref="B4:B54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0.84765625" style="7" bestFit="1" customWidth="1"/>
    <col min="7" max="7" width="11.09765625" style="1" bestFit="1" customWidth="1"/>
    <col min="8" max="8" width="11.09765625" style="10" bestFit="1" customWidth="1"/>
    <col min="9" max="9" width="12.5" style="5" bestFit="1" customWidth="1"/>
    <col min="10" max="10" width="13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customWidth="1"/>
    <col min="20" max="20" width="19.59765625" style="57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8.5" style="17" bestFit="1" customWidth="1"/>
    <col min="25" max="25" width="17.5" style="10" bestFit="1" customWidth="1"/>
    <col min="26" max="16384" width="10.84765625" style="1"/>
  </cols>
  <sheetData>
    <row r="1" spans="1:25" x14ac:dyDescent="0.6">
      <c r="A1" s="24" t="s">
        <v>1185</v>
      </c>
      <c r="C1" s="19" t="s">
        <v>855</v>
      </c>
      <c r="E1" s="107"/>
      <c r="J1" s="54">
        <f>LARGE(J6:J34,3)</f>
        <v>2.1648142237455521</v>
      </c>
      <c r="V1" s="17">
        <f>V9+V11+V13+V15+V16+V18+V29+V32</f>
        <v>281645046.95580429</v>
      </c>
    </row>
    <row r="2" spans="1:25" s="2" customFormat="1" x14ac:dyDescent="0.6">
      <c r="A2" s="24" t="s">
        <v>131</v>
      </c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6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881</v>
      </c>
      <c r="S2" s="114"/>
      <c r="T2" s="58" t="s">
        <v>622</v>
      </c>
      <c r="U2" s="18" t="s">
        <v>42</v>
      </c>
      <c r="V2" s="18"/>
      <c r="W2" s="11" t="s">
        <v>645</v>
      </c>
      <c r="X2" s="18"/>
      <c r="Y2" s="11"/>
    </row>
    <row r="3" spans="1:25" s="2" customFormat="1" x14ac:dyDescent="0.6">
      <c r="C3" s="14" t="s">
        <v>93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707</v>
      </c>
      <c r="U3" s="18" t="s">
        <v>77</v>
      </c>
      <c r="V3" s="18" t="s">
        <v>34</v>
      </c>
      <c r="W3" s="11" t="s">
        <v>639</v>
      </c>
      <c r="X3" s="18" t="s">
        <v>642</v>
      </c>
      <c r="Y3" s="11"/>
    </row>
    <row r="4" spans="1:25" x14ac:dyDescent="0.6">
      <c r="A4" s="61">
        <v>1</v>
      </c>
      <c r="B4" s="44" t="s">
        <v>37</v>
      </c>
      <c r="C4" s="290">
        <v>156</v>
      </c>
      <c r="D4" s="345">
        <f>C4*Assumptions!$C$24</f>
        <v>50646960</v>
      </c>
      <c r="E4" s="399">
        <v>1</v>
      </c>
      <c r="F4" s="297">
        <f>Assumptions!$C$115</f>
        <v>3.7854100000000002</v>
      </c>
      <c r="G4" s="389"/>
      <c r="H4" s="301">
        <f>1.71+Assumptions!$C$25</f>
        <v>2.21</v>
      </c>
      <c r="I4" s="87"/>
      <c r="J4" s="306"/>
      <c r="K4" s="329"/>
      <c r="L4" s="329">
        <f>K4*H4</f>
        <v>0</v>
      </c>
      <c r="M4" s="329">
        <f>L4*I4</f>
        <v>0</v>
      </c>
      <c r="N4" s="313"/>
      <c r="O4" s="314">
        <f>'State kero - Res'!Q61*D4</f>
        <v>7331400.6948000025</v>
      </c>
      <c r="P4" s="1053">
        <f>J4+N4</f>
        <v>0</v>
      </c>
      <c r="Q4" s="1047">
        <f>P4*D4</f>
        <v>0</v>
      </c>
      <c r="R4" s="310">
        <f>'State kero - Res'!Q62</f>
        <v>-0.14475500000000005</v>
      </c>
      <c r="S4" s="366">
        <f>D4*R4</f>
        <v>-7331400.6948000025</v>
      </c>
      <c r="T4" s="336">
        <f>-'OECD other kero subsidies'!D2</f>
        <v>-34782190</v>
      </c>
      <c r="U4" s="342">
        <f>T4*E4</f>
        <v>-34782190</v>
      </c>
      <c r="V4" s="111">
        <f>S4+U4</f>
        <v>-42113590.694800004</v>
      </c>
      <c r="W4" s="320">
        <f>(H4+J4)*(1+K4)</f>
        <v>2.21</v>
      </c>
      <c r="X4" s="342">
        <f>W4*D4+U4</f>
        <v>77147591.599999994</v>
      </c>
    </row>
    <row r="5" spans="1:25" s="2" customFormat="1" x14ac:dyDescent="0.6">
      <c r="A5" s="40" t="s">
        <v>640</v>
      </c>
      <c r="B5" s="40"/>
      <c r="C5" s="356"/>
      <c r="D5" s="346"/>
      <c r="E5" s="418"/>
      <c r="F5" s="298"/>
      <c r="G5" s="385"/>
      <c r="H5" s="302"/>
      <c r="I5" s="42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  <c r="Y5" s="11"/>
    </row>
    <row r="6" spans="1:25" x14ac:dyDescent="0.6">
      <c r="A6" s="46">
        <f>A4+1</f>
        <v>2</v>
      </c>
      <c r="B6" s="44" t="s">
        <v>0</v>
      </c>
      <c r="C6" s="290">
        <v>28</v>
      </c>
      <c r="D6" s="345">
        <f>C6*Assumptions!$C$24</f>
        <v>9090480</v>
      </c>
      <c r="E6" s="391">
        <f>Assumptions!$H$3</f>
        <v>1.1863330000000001</v>
      </c>
      <c r="F6" s="297">
        <f>Assumptions!$C$115</f>
        <v>3.7854100000000002</v>
      </c>
      <c r="G6" s="422"/>
      <c r="H6" s="1077">
        <f>IF(C6=0,0,Assumptions!$C$96)</f>
        <v>2.5</v>
      </c>
      <c r="I6" s="427">
        <f>19.4356/1000</f>
        <v>1.9435600000000001E-2</v>
      </c>
      <c r="J6" s="286">
        <f>I6*F6*E6</f>
        <v>8.7280552891816479E-2</v>
      </c>
      <c r="K6" s="322">
        <v>0.21</v>
      </c>
      <c r="L6" s="329">
        <f t="shared" ref="L6:L26" si="0">K6*H6</f>
        <v>0.52500000000000002</v>
      </c>
      <c r="M6" s="281">
        <f t="shared" ref="M6:M26" si="1">K6*J6</f>
        <v>1.8328916107281459E-2</v>
      </c>
      <c r="N6" s="281">
        <f t="shared" ref="N6:N26" si="2">M6+L6</f>
        <v>0.54332891610728151</v>
      </c>
      <c r="O6" s="314">
        <f t="shared" ref="O6:O26" si="3">L6*D6</f>
        <v>4772502</v>
      </c>
      <c r="P6" s="1053">
        <f t="shared" ref="P6:P39" si="4">J6+N6</f>
        <v>0.63060946899909798</v>
      </c>
      <c r="Q6" s="1047">
        <f t="shared" ref="Q6:Q26" si="5">P6*D6</f>
        <v>5732542.7657469204</v>
      </c>
      <c r="R6" s="268">
        <f t="shared" ref="R6:R26" si="6">M6+J6</f>
        <v>0.10560946899909794</v>
      </c>
      <c r="S6" s="366">
        <f t="shared" ref="S6:S26" si="7">D6*R6</f>
        <v>960040.7657469199</v>
      </c>
      <c r="T6" s="336">
        <f>-'OECD other kero subsidies'!D9</f>
        <v>-30732450</v>
      </c>
      <c r="U6" s="342">
        <f t="shared" ref="U6:U26" si="8">T6*E6</f>
        <v>-36458919.605850004</v>
      </c>
      <c r="V6" s="111">
        <f t="shared" ref="V6:V26" si="9">S6+U6</f>
        <v>-35498878.840103082</v>
      </c>
      <c r="W6" s="281">
        <f t="shared" ref="W6:W25" si="10">(H6+J6)*(1+K6)</f>
        <v>3.130609468999098</v>
      </c>
      <c r="X6" s="342">
        <f t="shared" ref="X6:X26" si="11">W6*D6+U6</f>
        <v>-8000176.8401030824</v>
      </c>
    </row>
    <row r="7" spans="1:25" x14ac:dyDescent="0.6">
      <c r="A7" s="46">
        <f t="shared" ref="A7:A26" si="12">A6+1</f>
        <v>3</v>
      </c>
      <c r="B7" s="44" t="s">
        <v>1</v>
      </c>
      <c r="C7" s="290">
        <v>0</v>
      </c>
      <c r="D7" s="345">
        <f>C7*Assumptions!$C$24</f>
        <v>0</v>
      </c>
      <c r="E7" s="391">
        <f>Assumptions!$H$15</f>
        <v>4.5997000000000003E-2</v>
      </c>
      <c r="F7" s="297">
        <f>Assumptions!$C$115</f>
        <v>3.7854100000000002</v>
      </c>
      <c r="G7" s="386"/>
      <c r="H7" s="1077">
        <f>IF(C7=0,0,Assumptions!$C$96)</f>
        <v>0</v>
      </c>
      <c r="I7" s="428">
        <f>10950/1000</f>
        <v>10.95</v>
      </c>
      <c r="J7" s="286">
        <f t="shared" ref="J7:J26" si="13">I7*F7*E7</f>
        <v>1.9065866662815003</v>
      </c>
      <c r="K7" s="322">
        <v>0.21</v>
      </c>
      <c r="L7" s="329">
        <f t="shared" si="0"/>
        <v>0</v>
      </c>
      <c r="M7" s="281">
        <f t="shared" si="1"/>
        <v>0.40038319991911503</v>
      </c>
      <c r="N7" s="281">
        <f t="shared" si="2"/>
        <v>0.40038319991911503</v>
      </c>
      <c r="O7" s="314">
        <f t="shared" si="3"/>
        <v>0</v>
      </c>
      <c r="P7" s="1053">
        <f t="shared" si="4"/>
        <v>2.3069698662006153</v>
      </c>
      <c r="Q7" s="1047">
        <f t="shared" si="5"/>
        <v>0</v>
      </c>
      <c r="R7" s="268">
        <f t="shared" si="6"/>
        <v>2.3069698662006153</v>
      </c>
      <c r="S7" s="366">
        <f t="shared" si="7"/>
        <v>0</v>
      </c>
      <c r="T7" s="336">
        <f>-'OECD other kero subsidies'!D14</f>
        <v>0</v>
      </c>
      <c r="U7" s="342">
        <f t="shared" si="8"/>
        <v>0</v>
      </c>
      <c r="V7" s="111">
        <f t="shared" si="9"/>
        <v>0</v>
      </c>
      <c r="W7" s="281">
        <f t="shared" si="10"/>
        <v>2.3069698662006153</v>
      </c>
      <c r="X7" s="342">
        <f t="shared" si="11"/>
        <v>0</v>
      </c>
    </row>
    <row r="8" spans="1:25" x14ac:dyDescent="0.6">
      <c r="A8" s="46">
        <f t="shared" si="12"/>
        <v>4</v>
      </c>
      <c r="B8" s="44" t="s">
        <v>2</v>
      </c>
      <c r="C8" s="290">
        <v>0</v>
      </c>
      <c r="D8" s="345">
        <f>C8*Assumptions!$C$24</f>
        <v>0</v>
      </c>
      <c r="E8" s="391">
        <f>Assumptions!$H$16</f>
        <v>0.15934999999999999</v>
      </c>
      <c r="F8" s="297">
        <f>Assumptions!$C$115</f>
        <v>3.7854100000000002</v>
      </c>
      <c r="G8" s="423"/>
      <c r="H8" s="1077">
        <f>IF(C8=0,0,Assumptions!$C$96)</f>
        <v>0</v>
      </c>
      <c r="I8" s="1265">
        <f>2406/1000</f>
        <v>2.4060000000000001</v>
      </c>
      <c r="J8" s="286">
        <f t="shared" si="13"/>
        <v>1.4513114309010002</v>
      </c>
      <c r="K8" s="322">
        <v>0.25</v>
      </c>
      <c r="L8" s="329">
        <f t="shared" si="0"/>
        <v>0</v>
      </c>
      <c r="M8" s="281">
        <f t="shared" si="1"/>
        <v>0.36282785772525006</v>
      </c>
      <c r="N8" s="281">
        <f t="shared" si="2"/>
        <v>0.36282785772525006</v>
      </c>
      <c r="O8" s="314">
        <f t="shared" si="3"/>
        <v>0</v>
      </c>
      <c r="P8" s="1053">
        <f t="shared" si="4"/>
        <v>1.8141392886262504</v>
      </c>
      <c r="Q8" s="1047">
        <f t="shared" si="5"/>
        <v>0</v>
      </c>
      <c r="R8" s="268">
        <f t="shared" si="6"/>
        <v>1.8141392886262504</v>
      </c>
      <c r="S8" s="366">
        <f t="shared" si="7"/>
        <v>0</v>
      </c>
      <c r="T8" s="336">
        <f>-'OECD other kero subsidies'!D16</f>
        <v>0</v>
      </c>
      <c r="U8" s="342">
        <f t="shared" si="8"/>
        <v>0</v>
      </c>
      <c r="V8" s="111">
        <f t="shared" si="9"/>
        <v>0</v>
      </c>
      <c r="W8" s="281">
        <f t="shared" si="10"/>
        <v>1.8141392886262504</v>
      </c>
      <c r="X8" s="342">
        <f t="shared" si="11"/>
        <v>0</v>
      </c>
    </row>
    <row r="9" spans="1:25" x14ac:dyDescent="0.6">
      <c r="A9" s="46">
        <f t="shared" si="12"/>
        <v>5</v>
      </c>
      <c r="B9" s="44" t="s">
        <v>3</v>
      </c>
      <c r="C9" s="290">
        <v>3</v>
      </c>
      <c r="D9" s="345">
        <f>C9*Assumptions!$C$24</f>
        <v>973980</v>
      </c>
      <c r="E9" s="391">
        <f>Assumptions!$H$3</f>
        <v>1.1863330000000001</v>
      </c>
      <c r="F9" s="297">
        <f>Assumptions!$C$115</f>
        <v>3.7854100000000002</v>
      </c>
      <c r="G9" s="422"/>
      <c r="H9" s="1077">
        <f>IF(C9=0,0,Assumptions!$C$96)</f>
        <v>2.5</v>
      </c>
      <c r="I9" s="434">
        <f>654.5/1000</f>
        <v>0.65449999999999997</v>
      </c>
      <c r="J9" s="286">
        <f t="shared" si="13"/>
        <v>2.9392003266013855</v>
      </c>
      <c r="K9" s="322">
        <v>0.19</v>
      </c>
      <c r="L9" s="329">
        <f t="shared" si="0"/>
        <v>0.47499999999999998</v>
      </c>
      <c r="M9" s="281">
        <f t="shared" si="1"/>
        <v>0.55844806205426323</v>
      </c>
      <c r="N9" s="281">
        <f t="shared" si="2"/>
        <v>1.0334480620542632</v>
      </c>
      <c r="O9" s="314">
        <f t="shared" si="3"/>
        <v>462640.5</v>
      </c>
      <c r="P9" s="1053">
        <f t="shared" si="4"/>
        <v>3.9726483886556485</v>
      </c>
      <c r="Q9" s="1047">
        <f t="shared" si="5"/>
        <v>3869280.0775828287</v>
      </c>
      <c r="R9" s="268">
        <f t="shared" si="6"/>
        <v>3.4976483886556489</v>
      </c>
      <c r="S9" s="366">
        <f t="shared" si="7"/>
        <v>3406639.5775828287</v>
      </c>
      <c r="T9" s="336">
        <f>-'OECD other kero subsidies'!D18</f>
        <v>0</v>
      </c>
      <c r="U9" s="342">
        <f t="shared" si="8"/>
        <v>0</v>
      </c>
      <c r="V9" s="111">
        <f t="shared" si="9"/>
        <v>3406639.5775828287</v>
      </c>
      <c r="W9" s="281">
        <f t="shared" si="10"/>
        <v>6.4726483886556485</v>
      </c>
      <c r="X9" s="342">
        <f t="shared" si="11"/>
        <v>6304230.0775828287</v>
      </c>
    </row>
    <row r="10" spans="1:25" x14ac:dyDescent="0.6">
      <c r="A10" s="46">
        <f t="shared" si="12"/>
        <v>6</v>
      </c>
      <c r="B10" s="44" t="s">
        <v>4</v>
      </c>
      <c r="C10" s="290">
        <v>0</v>
      </c>
      <c r="D10" s="345">
        <f>C10*Assumptions!$C$24</f>
        <v>0</v>
      </c>
      <c r="E10" s="391">
        <f>Assumptions!$H$3</f>
        <v>1.1863330000000001</v>
      </c>
      <c r="F10" s="297">
        <f>Assumptions!$C$115</f>
        <v>3.7854100000000002</v>
      </c>
      <c r="G10" s="422"/>
      <c r="H10" s="1077">
        <f>IF(C10=0,0,Assumptions!$C$96)</f>
        <v>0</v>
      </c>
      <c r="I10" s="434">
        <f>330.1/1000</f>
        <v>0.3301</v>
      </c>
      <c r="J10" s="286">
        <f t="shared" si="13"/>
        <v>1.4823988201850531</v>
      </c>
      <c r="K10" s="322">
        <v>0.2</v>
      </c>
      <c r="L10" s="329">
        <f t="shared" si="0"/>
        <v>0</v>
      </c>
      <c r="M10" s="281">
        <f t="shared" si="1"/>
        <v>0.29647976403701065</v>
      </c>
      <c r="N10" s="281">
        <f t="shared" si="2"/>
        <v>0.29647976403701065</v>
      </c>
      <c r="O10" s="314">
        <f t="shared" si="3"/>
        <v>0</v>
      </c>
      <c r="P10" s="1053">
        <f t="shared" si="4"/>
        <v>1.7788785842220638</v>
      </c>
      <c r="Q10" s="1047">
        <f t="shared" si="5"/>
        <v>0</v>
      </c>
      <c r="R10" s="268">
        <f t="shared" si="6"/>
        <v>1.7788785842220638</v>
      </c>
      <c r="S10" s="366">
        <f t="shared" si="7"/>
        <v>0</v>
      </c>
      <c r="T10" s="336">
        <f>-'OECD other kero subsidies'!D20</f>
        <v>0</v>
      </c>
      <c r="U10" s="342">
        <f t="shared" si="8"/>
        <v>0</v>
      </c>
      <c r="V10" s="111">
        <f t="shared" si="9"/>
        <v>0</v>
      </c>
      <c r="W10" s="281">
        <f t="shared" si="10"/>
        <v>1.7788785842220636</v>
      </c>
      <c r="X10" s="342">
        <f t="shared" si="11"/>
        <v>0</v>
      </c>
    </row>
    <row r="11" spans="1:25" x14ac:dyDescent="0.6">
      <c r="A11" s="46">
        <f t="shared" si="12"/>
        <v>7</v>
      </c>
      <c r="B11" s="44" t="s">
        <v>5</v>
      </c>
      <c r="C11" s="290">
        <v>4</v>
      </c>
      <c r="D11" s="345">
        <f>C11*Assumptions!$C$24</f>
        <v>1298640</v>
      </c>
      <c r="E11" s="391">
        <f>Assumptions!$H$3</f>
        <v>1.1863330000000001</v>
      </c>
      <c r="F11" s="297">
        <f>Assumptions!$C$115</f>
        <v>3.7854100000000002</v>
      </c>
      <c r="G11" s="422"/>
      <c r="H11" s="1077">
        <f>IF(C11=0,0,Assumptions!$C$96)</f>
        <v>2.5</v>
      </c>
      <c r="I11" s="434">
        <f>330/1000</f>
        <v>0.33</v>
      </c>
      <c r="J11" s="286">
        <f t="shared" si="13"/>
        <v>1.4819497445049004</v>
      </c>
      <c r="K11" s="322">
        <v>0.23</v>
      </c>
      <c r="L11" s="329">
        <f t="shared" si="0"/>
        <v>0.57500000000000007</v>
      </c>
      <c r="M11" s="281">
        <f t="shared" si="1"/>
        <v>0.34084844123612712</v>
      </c>
      <c r="N11" s="281">
        <f t="shared" si="2"/>
        <v>0.91584844123612719</v>
      </c>
      <c r="O11" s="314">
        <f t="shared" si="3"/>
        <v>746718.00000000012</v>
      </c>
      <c r="P11" s="1053">
        <f t="shared" si="4"/>
        <v>2.3977981857410278</v>
      </c>
      <c r="Q11" s="1047">
        <f t="shared" si="5"/>
        <v>3113876.6359307282</v>
      </c>
      <c r="R11" s="268">
        <f t="shared" si="6"/>
        <v>1.8227981857410276</v>
      </c>
      <c r="S11" s="366">
        <f t="shared" si="7"/>
        <v>2367158.6359307282</v>
      </c>
      <c r="T11" s="336">
        <f>-'OECD other kero subsidies'!D22</f>
        <v>0</v>
      </c>
      <c r="U11" s="342">
        <f t="shared" si="8"/>
        <v>0</v>
      </c>
      <c r="V11" s="111">
        <f t="shared" si="9"/>
        <v>2367158.6359307282</v>
      </c>
      <c r="W11" s="281">
        <f t="shared" si="10"/>
        <v>4.8977981857410278</v>
      </c>
      <c r="X11" s="342">
        <f t="shared" si="11"/>
        <v>6360476.6359307282</v>
      </c>
    </row>
    <row r="12" spans="1:25" x14ac:dyDescent="0.6">
      <c r="A12" s="46">
        <f t="shared" si="12"/>
        <v>8</v>
      </c>
      <c r="B12" s="44" t="s">
        <v>6</v>
      </c>
      <c r="C12" s="290">
        <v>0</v>
      </c>
      <c r="D12" s="345">
        <f>C12*Assumptions!$C$24</f>
        <v>0</v>
      </c>
      <c r="E12" s="391">
        <f>Assumptions!$H$3</f>
        <v>1.1863330000000001</v>
      </c>
      <c r="F12" s="297">
        <f>Assumptions!$C$115</f>
        <v>3.7854100000000002</v>
      </c>
      <c r="G12" s="422"/>
      <c r="H12" s="1077">
        <f>IF(C12=0,0,Assumptions!$C$96)</f>
        <v>0</v>
      </c>
      <c r="I12" s="434">
        <f>78.71/1000</f>
        <v>7.8709999999999988E-2</v>
      </c>
      <c r="J12" s="286">
        <f t="shared" si="13"/>
        <v>0.35346746784842625</v>
      </c>
      <c r="K12" s="322">
        <v>0.21</v>
      </c>
      <c r="L12" s="329">
        <f t="shared" si="0"/>
        <v>0</v>
      </c>
      <c r="M12" s="281">
        <f t="shared" si="1"/>
        <v>7.422816824816951E-2</v>
      </c>
      <c r="N12" s="281">
        <f t="shared" si="2"/>
        <v>7.422816824816951E-2</v>
      </c>
      <c r="O12" s="314">
        <f t="shared" si="3"/>
        <v>0</v>
      </c>
      <c r="P12" s="1053">
        <f t="shared" si="4"/>
        <v>0.42769563609659578</v>
      </c>
      <c r="Q12" s="1047">
        <f t="shared" si="5"/>
        <v>0</v>
      </c>
      <c r="R12" s="268">
        <f t="shared" si="6"/>
        <v>0.42769563609659578</v>
      </c>
      <c r="S12" s="366">
        <f t="shared" si="7"/>
        <v>0</v>
      </c>
      <c r="T12" s="336">
        <f>-'OECD other kero subsidies'!D24</f>
        <v>0</v>
      </c>
      <c r="U12" s="342">
        <f t="shared" si="8"/>
        <v>0</v>
      </c>
      <c r="V12" s="111">
        <f t="shared" si="9"/>
        <v>0</v>
      </c>
      <c r="W12" s="281">
        <f t="shared" si="10"/>
        <v>0.42769563609659578</v>
      </c>
      <c r="X12" s="342">
        <f t="shared" si="11"/>
        <v>0</v>
      </c>
    </row>
    <row r="13" spans="1:25" x14ac:dyDescent="0.6">
      <c r="A13" s="46">
        <f t="shared" si="12"/>
        <v>9</v>
      </c>
      <c r="B13" s="44" t="s">
        <v>7</v>
      </c>
      <c r="C13" s="290">
        <v>153</v>
      </c>
      <c r="D13" s="345">
        <f>C13*Assumptions!$C$24</f>
        <v>49672980</v>
      </c>
      <c r="E13" s="391">
        <f>Assumptions!$H$3</f>
        <v>1.1863330000000001</v>
      </c>
      <c r="F13" s="297">
        <f>Assumptions!$C$115</f>
        <v>3.7854100000000002</v>
      </c>
      <c r="G13" s="422"/>
      <c r="H13" s="1077">
        <f>IF(C13=0,0,Assumptions!$C$96)</f>
        <v>2.5</v>
      </c>
      <c r="I13" s="434">
        <f>75.7/1000</f>
        <v>7.5700000000000003E-2</v>
      </c>
      <c r="J13" s="286">
        <f t="shared" si="13"/>
        <v>0.33995028987582104</v>
      </c>
      <c r="K13" s="322">
        <v>0.2</v>
      </c>
      <c r="L13" s="329">
        <f t="shared" si="0"/>
        <v>0.5</v>
      </c>
      <c r="M13" s="281">
        <f t="shared" si="1"/>
        <v>6.7990057975164206E-2</v>
      </c>
      <c r="N13" s="281">
        <f t="shared" si="2"/>
        <v>0.56799005797516422</v>
      </c>
      <c r="O13" s="314">
        <f t="shared" si="3"/>
        <v>24836490</v>
      </c>
      <c r="P13" s="1053">
        <f t="shared" si="4"/>
        <v>0.90794034785098532</v>
      </c>
      <c r="Q13" s="1047">
        <f t="shared" si="5"/>
        <v>45100102.73999504</v>
      </c>
      <c r="R13" s="268">
        <f t="shared" si="6"/>
        <v>0.40794034785098526</v>
      </c>
      <c r="S13" s="366">
        <f t="shared" si="7"/>
        <v>20263612.739995033</v>
      </c>
      <c r="T13" s="336">
        <f>-'OECD other kero subsidies'!D26</f>
        <v>0</v>
      </c>
      <c r="U13" s="342">
        <f t="shared" si="8"/>
        <v>0</v>
      </c>
      <c r="V13" s="111">
        <f t="shared" si="9"/>
        <v>20263612.739995033</v>
      </c>
      <c r="W13" s="281">
        <f t="shared" si="10"/>
        <v>3.4079403478509853</v>
      </c>
      <c r="X13" s="342">
        <f t="shared" si="11"/>
        <v>169282552.73999503</v>
      </c>
    </row>
    <row r="14" spans="1:25" x14ac:dyDescent="0.6">
      <c r="A14" s="46">
        <f t="shared" si="12"/>
        <v>10</v>
      </c>
      <c r="B14" s="44" t="s">
        <v>8</v>
      </c>
      <c r="C14" s="290">
        <v>735</v>
      </c>
      <c r="D14" s="345">
        <f>C14*Assumptions!$C$24</f>
        <v>238625100</v>
      </c>
      <c r="E14" s="391">
        <f>Assumptions!$H$3</f>
        <v>1.1863330000000001</v>
      </c>
      <c r="F14" s="297">
        <f>Assumptions!$C$115</f>
        <v>3.7854100000000002</v>
      </c>
      <c r="G14" s="422"/>
      <c r="H14" s="1077">
        <f>IF(C14=0,0,Assumptions!$C$96)</f>
        <v>2.5</v>
      </c>
      <c r="I14" s="434">
        <f>50.73/1000</f>
        <v>5.0729999999999997E-2</v>
      </c>
      <c r="J14" s="286">
        <f t="shared" si="13"/>
        <v>0.22781609254161692</v>
      </c>
      <c r="K14" s="322">
        <v>0.23</v>
      </c>
      <c r="L14" s="329">
        <f t="shared" si="0"/>
        <v>0.57500000000000007</v>
      </c>
      <c r="M14" s="281">
        <f t="shared" si="1"/>
        <v>5.2397701284571892E-2</v>
      </c>
      <c r="N14" s="281">
        <f t="shared" si="2"/>
        <v>0.62739770128457195</v>
      </c>
      <c r="O14" s="314">
        <f t="shared" si="3"/>
        <v>137209432.50000003</v>
      </c>
      <c r="P14" s="1053">
        <f t="shared" si="4"/>
        <v>0.85521379382618889</v>
      </c>
      <c r="Q14" s="1047">
        <f t="shared" si="5"/>
        <v>204075477.0731537</v>
      </c>
      <c r="R14" s="268">
        <f t="shared" si="6"/>
        <v>0.28021379382618883</v>
      </c>
      <c r="S14" s="366">
        <f t="shared" si="7"/>
        <v>66866044.57315369</v>
      </c>
      <c r="T14" s="336">
        <f>-'OECD other kero subsidies'!D28</f>
        <v>-58547784</v>
      </c>
      <c r="U14" s="342">
        <f t="shared" si="8"/>
        <v>-69457168.236072004</v>
      </c>
      <c r="V14" s="111">
        <f t="shared" si="9"/>
        <v>-2591123.6629183143</v>
      </c>
      <c r="W14" s="281">
        <f t="shared" si="10"/>
        <v>3.3552137938261888</v>
      </c>
      <c r="X14" s="342">
        <f t="shared" si="11"/>
        <v>731181058.83708167</v>
      </c>
    </row>
    <row r="15" spans="1:25" x14ac:dyDescent="0.6">
      <c r="A15" s="46">
        <f t="shared" si="12"/>
        <v>11</v>
      </c>
      <c r="B15" s="44" t="s">
        <v>9</v>
      </c>
      <c r="C15" s="290">
        <v>1</v>
      </c>
      <c r="D15" s="345">
        <f>C15*Assumptions!$C$24</f>
        <v>324660</v>
      </c>
      <c r="E15" s="391">
        <f>Assumptions!$H$3</f>
        <v>1.1863330000000001</v>
      </c>
      <c r="F15" s="297">
        <f>Assumptions!$C$115</f>
        <v>3.7854100000000002</v>
      </c>
      <c r="G15" s="422"/>
      <c r="H15" s="1077">
        <f>IF(C15=0,0,Assumptions!$C$96)</f>
        <v>2.5</v>
      </c>
      <c r="I15" s="434">
        <f>337.49/1000</f>
        <v>0.33749000000000001</v>
      </c>
      <c r="J15" s="286">
        <f t="shared" si="13"/>
        <v>1.5155855129483597</v>
      </c>
      <c r="K15" s="322">
        <v>0.22</v>
      </c>
      <c r="L15" s="329">
        <f t="shared" si="0"/>
        <v>0.55000000000000004</v>
      </c>
      <c r="M15" s="281">
        <f t="shared" si="1"/>
        <v>0.33342881284863912</v>
      </c>
      <c r="N15" s="281">
        <f t="shared" si="2"/>
        <v>0.88342881284863917</v>
      </c>
      <c r="O15" s="314">
        <f t="shared" si="3"/>
        <v>178563</v>
      </c>
      <c r="P15" s="1053">
        <f t="shared" si="4"/>
        <v>2.3990143257969989</v>
      </c>
      <c r="Q15" s="1047">
        <f t="shared" si="5"/>
        <v>778863.99101325369</v>
      </c>
      <c r="R15" s="268">
        <f t="shared" si="6"/>
        <v>1.8490143257969989</v>
      </c>
      <c r="S15" s="366">
        <f t="shared" si="7"/>
        <v>600300.99101325369</v>
      </c>
      <c r="T15" s="336">
        <f>-'OECD other kero subsidies'!D30</f>
        <v>-61847.333333333336</v>
      </c>
      <c r="U15" s="342">
        <f t="shared" si="8"/>
        <v>-73371.532495333347</v>
      </c>
      <c r="V15" s="111">
        <f t="shared" si="9"/>
        <v>526929.45851792034</v>
      </c>
      <c r="W15" s="281">
        <f t="shared" si="10"/>
        <v>4.8990143257969994</v>
      </c>
      <c r="X15" s="342">
        <f t="shared" si="11"/>
        <v>1517142.4585179205</v>
      </c>
    </row>
    <row r="16" spans="1:25" x14ac:dyDescent="0.6">
      <c r="A16" s="46">
        <f t="shared" si="12"/>
        <v>12</v>
      </c>
      <c r="B16" s="44" t="s">
        <v>10</v>
      </c>
      <c r="C16" s="290">
        <v>1</v>
      </c>
      <c r="D16" s="345">
        <f>C16*Assumptions!$C$24</f>
        <v>324660</v>
      </c>
      <c r="E16" s="391">
        <f>Assumptions!$H$3</f>
        <v>1.1863330000000001</v>
      </c>
      <c r="F16" s="297">
        <f>Assumptions!$C$115</f>
        <v>3.7854100000000002</v>
      </c>
      <c r="G16" s="422"/>
      <c r="H16" s="1077">
        <f>IF(C16=0,0,Assumptions!$C$96)</f>
        <v>2.5</v>
      </c>
      <c r="I16" s="434">
        <f>10/1000</f>
        <v>0.01</v>
      </c>
      <c r="J16" s="286">
        <f t="shared" si="13"/>
        <v>4.4907568015300006E-2</v>
      </c>
      <c r="K16" s="322">
        <v>0.17</v>
      </c>
      <c r="L16" s="329">
        <f t="shared" si="0"/>
        <v>0.42500000000000004</v>
      </c>
      <c r="M16" s="281">
        <f t="shared" si="1"/>
        <v>7.6342865626010019E-3</v>
      </c>
      <c r="N16" s="281">
        <f t="shared" si="2"/>
        <v>0.43263428656260106</v>
      </c>
      <c r="O16" s="314">
        <f t="shared" si="3"/>
        <v>137980.5</v>
      </c>
      <c r="P16" s="1053">
        <f t="shared" si="4"/>
        <v>0.47754185457790105</v>
      </c>
      <c r="Q16" s="1047">
        <f t="shared" si="5"/>
        <v>155038.73850726135</v>
      </c>
      <c r="R16" s="268">
        <f t="shared" si="6"/>
        <v>5.2541854577901011E-2</v>
      </c>
      <c r="S16" s="366">
        <f t="shared" si="7"/>
        <v>17058.238507261343</v>
      </c>
      <c r="T16" s="336">
        <f>-'OECD other kero subsidies'!D33</f>
        <v>0</v>
      </c>
      <c r="U16" s="342">
        <f t="shared" si="8"/>
        <v>0</v>
      </c>
      <c r="V16" s="111">
        <f t="shared" si="9"/>
        <v>17058.238507261343</v>
      </c>
      <c r="W16" s="281">
        <f t="shared" si="10"/>
        <v>2.9775418545779009</v>
      </c>
      <c r="X16" s="342">
        <f t="shared" si="11"/>
        <v>966688.73850726127</v>
      </c>
    </row>
    <row r="17" spans="1:25" x14ac:dyDescent="0.6">
      <c r="A17" s="46">
        <f t="shared" si="12"/>
        <v>13</v>
      </c>
      <c r="B17" s="44" t="s">
        <v>11</v>
      </c>
      <c r="C17" s="290">
        <v>0</v>
      </c>
      <c r="D17" s="345">
        <f>C17*Assumptions!$C$24</f>
        <v>0</v>
      </c>
      <c r="E17" s="391">
        <f>Assumptions!$H$17</f>
        <v>3.8049999999999998E-3</v>
      </c>
      <c r="F17" s="297">
        <f>Assumptions!$C$115</f>
        <v>3.7854100000000002</v>
      </c>
      <c r="G17" s="459"/>
      <c r="H17" s="1077">
        <f>IF(C17=0,0,Assumptions!$C$96)</f>
        <v>0</v>
      </c>
      <c r="I17" s="430">
        <f>124200/1000</f>
        <v>124.2</v>
      </c>
      <c r="J17" s="286">
        <f t="shared" si="13"/>
        <v>1.7889128432100001</v>
      </c>
      <c r="K17" s="322">
        <v>0.27</v>
      </c>
      <c r="L17" s="329">
        <f t="shared" si="0"/>
        <v>0</v>
      </c>
      <c r="M17" s="281">
        <f t="shared" si="1"/>
        <v>0.48300646766670008</v>
      </c>
      <c r="N17" s="281">
        <f t="shared" si="2"/>
        <v>0.48300646766670008</v>
      </c>
      <c r="O17" s="314">
        <f t="shared" si="3"/>
        <v>0</v>
      </c>
      <c r="P17" s="1053">
        <f t="shared" si="4"/>
        <v>2.2719193108767</v>
      </c>
      <c r="Q17" s="1047">
        <f t="shared" si="5"/>
        <v>0</v>
      </c>
      <c r="R17" s="268">
        <f t="shared" si="6"/>
        <v>2.2719193108767</v>
      </c>
      <c r="S17" s="366">
        <f t="shared" si="7"/>
        <v>0</v>
      </c>
      <c r="T17" s="336">
        <f>-'OECD other kero subsidies'!D36</f>
        <v>0</v>
      </c>
      <c r="U17" s="342">
        <f t="shared" si="8"/>
        <v>0</v>
      </c>
      <c r="V17" s="111">
        <f t="shared" si="9"/>
        <v>0</v>
      </c>
      <c r="W17" s="281">
        <f t="shared" si="10"/>
        <v>2.2719193108767</v>
      </c>
      <c r="X17" s="342">
        <f t="shared" si="11"/>
        <v>0</v>
      </c>
      <c r="Y17" s="1"/>
    </row>
    <row r="18" spans="1:25" x14ac:dyDescent="0.6">
      <c r="A18" s="46">
        <f t="shared" si="12"/>
        <v>14</v>
      </c>
      <c r="B18" s="44" t="s">
        <v>12</v>
      </c>
      <c r="C18" s="290">
        <v>6</v>
      </c>
      <c r="D18" s="345">
        <f>C18*Assumptions!$C$24</f>
        <v>1947960</v>
      </c>
      <c r="E18" s="391">
        <f>Assumptions!$H$3</f>
        <v>1.1863330000000001</v>
      </c>
      <c r="F18" s="297">
        <f>Assumptions!$C$115</f>
        <v>3.7854100000000002</v>
      </c>
      <c r="G18" s="422"/>
      <c r="H18" s="1077">
        <f>IF(C18=0,0,Assumptions!$C$96)</f>
        <v>2.5</v>
      </c>
      <c r="I18" s="434">
        <f>482.06/1000</f>
        <v>0.48205999999999999</v>
      </c>
      <c r="J18" s="286">
        <f t="shared" si="13"/>
        <v>2.1648142237455521</v>
      </c>
      <c r="K18" s="322">
        <v>0.21</v>
      </c>
      <c r="L18" s="329">
        <f t="shared" si="0"/>
        <v>0.52500000000000002</v>
      </c>
      <c r="M18" s="281">
        <f t="shared" si="1"/>
        <v>0.45461098698656593</v>
      </c>
      <c r="N18" s="281">
        <f t="shared" si="2"/>
        <v>0.9796109869865659</v>
      </c>
      <c r="O18" s="314">
        <f t="shared" si="3"/>
        <v>1022679</v>
      </c>
      <c r="P18" s="1053">
        <f t="shared" si="4"/>
        <v>3.144425210732118</v>
      </c>
      <c r="Q18" s="1047">
        <f t="shared" si="5"/>
        <v>6125214.5334977368</v>
      </c>
      <c r="R18" s="268">
        <f t="shared" si="6"/>
        <v>2.6194252107321181</v>
      </c>
      <c r="S18" s="366">
        <f t="shared" si="7"/>
        <v>5102535.5334977368</v>
      </c>
      <c r="T18" s="336">
        <f>-'OECD other kero subsidies'!D38</f>
        <v>0</v>
      </c>
      <c r="U18" s="342">
        <f t="shared" si="8"/>
        <v>0</v>
      </c>
      <c r="V18" s="111">
        <f t="shared" si="9"/>
        <v>5102535.5334977368</v>
      </c>
      <c r="W18" s="281">
        <f t="shared" si="10"/>
        <v>5.6444252107321171</v>
      </c>
      <c r="X18" s="342">
        <f t="shared" si="11"/>
        <v>10995114.533497734</v>
      </c>
      <c r="Y18" s="1"/>
    </row>
    <row r="19" spans="1:25" x14ac:dyDescent="0.6">
      <c r="A19" s="46">
        <f t="shared" si="12"/>
        <v>15</v>
      </c>
      <c r="B19" s="44" t="s">
        <v>13</v>
      </c>
      <c r="C19" s="290">
        <v>0</v>
      </c>
      <c r="D19" s="345">
        <f>C19*Assumptions!$C$24</f>
        <v>0</v>
      </c>
      <c r="E19" s="391">
        <f>Assumptions!$H$3</f>
        <v>1.1863330000000001</v>
      </c>
      <c r="F19" s="297">
        <f>Assumptions!$C$115</f>
        <v>3.7854100000000002</v>
      </c>
      <c r="G19" s="422"/>
      <c r="H19" s="1077">
        <f>IF(C19=0,0,Assumptions!$C$96)</f>
        <v>0</v>
      </c>
      <c r="I19" s="434">
        <f>397/1000</f>
        <v>0.39700000000000002</v>
      </c>
      <c r="J19" s="286">
        <f t="shared" si="13"/>
        <v>1.7828304502074104</v>
      </c>
      <c r="K19" s="322">
        <v>0.2</v>
      </c>
      <c r="L19" s="329">
        <f t="shared" si="0"/>
        <v>0</v>
      </c>
      <c r="M19" s="281">
        <f t="shared" si="1"/>
        <v>0.3565660900414821</v>
      </c>
      <c r="N19" s="281">
        <f t="shared" si="2"/>
        <v>0.3565660900414821</v>
      </c>
      <c r="O19" s="314">
        <f t="shared" si="3"/>
        <v>0</v>
      </c>
      <c r="P19" s="1053">
        <f t="shared" si="4"/>
        <v>2.1393965402488924</v>
      </c>
      <c r="Q19" s="1047">
        <f t="shared" si="5"/>
        <v>0</v>
      </c>
      <c r="R19" s="268">
        <f t="shared" si="6"/>
        <v>2.1393965402488924</v>
      </c>
      <c r="S19" s="366">
        <f t="shared" si="7"/>
        <v>0</v>
      </c>
      <c r="T19" s="336">
        <f>-'OECD other kero subsidies'!D40</f>
        <v>0</v>
      </c>
      <c r="U19" s="342">
        <f t="shared" si="8"/>
        <v>0</v>
      </c>
      <c r="V19" s="111">
        <f t="shared" si="9"/>
        <v>0</v>
      </c>
      <c r="W19" s="281">
        <f t="shared" si="10"/>
        <v>2.1393965402488924</v>
      </c>
      <c r="X19" s="342">
        <f t="shared" si="11"/>
        <v>0</v>
      </c>
      <c r="Y19" s="1"/>
    </row>
    <row r="20" spans="1:25" x14ac:dyDescent="0.6">
      <c r="A20" s="46">
        <f t="shared" si="12"/>
        <v>16</v>
      </c>
      <c r="B20" s="44" t="s">
        <v>14</v>
      </c>
      <c r="C20" s="290">
        <v>0</v>
      </c>
      <c r="D20" s="345">
        <f>C20*Assumptions!$C$24</f>
        <v>0</v>
      </c>
      <c r="E20" s="391">
        <f>Assumptions!$H$18</f>
        <v>0.28262100000000001</v>
      </c>
      <c r="F20" s="297">
        <f>Assumptions!$C$115</f>
        <v>3.7854100000000002</v>
      </c>
      <c r="G20" s="424"/>
      <c r="H20" s="1077">
        <f>IF(C20=0,0,Assumptions!$C$96)</f>
        <v>0</v>
      </c>
      <c r="I20" s="431">
        <v>0</v>
      </c>
      <c r="J20" s="286">
        <f t="shared" si="13"/>
        <v>0</v>
      </c>
      <c r="K20" s="322">
        <v>0.23</v>
      </c>
      <c r="L20" s="329">
        <f t="shared" si="0"/>
        <v>0</v>
      </c>
      <c r="M20" s="281">
        <f t="shared" si="1"/>
        <v>0</v>
      </c>
      <c r="N20" s="281">
        <f t="shared" si="2"/>
        <v>0</v>
      </c>
      <c r="O20" s="314">
        <f t="shared" si="3"/>
        <v>0</v>
      </c>
      <c r="P20" s="1053">
        <f t="shared" si="4"/>
        <v>0</v>
      </c>
      <c r="Q20" s="1047">
        <f t="shared" si="5"/>
        <v>0</v>
      </c>
      <c r="R20" s="268">
        <f t="shared" si="6"/>
        <v>0</v>
      </c>
      <c r="S20" s="366">
        <f t="shared" si="7"/>
        <v>0</v>
      </c>
      <c r="T20" s="336">
        <f>-'OECD other kero subsidies'!D42</f>
        <v>0</v>
      </c>
      <c r="U20" s="342">
        <f t="shared" si="8"/>
        <v>0</v>
      </c>
      <c r="V20" s="111">
        <f t="shared" si="9"/>
        <v>0</v>
      </c>
      <c r="W20" s="281">
        <f t="shared" si="10"/>
        <v>0</v>
      </c>
      <c r="X20" s="342">
        <f t="shared" si="11"/>
        <v>0</v>
      </c>
      <c r="Y20" s="1"/>
    </row>
    <row r="21" spans="1:25" x14ac:dyDescent="0.6">
      <c r="A21" s="46">
        <f t="shared" si="12"/>
        <v>17</v>
      </c>
      <c r="B21" s="44" t="s">
        <v>15</v>
      </c>
      <c r="C21" s="290">
        <v>0</v>
      </c>
      <c r="D21" s="345">
        <f>C21*Assumptions!$C$24</f>
        <v>0</v>
      </c>
      <c r="E21" s="391">
        <f>Assumptions!$H$3</f>
        <v>1.1863330000000001</v>
      </c>
      <c r="F21" s="297">
        <f>Assumptions!$C$115</f>
        <v>3.7854100000000002</v>
      </c>
      <c r="G21" s="422"/>
      <c r="H21" s="1077">
        <f>IF(C21=0,0,Assumptions!$C$96)</f>
        <v>0</v>
      </c>
      <c r="I21" s="434">
        <f>125.67/1000</f>
        <v>0.12567</v>
      </c>
      <c r="J21" s="286">
        <f t="shared" si="13"/>
        <v>0.56435340724827521</v>
      </c>
      <c r="K21" s="322">
        <v>0.23</v>
      </c>
      <c r="L21" s="329">
        <f t="shared" si="0"/>
        <v>0</v>
      </c>
      <c r="M21" s="281">
        <f t="shared" si="1"/>
        <v>0.12980128366710331</v>
      </c>
      <c r="N21" s="281">
        <f t="shared" si="2"/>
        <v>0.12980128366710331</v>
      </c>
      <c r="O21" s="314">
        <f t="shared" si="3"/>
        <v>0</v>
      </c>
      <c r="P21" s="1053">
        <f t="shared" si="4"/>
        <v>0.69415469091537851</v>
      </c>
      <c r="Q21" s="1047">
        <f t="shared" si="5"/>
        <v>0</v>
      </c>
      <c r="R21" s="268">
        <f t="shared" si="6"/>
        <v>0.69415469091537851</v>
      </c>
      <c r="S21" s="366">
        <f t="shared" si="7"/>
        <v>0</v>
      </c>
      <c r="T21" s="336">
        <f>-'OECD other kero subsidies'!D44</f>
        <v>0</v>
      </c>
      <c r="U21" s="342">
        <f t="shared" si="8"/>
        <v>0</v>
      </c>
      <c r="V21" s="111">
        <f t="shared" si="9"/>
        <v>0</v>
      </c>
      <c r="W21" s="281">
        <f t="shared" si="10"/>
        <v>0.69415469091537851</v>
      </c>
      <c r="X21" s="342">
        <f t="shared" si="11"/>
        <v>0</v>
      </c>
      <c r="Y21" s="1"/>
    </row>
    <row r="22" spans="1:25" x14ac:dyDescent="0.6">
      <c r="A22" s="46">
        <f t="shared" si="12"/>
        <v>18</v>
      </c>
      <c r="B22" s="44" t="s">
        <v>16</v>
      </c>
      <c r="C22" s="290">
        <v>0</v>
      </c>
      <c r="D22" s="345">
        <f>C22*Assumptions!$C$24</f>
        <v>0</v>
      </c>
      <c r="E22" s="391">
        <f>Assumptions!$H$3</f>
        <v>1.1863330000000001</v>
      </c>
      <c r="F22" s="297">
        <f>Assumptions!$C$115</f>
        <v>3.7854100000000002</v>
      </c>
      <c r="G22" s="422"/>
      <c r="H22" s="1077">
        <f>IF(C22=0,0,Assumptions!$C$96)</f>
        <v>0</v>
      </c>
      <c r="I22" s="434">
        <f>62.47/1000</f>
        <v>6.2469999999999998E-2</v>
      </c>
      <c r="J22" s="286">
        <f t="shared" si="13"/>
        <v>0.28053757739157914</v>
      </c>
      <c r="K22" s="322">
        <v>0.22</v>
      </c>
      <c r="L22" s="329">
        <f t="shared" si="0"/>
        <v>0</v>
      </c>
      <c r="M22" s="281">
        <f t="shared" si="1"/>
        <v>6.1718267026147411E-2</v>
      </c>
      <c r="N22" s="281">
        <f t="shared" si="2"/>
        <v>6.1718267026147411E-2</v>
      </c>
      <c r="O22" s="314">
        <f t="shared" si="3"/>
        <v>0</v>
      </c>
      <c r="P22" s="1053">
        <f t="shared" si="4"/>
        <v>0.34225584441772655</v>
      </c>
      <c r="Q22" s="1047">
        <f t="shared" si="5"/>
        <v>0</v>
      </c>
      <c r="R22" s="268">
        <f t="shared" si="6"/>
        <v>0.34225584441772655</v>
      </c>
      <c r="S22" s="366">
        <f t="shared" si="7"/>
        <v>0</v>
      </c>
      <c r="T22" s="336">
        <f>-'OECD other kero subsidies'!D46</f>
        <v>0</v>
      </c>
      <c r="U22" s="342">
        <f t="shared" si="8"/>
        <v>0</v>
      </c>
      <c r="V22" s="111">
        <f t="shared" si="9"/>
        <v>0</v>
      </c>
      <c r="W22" s="281">
        <f t="shared" si="10"/>
        <v>0.34225584441772655</v>
      </c>
      <c r="X22" s="342">
        <f t="shared" si="11"/>
        <v>0</v>
      </c>
      <c r="Y22" s="1"/>
    </row>
    <row r="23" spans="1:25" x14ac:dyDescent="0.6">
      <c r="A23" s="46">
        <f t="shared" si="12"/>
        <v>19</v>
      </c>
      <c r="B23" s="44" t="s">
        <v>17</v>
      </c>
      <c r="C23" s="290">
        <v>0</v>
      </c>
      <c r="D23" s="345">
        <f>C23*Assumptions!$C$24</f>
        <v>0</v>
      </c>
      <c r="E23" s="391">
        <f>Assumptions!$H$3</f>
        <v>1.1863330000000001</v>
      </c>
      <c r="F23" s="297">
        <f>Assumptions!$C$115</f>
        <v>3.7854100000000002</v>
      </c>
      <c r="G23" s="422"/>
      <c r="H23" s="1077">
        <f>IF(C23=0,0,Assumptions!$C$96)</f>
        <v>0</v>
      </c>
      <c r="I23" s="434">
        <f>481.31/1000</f>
        <v>0.48131000000000002</v>
      </c>
      <c r="J23" s="286">
        <f t="shared" si="13"/>
        <v>2.1614461561444047</v>
      </c>
      <c r="K23" s="322">
        <v>0.2</v>
      </c>
      <c r="L23" s="329">
        <f t="shared" si="0"/>
        <v>0</v>
      </c>
      <c r="M23" s="281">
        <f t="shared" si="1"/>
        <v>0.43228923122888097</v>
      </c>
      <c r="N23" s="281">
        <f t="shared" si="2"/>
        <v>0.43228923122888097</v>
      </c>
      <c r="O23" s="314">
        <f t="shared" si="3"/>
        <v>0</v>
      </c>
      <c r="P23" s="1053">
        <f t="shared" si="4"/>
        <v>2.5937353873732856</v>
      </c>
      <c r="Q23" s="1047">
        <f t="shared" si="5"/>
        <v>0</v>
      </c>
      <c r="R23" s="268">
        <f t="shared" si="6"/>
        <v>2.5937353873732856</v>
      </c>
      <c r="S23" s="366">
        <f t="shared" si="7"/>
        <v>0</v>
      </c>
      <c r="T23" s="336">
        <f>-'OECD other kero subsidies'!D48</f>
        <v>0</v>
      </c>
      <c r="U23" s="342">
        <f t="shared" si="8"/>
        <v>0</v>
      </c>
      <c r="V23" s="111">
        <f t="shared" si="9"/>
        <v>0</v>
      </c>
      <c r="W23" s="281">
        <f t="shared" si="10"/>
        <v>2.5937353873732856</v>
      </c>
      <c r="X23" s="342">
        <f t="shared" si="11"/>
        <v>0</v>
      </c>
      <c r="Y23" s="1"/>
    </row>
    <row r="24" spans="1:25" x14ac:dyDescent="0.6">
      <c r="A24" s="46">
        <f t="shared" si="12"/>
        <v>20</v>
      </c>
      <c r="B24" s="44" t="s">
        <v>18</v>
      </c>
      <c r="C24" s="290">
        <v>0</v>
      </c>
      <c r="D24" s="345">
        <f>C24*Assumptions!$C$24</f>
        <v>0</v>
      </c>
      <c r="E24" s="391">
        <f>Assumptions!$H$3</f>
        <v>1.1863330000000001</v>
      </c>
      <c r="F24" s="297">
        <f>Assumptions!$C$115</f>
        <v>3.7854100000000002</v>
      </c>
      <c r="G24" s="422"/>
      <c r="H24" s="1077">
        <f>IF(C24=0,0,Assumptions!$C$96)</f>
        <v>0</v>
      </c>
      <c r="I24" s="427">
        <f>740.2/1000</f>
        <v>0.74020000000000008</v>
      </c>
      <c r="J24" s="286">
        <f t="shared" si="13"/>
        <v>3.324058184492507</v>
      </c>
      <c r="K24" s="322">
        <v>0.24</v>
      </c>
      <c r="L24" s="329">
        <f t="shared" si="0"/>
        <v>0</v>
      </c>
      <c r="M24" s="281">
        <f t="shared" si="1"/>
        <v>0.79777396427820169</v>
      </c>
      <c r="N24" s="281">
        <f t="shared" si="2"/>
        <v>0.79777396427820169</v>
      </c>
      <c r="O24" s="314">
        <f t="shared" si="3"/>
        <v>0</v>
      </c>
      <c r="P24" s="1053">
        <f t="shared" si="4"/>
        <v>4.121832148770709</v>
      </c>
      <c r="Q24" s="1047">
        <f t="shared" si="5"/>
        <v>0</v>
      </c>
      <c r="R24" s="268">
        <f t="shared" si="6"/>
        <v>4.121832148770709</v>
      </c>
      <c r="S24" s="366">
        <f t="shared" si="7"/>
        <v>0</v>
      </c>
      <c r="T24" s="336">
        <f>-'OECD other kero subsidies'!D50</f>
        <v>0</v>
      </c>
      <c r="U24" s="342">
        <f t="shared" si="8"/>
        <v>0</v>
      </c>
      <c r="V24" s="111">
        <f t="shared" si="9"/>
        <v>0</v>
      </c>
      <c r="W24" s="281">
        <f t="shared" si="10"/>
        <v>4.121832148770709</v>
      </c>
      <c r="X24" s="342">
        <f t="shared" si="11"/>
        <v>0</v>
      </c>
      <c r="Y24" s="1"/>
    </row>
    <row r="25" spans="1:25" x14ac:dyDescent="0.6">
      <c r="A25" s="46">
        <f t="shared" si="12"/>
        <v>21</v>
      </c>
      <c r="B25" s="44" t="s">
        <v>19</v>
      </c>
      <c r="C25" s="290">
        <v>0</v>
      </c>
      <c r="D25" s="345">
        <f>C25*Assumptions!$C$24</f>
        <v>0</v>
      </c>
      <c r="E25" s="391">
        <f>Assumptions!$H$19</f>
        <v>0.119739</v>
      </c>
      <c r="F25" s="297">
        <f>Assumptions!$C$115</f>
        <v>3.7854100000000002</v>
      </c>
      <c r="G25" s="425"/>
      <c r="H25" s="1077">
        <f>IF(C25=0,0,Assumptions!$C$96)</f>
        <v>0</v>
      </c>
      <c r="I25" s="1184">
        <f>447.37/1000</f>
        <v>0.44736999999999999</v>
      </c>
      <c r="J25" s="286">
        <f t="shared" si="13"/>
        <v>0.20277546661848631</v>
      </c>
      <c r="K25" s="322">
        <v>0.25</v>
      </c>
      <c r="L25" s="329">
        <f t="shared" si="0"/>
        <v>0</v>
      </c>
      <c r="M25" s="281">
        <f t="shared" si="1"/>
        <v>5.0693866654621576E-2</v>
      </c>
      <c r="N25" s="281">
        <f t="shared" si="2"/>
        <v>5.0693866654621576E-2</v>
      </c>
      <c r="O25" s="314">
        <f t="shared" si="3"/>
        <v>0</v>
      </c>
      <c r="P25" s="1053">
        <f t="shared" si="4"/>
        <v>0.25346933327310789</v>
      </c>
      <c r="Q25" s="1047">
        <f t="shared" si="5"/>
        <v>0</v>
      </c>
      <c r="R25" s="268">
        <f t="shared" si="6"/>
        <v>0.25346933327310789</v>
      </c>
      <c r="S25" s="366">
        <f t="shared" si="7"/>
        <v>0</v>
      </c>
      <c r="T25" s="336">
        <f>-'OECD other kero subsidies'!D52</f>
        <v>0</v>
      </c>
      <c r="U25" s="342">
        <f t="shared" si="8"/>
        <v>0</v>
      </c>
      <c r="V25" s="111">
        <f t="shared" si="9"/>
        <v>0</v>
      </c>
      <c r="W25" s="281">
        <f t="shared" si="10"/>
        <v>0.25346933327310789</v>
      </c>
      <c r="X25" s="342">
        <f t="shared" si="11"/>
        <v>0</v>
      </c>
      <c r="Y25" s="1"/>
    </row>
    <row r="26" spans="1:25" ht="15.9" thickBot="1" x14ac:dyDescent="0.65">
      <c r="A26" s="15">
        <f t="shared" si="12"/>
        <v>22</v>
      </c>
      <c r="B26" s="47" t="s">
        <v>20</v>
      </c>
      <c r="C26" s="291">
        <v>1875</v>
      </c>
      <c r="D26" s="347">
        <f>C26*Assumptions!$C$24</f>
        <v>608737500</v>
      </c>
      <c r="E26" s="419">
        <f>Assumptions!$H$20</f>
        <v>1.337591</v>
      </c>
      <c r="F26" s="299">
        <f>Assumptions!$C$115</f>
        <v>3.7854100000000002</v>
      </c>
      <c r="G26" s="421">
        <f>H26/F26/E26</f>
        <v>0.36752380952380953</v>
      </c>
      <c r="H26" s="371">
        <f>W26/1.05</f>
        <v>1.8608944581208848</v>
      </c>
      <c r="I26" s="433"/>
      <c r="J26" s="308">
        <f t="shared" si="13"/>
        <v>0</v>
      </c>
      <c r="K26" s="359">
        <v>0.05</v>
      </c>
      <c r="L26" s="334">
        <f t="shared" si="0"/>
        <v>9.304472290604425E-2</v>
      </c>
      <c r="M26" s="318">
        <f t="shared" si="1"/>
        <v>0</v>
      </c>
      <c r="N26" s="318">
        <f t="shared" si="2"/>
        <v>9.304472290604425E-2</v>
      </c>
      <c r="O26" s="319">
        <f t="shared" si="3"/>
        <v>56639812.01001811</v>
      </c>
      <c r="P26" s="1054">
        <f t="shared" si="4"/>
        <v>9.304472290604425E-2</v>
      </c>
      <c r="Q26" s="1048">
        <f t="shared" si="5"/>
        <v>56639812.01001811</v>
      </c>
      <c r="R26" s="269">
        <f t="shared" si="6"/>
        <v>0</v>
      </c>
      <c r="S26" s="368">
        <f t="shared" si="7"/>
        <v>0</v>
      </c>
      <c r="T26" s="340">
        <f>-'OECD other kero subsidies'!D54</f>
        <v>-341507108</v>
      </c>
      <c r="U26" s="344">
        <f t="shared" si="8"/>
        <v>-456796834.09682798</v>
      </c>
      <c r="V26" s="163">
        <f t="shared" si="9"/>
        <v>-456796834.09682798</v>
      </c>
      <c r="W26" s="318">
        <v>1.9539391810269291</v>
      </c>
      <c r="X26" s="344">
        <f t="shared" si="11"/>
        <v>732639218.11355233</v>
      </c>
    </row>
    <row r="27" spans="1:25" ht="15.9" thickTop="1" x14ac:dyDescent="0.6">
      <c r="A27" s="48" t="s">
        <v>882</v>
      </c>
      <c r="B27" s="44"/>
      <c r="C27" s="290"/>
      <c r="D27" s="345"/>
      <c r="E27" s="399"/>
      <c r="F27" s="297"/>
      <c r="G27" s="383"/>
      <c r="H27" s="301"/>
      <c r="I27" s="393"/>
      <c r="J27" s="306">
        <f t="shared" ref="J27:J34" si="14">I27*F27*E27</f>
        <v>0</v>
      </c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  <c r="Y27" s="1"/>
    </row>
    <row r="28" spans="1:25" x14ac:dyDescent="0.6">
      <c r="A28" s="61">
        <f>A26+1</f>
        <v>23</v>
      </c>
      <c r="B28" s="44" t="s">
        <v>38</v>
      </c>
      <c r="C28" s="290">
        <v>48</v>
      </c>
      <c r="D28" s="345">
        <f>C28*Assumptions!$C$24</f>
        <v>15583680</v>
      </c>
      <c r="E28" s="399">
        <f>Assumptions!$H$4</f>
        <v>0.78824099999999997</v>
      </c>
      <c r="F28" s="297">
        <f>Assumptions!$C$115</f>
        <v>3.7854100000000002</v>
      </c>
      <c r="G28" s="441"/>
      <c r="H28" s="1077">
        <f>IF(C28=0,0,Assumptions!$C$96)</f>
        <v>2.5</v>
      </c>
      <c r="I28" s="447"/>
      <c r="J28" s="306">
        <f t="shared" si="14"/>
        <v>0</v>
      </c>
      <c r="K28" s="322">
        <v>9.0499999999999997E-2</v>
      </c>
      <c r="L28" s="329">
        <f t="shared" ref="L28:L34" si="15">K28*H28</f>
        <v>0.22625000000000001</v>
      </c>
      <c r="M28" s="320">
        <f t="shared" ref="M28:M34" si="16">K28*J28</f>
        <v>0</v>
      </c>
      <c r="N28" s="320">
        <f t="shared" ref="N28:N34" si="17">M28+L28</f>
        <v>0.22625000000000001</v>
      </c>
      <c r="O28" s="314">
        <f t="shared" ref="O28:O34" si="18">L28*D28</f>
        <v>3525807.6</v>
      </c>
      <c r="P28" s="1053">
        <f t="shared" si="4"/>
        <v>0.22625000000000001</v>
      </c>
      <c r="Q28" s="1047">
        <f t="shared" ref="Q28:Q34" si="19">P28*D28</f>
        <v>3525807.6</v>
      </c>
      <c r="R28" s="310">
        <f t="shared" ref="R28:R39" si="20">M28+J28</f>
        <v>0</v>
      </c>
      <c r="S28" s="366">
        <f t="shared" ref="S28:S34" si="21">D28*R28</f>
        <v>0</v>
      </c>
      <c r="T28" s="336">
        <f>-'OECD other kero subsidies'!D56</f>
        <v>0</v>
      </c>
      <c r="U28" s="342">
        <f t="shared" ref="U28:U34" si="22">T28*E28</f>
        <v>0</v>
      </c>
      <c r="V28" s="111">
        <f t="shared" ref="V28:V34" si="23">S28+U28</f>
        <v>0</v>
      </c>
      <c r="W28" s="320">
        <f t="shared" ref="W28:W39" si="24">(H28+J28)*(1+K28)</f>
        <v>2.7262500000000003</v>
      </c>
      <c r="X28" s="342">
        <f t="shared" ref="X28:X34" si="25">W28*D28+U28</f>
        <v>42485007.600000001</v>
      </c>
      <c r="Y28" s="1"/>
    </row>
    <row r="29" spans="1:25" x14ac:dyDescent="0.6">
      <c r="A29" s="61">
        <f t="shared" ref="A29:A34" si="26">A28+1</f>
        <v>24</v>
      </c>
      <c r="B29" s="44" t="s">
        <v>39</v>
      </c>
      <c r="C29" s="290">
        <v>26</v>
      </c>
      <c r="D29" s="345">
        <f>C29*Assumptions!$C$24</f>
        <v>8441160</v>
      </c>
      <c r="E29" s="399">
        <f>Assumptions!$H$5</f>
        <v>0.12035</v>
      </c>
      <c r="F29" s="297">
        <f>Assumptions!$C$115</f>
        <v>3.7854100000000002</v>
      </c>
      <c r="G29" s="442"/>
      <c r="H29" s="1077">
        <f>IF(C29=0,0,Assumptions!$C$96)</f>
        <v>2.5</v>
      </c>
      <c r="I29" s="448">
        <f>1.59+0.9</f>
        <v>2.4900000000000002</v>
      </c>
      <c r="J29" s="306">
        <f t="shared" si="14"/>
        <v>1.1343794928150002</v>
      </c>
      <c r="K29" s="322">
        <v>0.25</v>
      </c>
      <c r="L29" s="329">
        <f t="shared" si="15"/>
        <v>0.625</v>
      </c>
      <c r="M29" s="320">
        <f t="shared" si="16"/>
        <v>0.28359487320375004</v>
      </c>
      <c r="N29" s="320">
        <f t="shared" si="17"/>
        <v>0.9085948732037501</v>
      </c>
      <c r="O29" s="314">
        <f t="shared" si="18"/>
        <v>5275725</v>
      </c>
      <c r="P29" s="1053">
        <f t="shared" si="4"/>
        <v>2.0429743660187505</v>
      </c>
      <c r="Q29" s="1047">
        <f t="shared" si="19"/>
        <v>17245073.499462835</v>
      </c>
      <c r="R29" s="310">
        <f t="shared" si="20"/>
        <v>1.4179743660187503</v>
      </c>
      <c r="S29" s="366">
        <f t="shared" si="21"/>
        <v>11969348.499462834</v>
      </c>
      <c r="T29" s="336">
        <f>-'OECD other kero subsidies'!D58</f>
        <v>-763929.33333333337</v>
      </c>
      <c r="U29" s="342">
        <f t="shared" si="22"/>
        <v>-91938.895266666674</v>
      </c>
      <c r="V29" s="111">
        <f t="shared" si="23"/>
        <v>11877409.604196167</v>
      </c>
      <c r="W29" s="320">
        <f t="shared" si="24"/>
        <v>4.5429743660187505</v>
      </c>
      <c r="X29" s="342">
        <f t="shared" si="25"/>
        <v>38256034.604196168</v>
      </c>
      <c r="Y29" s="1"/>
    </row>
    <row r="30" spans="1:25" x14ac:dyDescent="0.6">
      <c r="A30" s="61">
        <f t="shared" si="26"/>
        <v>25</v>
      </c>
      <c r="B30" s="44" t="s">
        <v>40</v>
      </c>
      <c r="C30" s="290">
        <v>0</v>
      </c>
      <c r="D30" s="345">
        <f>C30*Assumptions!$C$24</f>
        <v>0</v>
      </c>
      <c r="E30" s="399">
        <f>Assumptions!$H$6</f>
        <v>1.010632</v>
      </c>
      <c r="F30" s="297">
        <f>Assumptions!$C$115</f>
        <v>3.7854100000000002</v>
      </c>
      <c r="G30" s="443"/>
      <c r="H30" s="1077">
        <f>IF(C30=0,0,Assumptions!$C$96)</f>
        <v>0</v>
      </c>
      <c r="I30" s="449"/>
      <c r="J30" s="306">
        <f t="shared" si="14"/>
        <v>0</v>
      </c>
      <c r="K30" s="322">
        <v>0.08</v>
      </c>
      <c r="L30" s="329">
        <f t="shared" si="15"/>
        <v>0</v>
      </c>
      <c r="M30" s="320">
        <f t="shared" si="16"/>
        <v>0</v>
      </c>
      <c r="N30" s="320">
        <f t="shared" si="17"/>
        <v>0</v>
      </c>
      <c r="O30" s="314">
        <f t="shared" si="18"/>
        <v>0</v>
      </c>
      <c r="P30" s="1053">
        <f t="shared" si="4"/>
        <v>0</v>
      </c>
      <c r="Q30" s="1047">
        <f t="shared" si="19"/>
        <v>0</v>
      </c>
      <c r="R30" s="310">
        <f t="shared" si="20"/>
        <v>0</v>
      </c>
      <c r="S30" s="366">
        <f t="shared" si="21"/>
        <v>0</v>
      </c>
      <c r="T30" s="336">
        <f>-'OECD other kero subsidies'!D62</f>
        <v>0</v>
      </c>
      <c r="U30" s="342">
        <f t="shared" si="22"/>
        <v>0</v>
      </c>
      <c r="V30" s="111">
        <f t="shared" si="23"/>
        <v>0</v>
      </c>
      <c r="W30" s="320">
        <f t="shared" si="24"/>
        <v>0</v>
      </c>
      <c r="X30" s="342">
        <f t="shared" si="25"/>
        <v>0</v>
      </c>
      <c r="Y30" s="1"/>
    </row>
    <row r="31" spans="1:25" x14ac:dyDescent="0.6">
      <c r="A31" s="46">
        <f t="shared" si="26"/>
        <v>26</v>
      </c>
      <c r="B31" s="44" t="s">
        <v>31</v>
      </c>
      <c r="C31" s="290">
        <v>6523</v>
      </c>
      <c r="D31" s="345">
        <f>C31*Assumptions!$C$24</f>
        <v>2117757180</v>
      </c>
      <c r="E31" s="399">
        <f>Assumptions!$H$7</f>
        <v>8.829E-3</v>
      </c>
      <c r="F31" s="297">
        <f>Assumptions!$C$115</f>
        <v>3.7854100000000002</v>
      </c>
      <c r="G31" s="484">
        <v>78.3</v>
      </c>
      <c r="H31" s="458">
        <f>G31*F31*E31</f>
        <v>2.6168944368870002</v>
      </c>
      <c r="I31" s="469"/>
      <c r="J31" s="306">
        <f t="shared" si="14"/>
        <v>0</v>
      </c>
      <c r="K31" s="322">
        <v>0.08</v>
      </c>
      <c r="L31" s="329">
        <f t="shared" si="15"/>
        <v>0.20935155495096003</v>
      </c>
      <c r="M31" s="320">
        <f t="shared" si="16"/>
        <v>0</v>
      </c>
      <c r="N31" s="320">
        <f t="shared" si="17"/>
        <v>0.20935155495096003</v>
      </c>
      <c r="O31" s="314">
        <f t="shared" si="18"/>
        <v>443355758.64156014</v>
      </c>
      <c r="P31" s="1053">
        <f t="shared" si="4"/>
        <v>0.20935155495096003</v>
      </c>
      <c r="Q31" s="1047">
        <f t="shared" si="19"/>
        <v>443355758.64156014</v>
      </c>
      <c r="R31" s="310">
        <f t="shared" si="20"/>
        <v>0</v>
      </c>
      <c r="S31" s="366">
        <f t="shared" si="21"/>
        <v>0</v>
      </c>
      <c r="T31" s="336">
        <f>-'OECD other kero subsidies'!D64</f>
        <v>0</v>
      </c>
      <c r="U31" s="342">
        <f t="shared" si="22"/>
        <v>0</v>
      </c>
      <c r="V31" s="111">
        <f t="shared" si="23"/>
        <v>0</v>
      </c>
      <c r="W31" s="320">
        <f t="shared" si="24"/>
        <v>2.8262459918379603</v>
      </c>
      <c r="X31" s="342">
        <f t="shared" si="25"/>
        <v>5985302741.6610622</v>
      </c>
      <c r="Y31" s="1"/>
    </row>
    <row r="32" spans="1:25" x14ac:dyDescent="0.6">
      <c r="A32" s="46">
        <f t="shared" si="26"/>
        <v>27</v>
      </c>
      <c r="B32" s="44" t="s">
        <v>47</v>
      </c>
      <c r="C32" s="290">
        <v>1497</v>
      </c>
      <c r="D32" s="345">
        <f>C32*Assumptions!$C$24</f>
        <v>486016020</v>
      </c>
      <c r="E32" s="399">
        <f>Assumptions!$H$8</f>
        <v>9.3000000000000005E-4</v>
      </c>
      <c r="F32" s="297">
        <f>Assumptions!$C$115</f>
        <v>3.7854100000000002</v>
      </c>
      <c r="G32" s="446"/>
      <c r="H32" s="1077">
        <f>IF(C32=0,0,Assumptions!$C$96)</f>
        <v>2.5</v>
      </c>
      <c r="I32" s="470">
        <f>90*1.15+23</f>
        <v>126.49999999999999</v>
      </c>
      <c r="J32" s="306">
        <f t="shared" si="14"/>
        <v>0.44533455945</v>
      </c>
      <c r="K32" s="322">
        <v>0.1</v>
      </c>
      <c r="L32" s="329">
        <f t="shared" si="15"/>
        <v>0.25</v>
      </c>
      <c r="M32" s="320">
        <f t="shared" si="16"/>
        <v>4.4533455945000001E-2</v>
      </c>
      <c r="N32" s="320">
        <f t="shared" si="17"/>
        <v>0.29453345594500002</v>
      </c>
      <c r="O32" s="314">
        <f t="shared" si="18"/>
        <v>121504005</v>
      </c>
      <c r="P32" s="1053">
        <f t="shared" si="4"/>
        <v>0.73986801539500002</v>
      </c>
      <c r="Q32" s="1047">
        <f t="shared" si="19"/>
        <v>359587708.16757661</v>
      </c>
      <c r="R32" s="310">
        <f t="shared" si="20"/>
        <v>0.48986801539500002</v>
      </c>
      <c r="S32" s="366">
        <f t="shared" si="21"/>
        <v>238083703.16757664</v>
      </c>
      <c r="T32" s="336">
        <f>-'OECD other kero subsidies'!D66</f>
        <v>0</v>
      </c>
      <c r="U32" s="342">
        <f t="shared" si="22"/>
        <v>0</v>
      </c>
      <c r="V32" s="111">
        <f t="shared" si="23"/>
        <v>238083703.16757664</v>
      </c>
      <c r="W32" s="320">
        <f t="shared" si="24"/>
        <v>3.2398680153950004</v>
      </c>
      <c r="X32" s="342">
        <f t="shared" si="25"/>
        <v>1574627758.1675768</v>
      </c>
      <c r="Y32" s="1"/>
    </row>
    <row r="33" spans="1:26" x14ac:dyDescent="0.6">
      <c r="A33" s="46">
        <f t="shared" si="26"/>
        <v>28</v>
      </c>
      <c r="B33" s="44" t="s">
        <v>32</v>
      </c>
      <c r="C33" s="290">
        <v>0</v>
      </c>
      <c r="D33" s="345">
        <f>C33*Assumptions!$C$24</f>
        <v>0</v>
      </c>
      <c r="E33" s="399">
        <f>Assumptions!$H$9</f>
        <v>0.77382200000000001</v>
      </c>
      <c r="F33" s="297">
        <f>Assumptions!$C$115</f>
        <v>3.7854100000000002</v>
      </c>
      <c r="G33" s="389"/>
      <c r="H33" s="301">
        <f>IF(C33=0,0,Assumptions!$C$96)</f>
        <v>0</v>
      </c>
      <c r="I33" s="452"/>
      <c r="J33" s="306">
        <f t="shared" si="14"/>
        <v>0</v>
      </c>
      <c r="K33" s="322">
        <v>0.1</v>
      </c>
      <c r="L33" s="329">
        <f t="shared" si="15"/>
        <v>0</v>
      </c>
      <c r="M33" s="320">
        <f t="shared" si="16"/>
        <v>0</v>
      </c>
      <c r="N33" s="320">
        <f t="shared" si="17"/>
        <v>0</v>
      </c>
      <c r="O33" s="314">
        <f t="shared" si="18"/>
        <v>0</v>
      </c>
      <c r="P33" s="1053">
        <f t="shared" si="4"/>
        <v>0</v>
      </c>
      <c r="Q33" s="1047">
        <f t="shared" si="19"/>
        <v>0</v>
      </c>
      <c r="R33" s="310">
        <f t="shared" si="20"/>
        <v>0</v>
      </c>
      <c r="S33" s="366">
        <f t="shared" si="21"/>
        <v>0</v>
      </c>
      <c r="T33" s="336">
        <f>-'OECD other kero subsidies'!D68</f>
        <v>0</v>
      </c>
      <c r="U33" s="342">
        <f t="shared" si="22"/>
        <v>0</v>
      </c>
      <c r="V33" s="111">
        <f t="shared" si="23"/>
        <v>0</v>
      </c>
      <c r="W33" s="320">
        <f t="shared" si="24"/>
        <v>0</v>
      </c>
      <c r="X33" s="342">
        <f t="shared" si="25"/>
        <v>0</v>
      </c>
    </row>
    <row r="34" spans="1:26" ht="15.9" thickBot="1" x14ac:dyDescent="0.65">
      <c r="A34" s="15">
        <f t="shared" si="26"/>
        <v>29</v>
      </c>
      <c r="B34" s="47" t="s">
        <v>33</v>
      </c>
      <c r="C34" s="291">
        <v>0</v>
      </c>
      <c r="D34" s="347">
        <f>C34*Assumptions!$C$24</f>
        <v>0</v>
      </c>
      <c r="E34" s="417">
        <f>Assumptions!$H$10</f>
        <v>0.70460400000000001</v>
      </c>
      <c r="F34" s="299">
        <f>Assumptions!$C$115</f>
        <v>3.7854100000000002</v>
      </c>
      <c r="G34" s="445"/>
      <c r="H34" s="1055">
        <f>IF(C34=0,0,Assumptions!$C$96)</f>
        <v>0</v>
      </c>
      <c r="I34" s="453"/>
      <c r="J34" s="309">
        <f t="shared" si="14"/>
        <v>0</v>
      </c>
      <c r="K34" s="359">
        <v>0.15</v>
      </c>
      <c r="L34" s="334">
        <f t="shared" si="15"/>
        <v>0</v>
      </c>
      <c r="M34" s="321">
        <f t="shared" si="16"/>
        <v>0</v>
      </c>
      <c r="N34" s="321">
        <f t="shared" si="17"/>
        <v>0</v>
      </c>
      <c r="O34" s="319">
        <f t="shared" si="18"/>
        <v>0</v>
      </c>
      <c r="P34" s="1054">
        <f t="shared" si="4"/>
        <v>0</v>
      </c>
      <c r="Q34" s="1048">
        <f t="shared" si="19"/>
        <v>0</v>
      </c>
      <c r="R34" s="312">
        <f t="shared" si="20"/>
        <v>0</v>
      </c>
      <c r="S34" s="368">
        <f t="shared" si="21"/>
        <v>0</v>
      </c>
      <c r="T34" s="340">
        <f>-'OECD other kero subsidies'!D70</f>
        <v>0</v>
      </c>
      <c r="U34" s="344">
        <f t="shared" si="22"/>
        <v>0</v>
      </c>
      <c r="V34" s="163">
        <f t="shared" si="23"/>
        <v>0</v>
      </c>
      <c r="W34" s="321">
        <f t="shared" si="24"/>
        <v>0</v>
      </c>
      <c r="X34" s="344">
        <f t="shared" si="25"/>
        <v>0</v>
      </c>
    </row>
    <row r="35" spans="1:26" ht="15.9" thickTop="1" x14ac:dyDescent="0.6">
      <c r="A35" s="49" t="s">
        <v>883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</row>
    <row r="36" spans="1:26" x14ac:dyDescent="0.6">
      <c r="A36" s="72">
        <f>A34+1</f>
        <v>30</v>
      </c>
      <c r="B36" s="50" t="s">
        <v>46</v>
      </c>
      <c r="C36" s="290">
        <v>291</v>
      </c>
      <c r="D36" s="348">
        <f>C36*Assumptions!$C$24</f>
        <v>94476060</v>
      </c>
      <c r="E36" s="399">
        <f>Assumptions!$H$11</f>
        <v>0.152529</v>
      </c>
      <c r="F36" s="297">
        <f>Assumptions!$C$115</f>
        <v>3.7854100000000002</v>
      </c>
      <c r="G36" s="295"/>
      <c r="H36" s="1163">
        <f>IF(C36=0,0,Assumptions!$C$96)</f>
        <v>2.5</v>
      </c>
      <c r="I36" s="1058">
        <v>1.2</v>
      </c>
      <c r="J36" s="306">
        <f>I36*F36*E36</f>
        <v>0.692861762268</v>
      </c>
      <c r="K36" s="322">
        <v>0.17</v>
      </c>
      <c r="L36" s="329">
        <f t="shared" ref="L36:L39" si="27">K36*H36</f>
        <v>0.42500000000000004</v>
      </c>
      <c r="M36" s="320">
        <f t="shared" ref="M36:M39" si="28">K36*J36</f>
        <v>0.11778649958556001</v>
      </c>
      <c r="N36" s="320">
        <f t="shared" ref="N36:N39" si="29">M36+L36</f>
        <v>0.54278649958556002</v>
      </c>
      <c r="O36" s="314">
        <f>L36*D36</f>
        <v>40152325.500000007</v>
      </c>
      <c r="P36" s="1053">
        <f t="shared" si="4"/>
        <v>1.23564826185356</v>
      </c>
      <c r="Q36" s="1047">
        <f>P36*D36</f>
        <v>116739179.32577264</v>
      </c>
      <c r="R36" s="310">
        <f t="shared" si="20"/>
        <v>0.81064826185355998</v>
      </c>
      <c r="S36" s="366">
        <f>D36*R36</f>
        <v>76586853.825772643</v>
      </c>
      <c r="T36" s="336">
        <f>-'OECD other kero subsidies'!D72</f>
        <v>0</v>
      </c>
      <c r="U36" s="342">
        <f>T36*E36</f>
        <v>0</v>
      </c>
      <c r="V36" s="111">
        <f>S36+U36</f>
        <v>76586853.825772643</v>
      </c>
      <c r="W36" s="320">
        <f t="shared" si="24"/>
        <v>3.7356482618535596</v>
      </c>
      <c r="X36" s="342">
        <f>W36*D36+U36</f>
        <v>352929329.32577258</v>
      </c>
    </row>
    <row r="37" spans="1:26" x14ac:dyDescent="0.6">
      <c r="A37" s="46">
        <f>A36+1</f>
        <v>31</v>
      </c>
      <c r="B37" s="50" t="s">
        <v>49</v>
      </c>
      <c r="C37" s="290">
        <v>6649</v>
      </c>
      <c r="D37" s="348">
        <f>C37*Assumptions!$C$24</f>
        <v>2158664340</v>
      </c>
      <c r="E37" s="399">
        <f>Assumptions!$H$12</f>
        <v>1.5587E-2</v>
      </c>
      <c r="F37" s="297">
        <f>Assumptions!$C$115</f>
        <v>3.7854100000000002</v>
      </c>
      <c r="G37" s="1057"/>
      <c r="H37" s="1163">
        <f>IF(C37=0,0,Assumptions!$C$96)</f>
        <v>2.5</v>
      </c>
      <c r="I37" s="1056"/>
      <c r="J37" s="306">
        <f>I37*F37*E37</f>
        <v>0</v>
      </c>
      <c r="K37" s="322">
        <v>0.25</v>
      </c>
      <c r="L37" s="329">
        <f t="shared" si="27"/>
        <v>0.625</v>
      </c>
      <c r="M37" s="320">
        <f t="shared" si="28"/>
        <v>0</v>
      </c>
      <c r="N37" s="320">
        <f t="shared" si="29"/>
        <v>0.625</v>
      </c>
      <c r="O37" s="314">
        <f>L37*D37</f>
        <v>1349165212.5</v>
      </c>
      <c r="P37" s="1053">
        <f t="shared" si="4"/>
        <v>0.625</v>
      </c>
      <c r="Q37" s="1047">
        <f>P37*D37</f>
        <v>1349165212.5</v>
      </c>
      <c r="R37" s="310">
        <f t="shared" si="20"/>
        <v>0</v>
      </c>
      <c r="S37" s="366">
        <f>D37*R37</f>
        <v>0</v>
      </c>
      <c r="T37" s="336">
        <f>-'OECD other kero subsidies'!D74</f>
        <v>-109669000000</v>
      </c>
      <c r="U37" s="342">
        <f>T37*E37</f>
        <v>-1709410703</v>
      </c>
      <c r="V37" s="111">
        <f>S37+U37</f>
        <v>-1709410703</v>
      </c>
      <c r="W37" s="320">
        <f t="shared" si="24"/>
        <v>3.125</v>
      </c>
      <c r="X37" s="342">
        <f>W37*D37+U37</f>
        <v>5036415359.5</v>
      </c>
    </row>
    <row r="38" spans="1:26" x14ac:dyDescent="0.6">
      <c r="A38" s="46">
        <f>A37+1</f>
        <v>32</v>
      </c>
      <c r="B38" s="44" t="s">
        <v>50</v>
      </c>
      <c r="C38" s="290">
        <v>2</v>
      </c>
      <c r="D38" s="348">
        <f>C38*Assumptions!$C$24</f>
        <v>649320</v>
      </c>
      <c r="E38" s="399">
        <f>Assumptions!$H$13</f>
        <v>0.30204900000000001</v>
      </c>
      <c r="F38" s="297">
        <f>Assumptions!$C$115</f>
        <v>3.7854100000000002</v>
      </c>
      <c r="G38" s="1045"/>
      <c r="H38" s="1077">
        <f>IF(C38=0,0,Assumptions!$C$96)</f>
        <v>2.5</v>
      </c>
      <c r="I38" s="1044"/>
      <c r="J38" s="306">
        <f>I38*F38*E38</f>
        <v>0</v>
      </c>
      <c r="K38" s="322">
        <v>0.19</v>
      </c>
      <c r="L38" s="329">
        <f t="shared" si="27"/>
        <v>0.47499999999999998</v>
      </c>
      <c r="M38" s="320">
        <f t="shared" si="28"/>
        <v>0</v>
      </c>
      <c r="N38" s="320">
        <f t="shared" si="29"/>
        <v>0.47499999999999998</v>
      </c>
      <c r="O38" s="314">
        <f>L38*D38</f>
        <v>308427</v>
      </c>
      <c r="P38" s="1053">
        <f t="shared" si="4"/>
        <v>0.47499999999999998</v>
      </c>
      <c r="Q38" s="1047">
        <f>P38*D38</f>
        <v>308427</v>
      </c>
      <c r="R38" s="310">
        <f t="shared" si="20"/>
        <v>0</v>
      </c>
      <c r="S38" s="366">
        <f>D38*R38</f>
        <v>0</v>
      </c>
      <c r="T38" s="336">
        <f>-'OECD other kero subsidies'!D78</f>
        <v>0</v>
      </c>
      <c r="U38" s="342">
        <f>T38*E38</f>
        <v>0</v>
      </c>
      <c r="V38" s="111">
        <f t="shared" ref="V38" si="30">S38+U38</f>
        <v>0</v>
      </c>
      <c r="W38" s="320">
        <f t="shared" si="24"/>
        <v>2.9749999999999996</v>
      </c>
      <c r="X38" s="342">
        <f>W38*D38+U38</f>
        <v>1931726.9999999998</v>
      </c>
    </row>
    <row r="39" spans="1:26" ht="15.9" thickBot="1" x14ac:dyDescent="0.65">
      <c r="A39" s="15">
        <f>A38+1</f>
        <v>33</v>
      </c>
      <c r="B39" s="47" t="s">
        <v>51</v>
      </c>
      <c r="C39" s="291">
        <v>0</v>
      </c>
      <c r="D39" s="349">
        <f>C39*Assumptions!$C$24</f>
        <v>0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IF(C39=0,0,Assumptions!$C$96)</f>
        <v>0</v>
      </c>
      <c r="I39" s="1076">
        <v>1.87</v>
      </c>
      <c r="J39" s="309">
        <f>I39*F39*E39</f>
        <v>0.12278034116150001</v>
      </c>
      <c r="K39" s="359">
        <v>0.18</v>
      </c>
      <c r="L39" s="334">
        <f t="shared" si="27"/>
        <v>0</v>
      </c>
      <c r="M39" s="321">
        <f t="shared" si="28"/>
        <v>2.2100461409070002E-2</v>
      </c>
      <c r="N39" s="321">
        <f t="shared" si="29"/>
        <v>2.2100461409070002E-2</v>
      </c>
      <c r="O39" s="319">
        <f>L39*D39</f>
        <v>0</v>
      </c>
      <c r="P39" s="1054">
        <f t="shared" si="4"/>
        <v>0.14488080257057001</v>
      </c>
      <c r="Q39" s="1048">
        <f>P39*D39</f>
        <v>0</v>
      </c>
      <c r="R39" s="312">
        <f t="shared" si="20"/>
        <v>0.14488080257057001</v>
      </c>
      <c r="S39" s="368">
        <f>D39*R39</f>
        <v>0</v>
      </c>
      <c r="T39" s="340">
        <f>-'OECD other kero subsidies'!D80</f>
        <v>0</v>
      </c>
      <c r="U39" s="344">
        <f>T39*E39</f>
        <v>0</v>
      </c>
      <c r="V39" s="163">
        <f>S39+U39</f>
        <v>0</v>
      </c>
      <c r="W39" s="321">
        <f t="shared" si="24"/>
        <v>0.14488080257057001</v>
      </c>
      <c r="X39" s="344">
        <f>W39*D39+U39</f>
        <v>0</v>
      </c>
    </row>
    <row r="40" spans="1:26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393"/>
      <c r="J40" s="394"/>
      <c r="K40" s="322"/>
      <c r="L40" s="329"/>
      <c r="M40" s="320"/>
      <c r="N40" s="320"/>
      <c r="O40" s="314"/>
      <c r="P40" s="1046"/>
      <c r="Q40" s="1047"/>
      <c r="R40" s="395"/>
      <c r="S40" s="396"/>
      <c r="T40" s="542"/>
      <c r="U40" s="543"/>
      <c r="V40" s="573"/>
      <c r="W40" s="571"/>
      <c r="X40" s="548"/>
      <c r="Z40" s="55"/>
    </row>
    <row r="41" spans="1:26" x14ac:dyDescent="0.6">
      <c r="A41" s="61">
        <f>A39+1</f>
        <v>34</v>
      </c>
      <c r="B41" s="44" t="s">
        <v>48</v>
      </c>
      <c r="C41" s="290">
        <v>56</v>
      </c>
      <c r="D41" s="348">
        <f>C41*Assumptions!$C$24</f>
        <v>18180960</v>
      </c>
      <c r="E41" s="399"/>
      <c r="F41" s="390">
        <f>Assumptions!$C$115</f>
        <v>3.7854100000000002</v>
      </c>
      <c r="G41" s="1128"/>
      <c r="H41" s="1163">
        <f>IF(C41=0,0,Assumptions!$C$96)</f>
        <v>2.5</v>
      </c>
      <c r="I41" s="382"/>
      <c r="J41" s="394"/>
      <c r="K41" s="322"/>
      <c r="L41" s="329"/>
      <c r="M41" s="320"/>
      <c r="N41" s="320"/>
      <c r="O41" s="314"/>
      <c r="P41" s="1046"/>
      <c r="Q41" s="1047"/>
      <c r="R41" s="395"/>
      <c r="S41" s="396"/>
      <c r="T41" s="336"/>
      <c r="U41" s="342"/>
      <c r="V41" s="574"/>
      <c r="W41" s="1043">
        <f t="shared" ref="W41:W51" si="31">H41</f>
        <v>2.5</v>
      </c>
      <c r="X41" s="342">
        <f t="shared" ref="X41:X65" si="32">W41*D41</f>
        <v>45452400</v>
      </c>
    </row>
    <row r="42" spans="1:26" x14ac:dyDescent="0.6">
      <c r="A42" s="46">
        <f>A41+1</f>
        <v>35</v>
      </c>
      <c r="B42" s="44" t="s">
        <v>53</v>
      </c>
      <c r="C42" s="290">
        <v>0</v>
      </c>
      <c r="D42" s="348">
        <f>C42*Assumptions!$C$24</f>
        <v>0</v>
      </c>
      <c r="E42" s="391"/>
      <c r="F42" s="390">
        <f>Assumptions!$C$115</f>
        <v>3.7854100000000002</v>
      </c>
      <c r="G42" s="1128"/>
      <c r="H42" s="1163">
        <f>IF(C42=0,0,Assumptions!$C$96)</f>
        <v>0</v>
      </c>
      <c r="I42" s="382"/>
      <c r="J42" s="394"/>
      <c r="K42" s="322"/>
      <c r="L42" s="329"/>
      <c r="M42" s="320"/>
      <c r="N42" s="320"/>
      <c r="O42" s="314"/>
      <c r="P42" s="1046"/>
      <c r="Q42" s="1047"/>
      <c r="R42" s="395"/>
      <c r="S42" s="394"/>
      <c r="T42" s="336"/>
      <c r="U42" s="342"/>
      <c r="V42" s="574"/>
      <c r="W42" s="1043">
        <f t="shared" si="31"/>
        <v>0</v>
      </c>
      <c r="X42" s="342">
        <f t="shared" si="32"/>
        <v>0</v>
      </c>
    </row>
    <row r="43" spans="1:26" x14ac:dyDescent="0.6">
      <c r="A43" s="46">
        <f t="shared" ref="A43:A65" si="33">A42+1</f>
        <v>36</v>
      </c>
      <c r="B43" s="44" t="s">
        <v>54</v>
      </c>
      <c r="C43" s="290">
        <v>0</v>
      </c>
      <c r="D43" s="348">
        <f>C43*Assumptions!$C$24</f>
        <v>0</v>
      </c>
      <c r="E43" s="391"/>
      <c r="F43" s="390">
        <f>Assumptions!$C$115</f>
        <v>3.7854100000000002</v>
      </c>
      <c r="G43" s="1128"/>
      <c r="H43" s="1163">
        <f>IF(C43=0,0,Assumptions!$C$96)</f>
        <v>0</v>
      </c>
      <c r="I43" s="382"/>
      <c r="J43" s="394"/>
      <c r="K43" s="322"/>
      <c r="L43" s="329"/>
      <c r="M43" s="320"/>
      <c r="N43" s="320"/>
      <c r="O43" s="314"/>
      <c r="P43" s="1046"/>
      <c r="Q43" s="1047"/>
      <c r="R43" s="395"/>
      <c r="S43" s="396"/>
      <c r="T43" s="336"/>
      <c r="U43" s="342"/>
      <c r="V43" s="574"/>
      <c r="W43" s="1043">
        <f t="shared" si="31"/>
        <v>0</v>
      </c>
      <c r="X43" s="342">
        <f t="shared" si="32"/>
        <v>0</v>
      </c>
    </row>
    <row r="44" spans="1:26" s="85" customFormat="1" x14ac:dyDescent="0.6">
      <c r="A44" s="61">
        <f t="shared" si="33"/>
        <v>37</v>
      </c>
      <c r="B44" s="86" t="s">
        <v>55</v>
      </c>
      <c r="C44" s="290">
        <v>1</v>
      </c>
      <c r="D44" s="348">
        <f>C44*Assumptions!$C$24</f>
        <v>324660</v>
      </c>
      <c r="E44" s="1005"/>
      <c r="F44" s="1006">
        <f>Assumptions!$C$115</f>
        <v>3.7854100000000002</v>
      </c>
      <c r="G44" s="1128"/>
      <c r="H44" s="1163">
        <f>IF(C44=0,0,Assumptions!$C$96)</f>
        <v>2.5</v>
      </c>
      <c r="I44" s="393"/>
      <c r="J44" s="394"/>
      <c r="K44" s="322"/>
      <c r="L44" s="329"/>
      <c r="M44" s="320"/>
      <c r="N44" s="320"/>
      <c r="O44" s="314"/>
      <c r="P44" s="1046"/>
      <c r="Q44" s="1047"/>
      <c r="R44" s="395"/>
      <c r="S44" s="396"/>
      <c r="T44" s="1007"/>
      <c r="U44" s="847"/>
      <c r="V44" s="1008"/>
      <c r="W44" s="1043">
        <f t="shared" si="31"/>
        <v>2.5</v>
      </c>
      <c r="X44" s="847">
        <f t="shared" si="32"/>
        <v>811650</v>
      </c>
      <c r="Y44" s="506"/>
    </row>
    <row r="45" spans="1:26" s="85" customFormat="1" x14ac:dyDescent="0.6">
      <c r="A45" s="61">
        <f t="shared" si="33"/>
        <v>38</v>
      </c>
      <c r="B45" s="86" t="s">
        <v>56</v>
      </c>
      <c r="C45" s="290">
        <v>28</v>
      </c>
      <c r="D45" s="348">
        <f>C45*Assumptions!$C$24</f>
        <v>9090480</v>
      </c>
      <c r="E45" s="1005"/>
      <c r="F45" s="1006">
        <f>Assumptions!$C$115</f>
        <v>3.7854100000000002</v>
      </c>
      <c r="G45" s="1128"/>
      <c r="H45" s="1163">
        <f>IF(C45=0,0,Assumptions!$C$96)</f>
        <v>2.5</v>
      </c>
      <c r="I45" s="393"/>
      <c r="J45" s="394"/>
      <c r="K45" s="322"/>
      <c r="L45" s="329"/>
      <c r="M45" s="320"/>
      <c r="N45" s="320"/>
      <c r="O45" s="314"/>
      <c r="P45" s="1046"/>
      <c r="Q45" s="1047"/>
      <c r="R45" s="395"/>
      <c r="S45" s="396"/>
      <c r="T45" s="1007"/>
      <c r="U45" s="847"/>
      <c r="V45" s="1008"/>
      <c r="W45" s="1043">
        <f t="shared" si="31"/>
        <v>2.5</v>
      </c>
      <c r="X45" s="847">
        <f t="shared" si="32"/>
        <v>22726200</v>
      </c>
      <c r="Y45" s="506"/>
    </row>
    <row r="46" spans="1:26" x14ac:dyDescent="0.6">
      <c r="A46" s="46">
        <f t="shared" si="33"/>
        <v>39</v>
      </c>
      <c r="B46" s="44" t="s">
        <v>57</v>
      </c>
      <c r="C46" s="290">
        <v>0</v>
      </c>
      <c r="D46" s="348">
        <f>C46*Assumptions!$C$24</f>
        <v>0</v>
      </c>
      <c r="E46" s="391"/>
      <c r="F46" s="390">
        <f>Assumptions!$C$115</f>
        <v>3.7854100000000002</v>
      </c>
      <c r="G46" s="1128"/>
      <c r="H46" s="1163">
        <f>IF(C46=0,0,Assumptions!$C$96)</f>
        <v>0</v>
      </c>
      <c r="I46" s="382"/>
      <c r="J46" s="400"/>
      <c r="K46" s="323"/>
      <c r="L46" s="329"/>
      <c r="M46" s="324"/>
      <c r="N46" s="324"/>
      <c r="O46" s="314"/>
      <c r="P46" s="1046"/>
      <c r="Q46" s="1047"/>
      <c r="R46" s="401"/>
      <c r="S46" s="396"/>
      <c r="T46" s="336"/>
      <c r="U46" s="342"/>
      <c r="V46" s="574"/>
      <c r="W46" s="1043">
        <f t="shared" si="31"/>
        <v>0</v>
      </c>
      <c r="X46" s="342">
        <f t="shared" si="32"/>
        <v>0</v>
      </c>
    </row>
    <row r="47" spans="1:26" x14ac:dyDescent="0.6">
      <c r="A47" s="46">
        <f t="shared" si="33"/>
        <v>40</v>
      </c>
      <c r="B47" s="44" t="s">
        <v>58</v>
      </c>
      <c r="C47" s="290">
        <v>0</v>
      </c>
      <c r="D47" s="348">
        <f>C47*Assumptions!$C$24</f>
        <v>0</v>
      </c>
      <c r="E47" s="391"/>
      <c r="F47" s="390">
        <f>Assumptions!$C$115</f>
        <v>3.7854100000000002</v>
      </c>
      <c r="G47" s="1128"/>
      <c r="H47" s="1163">
        <f>IF(C47=0,0,Assumptions!$C$96)</f>
        <v>0</v>
      </c>
      <c r="I47" s="382"/>
      <c r="J47" s="392"/>
      <c r="K47" s="325"/>
      <c r="L47" s="329"/>
      <c r="M47" s="281"/>
      <c r="N47" s="281"/>
      <c r="O47" s="314"/>
      <c r="P47" s="1046"/>
      <c r="Q47" s="1047"/>
      <c r="R47" s="402"/>
      <c r="S47" s="403"/>
      <c r="T47" s="336"/>
      <c r="U47" s="342"/>
      <c r="V47" s="574"/>
      <c r="W47" s="1043">
        <f t="shared" si="31"/>
        <v>0</v>
      </c>
      <c r="X47" s="342">
        <f t="shared" si="32"/>
        <v>0</v>
      </c>
    </row>
    <row r="48" spans="1:26" x14ac:dyDescent="0.6">
      <c r="A48" s="46">
        <f t="shared" si="33"/>
        <v>41</v>
      </c>
      <c r="B48" s="44" t="s">
        <v>59</v>
      </c>
      <c r="C48" s="290">
        <v>0</v>
      </c>
      <c r="D48" s="348">
        <f>C48*Assumptions!$C$24</f>
        <v>0</v>
      </c>
      <c r="E48" s="391"/>
      <c r="F48" s="390">
        <f>Assumptions!$C$115</f>
        <v>3.7854100000000002</v>
      </c>
      <c r="G48" s="1128"/>
      <c r="H48" s="1163">
        <f>IF(C48=0,0,Assumptions!$C$96)</f>
        <v>0</v>
      </c>
      <c r="I48" s="382"/>
      <c r="J48" s="392"/>
      <c r="K48" s="325"/>
      <c r="L48" s="329"/>
      <c r="M48" s="281"/>
      <c r="N48" s="281"/>
      <c r="O48" s="314"/>
      <c r="P48" s="1046"/>
      <c r="Q48" s="1047"/>
      <c r="R48" s="402"/>
      <c r="S48" s="396"/>
      <c r="T48" s="336"/>
      <c r="U48" s="342"/>
      <c r="V48" s="574"/>
      <c r="W48" s="1043">
        <f t="shared" si="31"/>
        <v>0</v>
      </c>
      <c r="X48" s="342">
        <f t="shared" si="32"/>
        <v>0</v>
      </c>
    </row>
    <row r="49" spans="1:25" x14ac:dyDescent="0.6">
      <c r="A49" s="46">
        <f t="shared" si="33"/>
        <v>42</v>
      </c>
      <c r="B49" s="44" t="s">
        <v>60</v>
      </c>
      <c r="C49" s="290">
        <v>23</v>
      </c>
      <c r="D49" s="348">
        <f>C49*Assumptions!$C$24</f>
        <v>7467180</v>
      </c>
      <c r="E49" s="391"/>
      <c r="F49" s="390">
        <f>Assumptions!$C$115</f>
        <v>3.7854100000000002</v>
      </c>
      <c r="G49" s="1128"/>
      <c r="H49" s="1163">
        <f>IF(C49=0,0,Assumptions!$C$96)</f>
        <v>2.5</v>
      </c>
      <c r="I49" s="382"/>
      <c r="J49" s="392"/>
      <c r="K49" s="325"/>
      <c r="L49" s="329"/>
      <c r="M49" s="281"/>
      <c r="N49" s="281"/>
      <c r="O49" s="314"/>
      <c r="P49" s="1046"/>
      <c r="Q49" s="1047"/>
      <c r="R49" s="402"/>
      <c r="S49" s="396"/>
      <c r="T49" s="336"/>
      <c r="U49" s="342"/>
      <c r="V49" s="574"/>
      <c r="W49" s="1043">
        <f t="shared" si="31"/>
        <v>2.5</v>
      </c>
      <c r="X49" s="342">
        <f t="shared" si="32"/>
        <v>18667950</v>
      </c>
    </row>
    <row r="50" spans="1:25" s="85" customFormat="1" x14ac:dyDescent="0.6">
      <c r="A50" s="61">
        <f t="shared" si="33"/>
        <v>43</v>
      </c>
      <c r="B50" s="86" t="s">
        <v>61</v>
      </c>
      <c r="C50" s="290">
        <v>535</v>
      </c>
      <c r="D50" s="348">
        <f>C50*Assumptions!$C$24</f>
        <v>173693100</v>
      </c>
      <c r="E50" s="1009"/>
      <c r="F50" s="1006">
        <f>Assumptions!$C$115</f>
        <v>3.7854100000000002</v>
      </c>
      <c r="G50" s="1128"/>
      <c r="H50" s="1163">
        <f>IF(C50=0,0,Assumptions!$C$96)</f>
        <v>2.5</v>
      </c>
      <c r="I50" s="393"/>
      <c r="J50" s="394"/>
      <c r="K50" s="322"/>
      <c r="L50" s="329"/>
      <c r="M50" s="320"/>
      <c r="N50" s="320"/>
      <c r="O50" s="314"/>
      <c r="P50" s="1046"/>
      <c r="Q50" s="1047"/>
      <c r="R50" s="395"/>
      <c r="S50" s="396"/>
      <c r="T50" s="1007"/>
      <c r="U50" s="847"/>
      <c r="V50" s="1008"/>
      <c r="W50" s="1043">
        <f t="shared" si="31"/>
        <v>2.5</v>
      </c>
      <c r="X50" s="847">
        <f t="shared" si="32"/>
        <v>434232750</v>
      </c>
      <c r="Y50" s="506"/>
    </row>
    <row r="51" spans="1:25" s="85" customFormat="1" x14ac:dyDescent="0.6">
      <c r="A51" s="61">
        <f t="shared" si="33"/>
        <v>44</v>
      </c>
      <c r="B51" s="86" t="s">
        <v>62</v>
      </c>
      <c r="C51" s="290">
        <v>1226</v>
      </c>
      <c r="D51" s="348">
        <f>C51*Assumptions!$C$24</f>
        <v>398033160</v>
      </c>
      <c r="E51" s="1005"/>
      <c r="F51" s="1006">
        <f>Assumptions!$C$115</f>
        <v>3.7854100000000002</v>
      </c>
      <c r="G51" s="1128"/>
      <c r="H51" s="1163">
        <f>IF(C51=0,0,Assumptions!$C$96)</f>
        <v>2.5</v>
      </c>
      <c r="I51" s="393"/>
      <c r="J51" s="394"/>
      <c r="K51" s="322"/>
      <c r="L51" s="329"/>
      <c r="M51" s="320"/>
      <c r="N51" s="320"/>
      <c r="O51" s="314"/>
      <c r="P51" s="1046"/>
      <c r="Q51" s="1047"/>
      <c r="R51" s="395"/>
      <c r="S51" s="396"/>
      <c r="T51" s="1007"/>
      <c r="U51" s="847"/>
      <c r="V51" s="1008"/>
      <c r="W51" s="1043">
        <f t="shared" si="31"/>
        <v>2.5</v>
      </c>
      <c r="X51" s="847">
        <f t="shared" si="32"/>
        <v>995082900</v>
      </c>
      <c r="Y51" s="506"/>
    </row>
    <row r="52" spans="1:25" s="85" customFormat="1" x14ac:dyDescent="0.6">
      <c r="A52" s="61">
        <f t="shared" si="33"/>
        <v>45</v>
      </c>
      <c r="B52" s="86" t="s">
        <v>63</v>
      </c>
      <c r="C52" s="290">
        <v>2570</v>
      </c>
      <c r="D52" s="348">
        <f>C52*Assumptions!$C$24</f>
        <v>834376200</v>
      </c>
      <c r="E52" s="1005"/>
      <c r="F52" s="1006">
        <f>Assumptions!$C$115</f>
        <v>3.7854100000000002</v>
      </c>
      <c r="G52" s="1128"/>
      <c r="H52" s="1163">
        <f>IF(C52=0,0,Assumptions!$C$96)</f>
        <v>2.5</v>
      </c>
      <c r="I52" s="393"/>
      <c r="J52" s="394"/>
      <c r="K52" s="322"/>
      <c r="L52" s="329"/>
      <c r="M52" s="320"/>
      <c r="N52" s="320"/>
      <c r="O52" s="314"/>
      <c r="P52" s="1046"/>
      <c r="Q52" s="1047"/>
      <c r="R52" s="395"/>
      <c r="S52" s="396"/>
      <c r="T52" s="1007"/>
      <c r="U52" s="847"/>
      <c r="V52" s="1008"/>
      <c r="W52" s="1043">
        <f t="shared" ref="W52:W65" si="34">H52</f>
        <v>2.5</v>
      </c>
      <c r="X52" s="847">
        <f t="shared" si="32"/>
        <v>2085940500</v>
      </c>
      <c r="Y52" s="70"/>
    </row>
    <row r="53" spans="1:25" s="85" customFormat="1" x14ac:dyDescent="0.6">
      <c r="A53" s="61">
        <f t="shared" si="33"/>
        <v>46</v>
      </c>
      <c r="B53" s="86" t="s">
        <v>64</v>
      </c>
      <c r="C53" s="290">
        <v>0</v>
      </c>
      <c r="D53" s="348">
        <f>C53*Assumptions!$C$24</f>
        <v>0</v>
      </c>
      <c r="E53" s="1005"/>
      <c r="F53" s="1006">
        <f>Assumptions!$C$115</f>
        <v>3.7854100000000002</v>
      </c>
      <c r="G53" s="1128"/>
      <c r="H53" s="1163">
        <f>IF(C53=0,0,Assumptions!$C$96)</f>
        <v>0</v>
      </c>
      <c r="I53" s="393"/>
      <c r="J53" s="394"/>
      <c r="K53" s="322"/>
      <c r="L53" s="329"/>
      <c r="M53" s="320"/>
      <c r="N53" s="320"/>
      <c r="O53" s="314"/>
      <c r="P53" s="1046"/>
      <c r="Q53" s="1047"/>
      <c r="R53" s="395"/>
      <c r="S53" s="396"/>
      <c r="T53" s="1007"/>
      <c r="U53" s="847"/>
      <c r="V53" s="1008"/>
      <c r="W53" s="1043">
        <f t="shared" si="34"/>
        <v>0</v>
      </c>
      <c r="X53" s="847">
        <f t="shared" si="32"/>
        <v>0</v>
      </c>
      <c r="Y53" s="506"/>
    </row>
    <row r="54" spans="1:25" s="85" customFormat="1" x14ac:dyDescent="0.6">
      <c r="A54" s="61">
        <f t="shared" si="33"/>
        <v>47</v>
      </c>
      <c r="B54" s="86" t="s">
        <v>65</v>
      </c>
      <c r="C54" s="290">
        <v>42</v>
      </c>
      <c r="D54" s="348">
        <f>C54*Assumptions!$C$24</f>
        <v>13635720</v>
      </c>
      <c r="E54" s="1005"/>
      <c r="F54" s="1006">
        <f>Assumptions!$C$115</f>
        <v>3.7854100000000002</v>
      </c>
      <c r="G54" s="1128"/>
      <c r="H54" s="1163">
        <f>IF(C54=0,0,Assumptions!$C$96)</f>
        <v>2.5</v>
      </c>
      <c r="I54" s="393"/>
      <c r="J54" s="394"/>
      <c r="K54" s="322"/>
      <c r="L54" s="329"/>
      <c r="M54" s="320"/>
      <c r="N54" s="320"/>
      <c r="O54" s="314"/>
      <c r="P54" s="1046"/>
      <c r="Q54" s="1047"/>
      <c r="R54" s="395"/>
      <c r="S54" s="396"/>
      <c r="T54" s="1007"/>
      <c r="U54" s="1010"/>
      <c r="V54" s="1011"/>
      <c r="W54" s="1043">
        <f t="shared" si="34"/>
        <v>2.5</v>
      </c>
      <c r="X54" s="847">
        <f t="shared" si="32"/>
        <v>34089300</v>
      </c>
      <c r="Y54" s="70"/>
    </row>
    <row r="55" spans="1:25" s="85" customFormat="1" x14ac:dyDescent="0.6">
      <c r="A55" s="61">
        <f t="shared" si="33"/>
        <v>48</v>
      </c>
      <c r="B55" s="86" t="s">
        <v>66</v>
      </c>
      <c r="C55" s="290">
        <v>119</v>
      </c>
      <c r="D55" s="348">
        <f>C55*Assumptions!$C$24</f>
        <v>38634540</v>
      </c>
      <c r="E55" s="1005"/>
      <c r="F55" s="1006">
        <f>Assumptions!$C$115</f>
        <v>3.7854100000000002</v>
      </c>
      <c r="G55" s="1128"/>
      <c r="H55" s="1163">
        <f>IF(C55=0,0,Assumptions!$C$96)</f>
        <v>2.5</v>
      </c>
      <c r="I55" s="393"/>
      <c r="J55" s="394"/>
      <c r="K55" s="322"/>
      <c r="L55" s="329"/>
      <c r="M55" s="320"/>
      <c r="N55" s="320"/>
      <c r="O55" s="314"/>
      <c r="P55" s="1046"/>
      <c r="Q55" s="1047"/>
      <c r="R55" s="395"/>
      <c r="S55" s="396"/>
      <c r="T55" s="1007"/>
      <c r="U55" s="1010"/>
      <c r="V55" s="1011"/>
      <c r="W55" s="1043">
        <f t="shared" si="34"/>
        <v>2.5</v>
      </c>
      <c r="X55" s="847">
        <f t="shared" si="32"/>
        <v>96586350</v>
      </c>
      <c r="Y55" s="506"/>
    </row>
    <row r="56" spans="1:25" s="85" customFormat="1" x14ac:dyDescent="0.6">
      <c r="A56" s="61">
        <f t="shared" si="33"/>
        <v>49</v>
      </c>
      <c r="B56" s="86" t="s">
        <v>67</v>
      </c>
      <c r="C56" s="290">
        <v>0</v>
      </c>
      <c r="D56" s="348">
        <f>C56*Assumptions!$C$24</f>
        <v>0</v>
      </c>
      <c r="E56" s="1005"/>
      <c r="F56" s="1006">
        <f>Assumptions!$C$115</f>
        <v>3.7854100000000002</v>
      </c>
      <c r="G56" s="1128"/>
      <c r="H56" s="1163">
        <f>IF(C56=0,0,Assumptions!$C$96)</f>
        <v>0</v>
      </c>
      <c r="I56" s="393"/>
      <c r="J56" s="394"/>
      <c r="K56" s="322"/>
      <c r="L56" s="329"/>
      <c r="M56" s="320"/>
      <c r="N56" s="320"/>
      <c r="O56" s="314"/>
      <c r="P56" s="1046"/>
      <c r="Q56" s="1047"/>
      <c r="R56" s="395"/>
      <c r="S56" s="396"/>
      <c r="T56" s="1007"/>
      <c r="U56" s="1010"/>
      <c r="V56" s="1011"/>
      <c r="W56" s="1043">
        <f t="shared" si="34"/>
        <v>0</v>
      </c>
      <c r="X56" s="847">
        <f t="shared" si="32"/>
        <v>0</v>
      </c>
      <c r="Y56" s="506"/>
    </row>
    <row r="57" spans="1:25" s="85" customFormat="1" x14ac:dyDescent="0.6">
      <c r="A57" s="61">
        <f t="shared" si="33"/>
        <v>50</v>
      </c>
      <c r="B57" s="86" t="s">
        <v>68</v>
      </c>
      <c r="C57" s="290">
        <v>493</v>
      </c>
      <c r="D57" s="348">
        <f>C57*Assumptions!$C$24</f>
        <v>160057380</v>
      </c>
      <c r="E57" s="1005"/>
      <c r="F57" s="1006">
        <f>Assumptions!$C$115</f>
        <v>3.7854100000000002</v>
      </c>
      <c r="G57" s="1128"/>
      <c r="H57" s="1163">
        <f>IF(C57=0,0,Assumptions!$C$96)</f>
        <v>2.5</v>
      </c>
      <c r="I57" s="393"/>
      <c r="J57" s="394"/>
      <c r="K57" s="322"/>
      <c r="L57" s="329"/>
      <c r="M57" s="320"/>
      <c r="N57" s="320"/>
      <c r="O57" s="314"/>
      <c r="P57" s="1046"/>
      <c r="Q57" s="1047"/>
      <c r="R57" s="395"/>
      <c r="S57" s="396"/>
      <c r="T57" s="1007"/>
      <c r="U57" s="1010"/>
      <c r="V57" s="1011"/>
      <c r="W57" s="1043">
        <f t="shared" si="34"/>
        <v>2.5</v>
      </c>
      <c r="X57" s="847">
        <f t="shared" si="32"/>
        <v>400143450</v>
      </c>
      <c r="Y57" s="506"/>
    </row>
    <row r="58" spans="1:25" s="85" customFormat="1" x14ac:dyDescent="0.6">
      <c r="A58" s="61">
        <f t="shared" si="33"/>
        <v>51</v>
      </c>
      <c r="B58" s="86" t="s">
        <v>695</v>
      </c>
      <c r="C58" s="290">
        <v>0</v>
      </c>
      <c r="D58" s="348">
        <f>C58*Assumptions!$C$24</f>
        <v>0</v>
      </c>
      <c r="E58" s="1005"/>
      <c r="F58" s="1006">
        <f>Assumptions!$C$115</f>
        <v>3.7854100000000002</v>
      </c>
      <c r="G58" s="1128"/>
      <c r="H58" s="1163">
        <f>IF(C58=0,0,Assumptions!$C$96)</f>
        <v>0</v>
      </c>
      <c r="I58" s="393"/>
      <c r="J58" s="394"/>
      <c r="K58" s="322"/>
      <c r="L58" s="329"/>
      <c r="M58" s="320"/>
      <c r="N58" s="320"/>
      <c r="O58" s="314"/>
      <c r="P58" s="1046"/>
      <c r="Q58" s="1047"/>
      <c r="R58" s="395"/>
      <c r="S58" s="396"/>
      <c r="T58" s="1007"/>
      <c r="U58" s="1010"/>
      <c r="V58" s="1011"/>
      <c r="W58" s="1043">
        <f t="shared" si="34"/>
        <v>0</v>
      </c>
      <c r="X58" s="847">
        <f t="shared" si="32"/>
        <v>0</v>
      </c>
      <c r="Y58" s="506"/>
    </row>
    <row r="59" spans="1:25" s="85" customFormat="1" x14ac:dyDescent="0.6">
      <c r="A59" s="61">
        <f t="shared" si="33"/>
        <v>52</v>
      </c>
      <c r="B59" s="86" t="s">
        <v>69</v>
      </c>
      <c r="C59" s="290">
        <v>0</v>
      </c>
      <c r="D59" s="348">
        <f>C59*Assumptions!$C$24</f>
        <v>0</v>
      </c>
      <c r="E59" s="1005"/>
      <c r="F59" s="1006">
        <f>Assumptions!$C$115</f>
        <v>3.7854100000000002</v>
      </c>
      <c r="G59" s="1128"/>
      <c r="H59" s="1163">
        <f>IF(C59=0,0,Assumptions!$C$96)</f>
        <v>0</v>
      </c>
      <c r="I59" s="393"/>
      <c r="J59" s="394"/>
      <c r="K59" s="322"/>
      <c r="L59" s="329"/>
      <c r="M59" s="320"/>
      <c r="N59" s="320"/>
      <c r="O59" s="314"/>
      <c r="P59" s="1046"/>
      <c r="Q59" s="1047"/>
      <c r="R59" s="395"/>
      <c r="S59" s="396"/>
      <c r="T59" s="1007"/>
      <c r="U59" s="1010"/>
      <c r="V59" s="1011"/>
      <c r="W59" s="1043">
        <f t="shared" si="34"/>
        <v>0</v>
      </c>
      <c r="X59" s="847">
        <f t="shared" si="32"/>
        <v>0</v>
      </c>
      <c r="Y59" s="70"/>
    </row>
    <row r="60" spans="1:25" s="85" customFormat="1" x14ac:dyDescent="0.6">
      <c r="A60" s="61">
        <f t="shared" si="33"/>
        <v>53</v>
      </c>
      <c r="B60" s="86" t="s">
        <v>70</v>
      </c>
      <c r="C60" s="290">
        <v>439</v>
      </c>
      <c r="D60" s="348">
        <f>C60*Assumptions!$C$24</f>
        <v>142525740</v>
      </c>
      <c r="E60" s="1005"/>
      <c r="F60" s="1006">
        <f>Assumptions!$C$115</f>
        <v>3.7854100000000002</v>
      </c>
      <c r="G60" s="1128"/>
      <c r="H60" s="1163">
        <f>IF(C60=0,0,Assumptions!$C$96)</f>
        <v>2.5</v>
      </c>
      <c r="I60" s="393"/>
      <c r="J60" s="394"/>
      <c r="K60" s="322"/>
      <c r="L60" s="329"/>
      <c r="M60" s="320"/>
      <c r="N60" s="320"/>
      <c r="O60" s="314"/>
      <c r="P60" s="1046"/>
      <c r="Q60" s="1047"/>
      <c r="R60" s="395"/>
      <c r="S60" s="396"/>
      <c r="T60" s="1007"/>
      <c r="U60" s="1010"/>
      <c r="V60" s="1011"/>
      <c r="W60" s="1043">
        <f t="shared" si="34"/>
        <v>2.5</v>
      </c>
      <c r="X60" s="847">
        <f t="shared" si="32"/>
        <v>356314350</v>
      </c>
      <c r="Y60" s="70"/>
    </row>
    <row r="61" spans="1:25" s="85" customFormat="1" x14ac:dyDescent="0.6">
      <c r="A61" s="61">
        <f t="shared" si="33"/>
        <v>54</v>
      </c>
      <c r="B61" s="86" t="s">
        <v>71</v>
      </c>
      <c r="C61" s="290">
        <v>10</v>
      </c>
      <c r="D61" s="348">
        <f>C61*Assumptions!$C$24</f>
        <v>3246600</v>
      </c>
      <c r="E61" s="1005"/>
      <c r="F61" s="1006">
        <f>Assumptions!$C$115</f>
        <v>3.7854100000000002</v>
      </c>
      <c r="G61" s="1128"/>
      <c r="H61" s="1163">
        <f>IF(C61=0,0,Assumptions!$C$96)</f>
        <v>2.5</v>
      </c>
      <c r="I61" s="393"/>
      <c r="J61" s="394"/>
      <c r="K61" s="322"/>
      <c r="L61" s="329"/>
      <c r="M61" s="320"/>
      <c r="N61" s="320"/>
      <c r="O61" s="314"/>
      <c r="P61" s="1046"/>
      <c r="Q61" s="1047"/>
      <c r="R61" s="395"/>
      <c r="S61" s="396"/>
      <c r="T61" s="1007"/>
      <c r="U61" s="1010"/>
      <c r="V61" s="1011"/>
      <c r="W61" s="1043">
        <f t="shared" si="34"/>
        <v>2.5</v>
      </c>
      <c r="X61" s="847">
        <f t="shared" si="32"/>
        <v>8116500</v>
      </c>
      <c r="Y61" s="506"/>
    </row>
    <row r="62" spans="1:25" s="85" customFormat="1" x14ac:dyDescent="0.6">
      <c r="A62" s="61">
        <f t="shared" si="33"/>
        <v>55</v>
      </c>
      <c r="B62" s="86" t="s">
        <v>72</v>
      </c>
      <c r="C62" s="290">
        <v>150</v>
      </c>
      <c r="D62" s="348">
        <f>C62*Assumptions!$C$24</f>
        <v>48699000</v>
      </c>
      <c r="E62" s="1005"/>
      <c r="F62" s="1006">
        <f>Assumptions!$C$115</f>
        <v>3.7854100000000002</v>
      </c>
      <c r="G62" s="1128"/>
      <c r="H62" s="1163">
        <f>IF(C62=0,0,Assumptions!$C$96)</f>
        <v>2.5</v>
      </c>
      <c r="I62" s="393"/>
      <c r="J62" s="394"/>
      <c r="K62" s="322"/>
      <c r="L62" s="329"/>
      <c r="M62" s="320"/>
      <c r="N62" s="320"/>
      <c r="O62" s="314"/>
      <c r="P62" s="1046"/>
      <c r="Q62" s="1047"/>
      <c r="R62" s="395"/>
      <c r="S62" s="396"/>
      <c r="T62" s="1007"/>
      <c r="U62" s="1010"/>
      <c r="V62" s="1011"/>
      <c r="W62" s="1043">
        <f t="shared" si="34"/>
        <v>2.5</v>
      </c>
      <c r="X62" s="847">
        <f t="shared" si="32"/>
        <v>121747500</v>
      </c>
      <c r="Y62" s="506"/>
    </row>
    <row r="63" spans="1:25" s="85" customFormat="1" x14ac:dyDescent="0.6">
      <c r="A63" s="61">
        <f t="shared" si="33"/>
        <v>56</v>
      </c>
      <c r="B63" s="86" t="s">
        <v>73</v>
      </c>
      <c r="C63" s="290">
        <v>0</v>
      </c>
      <c r="D63" s="348">
        <f>C63*Assumptions!$C$24</f>
        <v>0</v>
      </c>
      <c r="E63" s="1005"/>
      <c r="F63" s="1006">
        <f>Assumptions!$C$115</f>
        <v>3.7854100000000002</v>
      </c>
      <c r="G63" s="1128"/>
      <c r="H63" s="1163">
        <f>IF(C63=0,0,Assumptions!$C$96)</f>
        <v>0</v>
      </c>
      <c r="I63" s="393"/>
      <c r="J63" s="394"/>
      <c r="K63" s="322"/>
      <c r="L63" s="329"/>
      <c r="M63" s="320"/>
      <c r="N63" s="320"/>
      <c r="O63" s="314"/>
      <c r="P63" s="1046"/>
      <c r="Q63" s="1047"/>
      <c r="R63" s="395"/>
      <c r="S63" s="396"/>
      <c r="T63" s="1007"/>
      <c r="U63" s="1010"/>
      <c r="V63" s="1011"/>
      <c r="W63" s="1043">
        <f t="shared" si="34"/>
        <v>0</v>
      </c>
      <c r="X63" s="847">
        <f t="shared" si="32"/>
        <v>0</v>
      </c>
      <c r="Y63" s="70"/>
    </row>
    <row r="64" spans="1:25" s="85" customFormat="1" x14ac:dyDescent="0.6">
      <c r="A64" s="61">
        <f t="shared" si="33"/>
        <v>57</v>
      </c>
      <c r="B64" s="86" t="s">
        <v>74</v>
      </c>
      <c r="C64" s="290">
        <v>1</v>
      </c>
      <c r="D64" s="348">
        <f>C64*Assumptions!$C$24</f>
        <v>324660</v>
      </c>
      <c r="E64" s="1005"/>
      <c r="F64" s="1006">
        <f>Assumptions!$C$115</f>
        <v>3.7854100000000002</v>
      </c>
      <c r="G64" s="1128"/>
      <c r="H64" s="1163">
        <f>IF(C64=0,0,Assumptions!$C$96)</f>
        <v>2.5</v>
      </c>
      <c r="I64" s="393"/>
      <c r="J64" s="394"/>
      <c r="K64" s="322"/>
      <c r="L64" s="329"/>
      <c r="M64" s="320"/>
      <c r="N64" s="320"/>
      <c r="O64" s="314"/>
      <c r="P64" s="1046"/>
      <c r="Q64" s="1047"/>
      <c r="R64" s="395"/>
      <c r="S64" s="396"/>
      <c r="T64" s="1007"/>
      <c r="U64" s="1010"/>
      <c r="V64" s="1011"/>
      <c r="W64" s="1043">
        <f t="shared" si="34"/>
        <v>2.5</v>
      </c>
      <c r="X64" s="847">
        <f t="shared" si="32"/>
        <v>811650</v>
      </c>
      <c r="Y64" s="506"/>
    </row>
    <row r="65" spans="1:25" s="85" customFormat="1" x14ac:dyDescent="0.6">
      <c r="A65" s="63">
        <f t="shared" si="33"/>
        <v>58</v>
      </c>
      <c r="B65" s="90" t="s">
        <v>75</v>
      </c>
      <c r="C65" s="292">
        <v>1</v>
      </c>
      <c r="D65" s="350">
        <f>C65*Assumptions!$C$24</f>
        <v>324660</v>
      </c>
      <c r="E65" s="1012"/>
      <c r="F65" s="1013">
        <f>Assumptions!$C$115</f>
        <v>3.7854100000000002</v>
      </c>
      <c r="G65" s="1129"/>
      <c r="H65" s="1164">
        <f>IF(C65=0,0,Assumptions!$C$96)</f>
        <v>2.5</v>
      </c>
      <c r="I65" s="819"/>
      <c r="J65" s="858"/>
      <c r="K65" s="967"/>
      <c r="L65" s="335"/>
      <c r="M65" s="1014"/>
      <c r="N65" s="1014"/>
      <c r="O65" s="328"/>
      <c r="P65" s="1049"/>
      <c r="Q65" s="1050"/>
      <c r="R65" s="1015"/>
      <c r="S65" s="409"/>
      <c r="T65" s="1016"/>
      <c r="U65" s="1017"/>
      <c r="V65" s="1018"/>
      <c r="W65" s="1172">
        <f t="shared" si="34"/>
        <v>2.5</v>
      </c>
      <c r="X65" s="1019">
        <f t="shared" si="32"/>
        <v>811650</v>
      </c>
      <c r="Y65" s="506"/>
    </row>
    <row r="66" spans="1:25" x14ac:dyDescent="0.6">
      <c r="B66" s="1" t="s">
        <v>42</v>
      </c>
      <c r="D66" s="13">
        <f>SUM(D4:D65)</f>
        <v>7691844720</v>
      </c>
      <c r="E66" s="398"/>
      <c r="F66" s="410"/>
      <c r="G66" s="83"/>
      <c r="H66" s="278"/>
      <c r="I66" s="411"/>
      <c r="J66" s="278"/>
      <c r="K66" s="412"/>
      <c r="L66" s="413"/>
      <c r="M66" s="278"/>
      <c r="N66" s="278"/>
      <c r="O66" s="414"/>
      <c r="P66" s="414"/>
      <c r="Q66" s="414"/>
      <c r="R66" s="278"/>
      <c r="S66" s="415"/>
      <c r="T66" s="397"/>
      <c r="U66" s="83"/>
      <c r="V66" s="1"/>
    </row>
    <row r="67" spans="1:25" x14ac:dyDescent="0.6">
      <c r="B67" s="1" t="s">
        <v>357</v>
      </c>
      <c r="C67" s="13">
        <v>26340</v>
      </c>
      <c r="D67" s="13">
        <f>C67*Assumptions!$C$24</f>
        <v>8551544400</v>
      </c>
      <c r="E67" s="398"/>
      <c r="F67" s="410"/>
      <c r="G67" s="83"/>
      <c r="H67" s="278"/>
      <c r="I67" s="411"/>
      <c r="J67" s="278"/>
      <c r="K67" s="412"/>
      <c r="L67" s="413"/>
      <c r="M67" s="278"/>
      <c r="N67" s="278"/>
      <c r="O67" s="414"/>
      <c r="P67" s="414"/>
      <c r="Q67" s="414"/>
      <c r="R67" s="278"/>
      <c r="S67" s="415"/>
      <c r="T67" s="397"/>
      <c r="U67" s="83"/>
      <c r="V67" s="1"/>
    </row>
    <row r="68" spans="1:25" x14ac:dyDescent="0.6">
      <c r="C68" s="28"/>
      <c r="D68" s="28">
        <f>D66/D67</f>
        <v>0.8994684889901291</v>
      </c>
      <c r="E68" s="398"/>
      <c r="F68" s="410"/>
      <c r="G68" s="83"/>
      <c r="H68" s="278"/>
      <c r="I68" s="411"/>
      <c r="J68" s="278"/>
      <c r="K68" s="412"/>
      <c r="L68" s="413"/>
      <c r="M68" s="278"/>
      <c r="N68" s="278"/>
      <c r="O68" s="414"/>
      <c r="P68" s="414"/>
      <c r="Q68" s="414"/>
      <c r="R68" s="278"/>
      <c r="S68" s="415"/>
      <c r="T68" s="397"/>
      <c r="U68" s="83"/>
      <c r="V68" s="1"/>
    </row>
    <row r="69" spans="1:25" x14ac:dyDescent="0.6">
      <c r="A69" s="1"/>
      <c r="D69" s="1"/>
      <c r="E69" s="398"/>
      <c r="F69" s="83"/>
      <c r="G69" s="83"/>
      <c r="H69" s="278"/>
      <c r="I69" s="83"/>
      <c r="J69" s="83"/>
      <c r="K69" s="412"/>
      <c r="L69" s="413"/>
      <c r="M69" s="83"/>
      <c r="N69" s="83"/>
      <c r="O69" s="414"/>
      <c r="P69" s="414"/>
      <c r="Q69" s="414"/>
      <c r="R69" s="83"/>
      <c r="S69" s="416"/>
      <c r="T69" s="397"/>
      <c r="U69" s="83"/>
      <c r="V69" s="1"/>
    </row>
    <row r="70" spans="1:25" x14ac:dyDescent="0.6">
      <c r="D70" s="239"/>
      <c r="E70" s="398"/>
      <c r="F70" s="410"/>
      <c r="G70" s="83"/>
      <c r="H70" s="278"/>
      <c r="I70" s="411"/>
      <c r="J70" s="278"/>
      <c r="K70" s="412"/>
      <c r="L70" s="413"/>
      <c r="M70" s="278"/>
      <c r="N70" s="278"/>
      <c r="O70" s="414"/>
      <c r="P70" s="414"/>
      <c r="Q70" s="414"/>
      <c r="R70" s="278"/>
      <c r="S70" s="415"/>
      <c r="T70" s="397"/>
      <c r="U70" s="276"/>
    </row>
    <row r="71" spans="1:25" x14ac:dyDescent="0.6">
      <c r="E71" s="398"/>
      <c r="F71" s="410"/>
      <c r="G71" s="83"/>
      <c r="H71" s="278"/>
      <c r="I71" s="411"/>
      <c r="J71" s="278"/>
      <c r="K71" s="412"/>
      <c r="L71" s="413"/>
      <c r="M71" s="278"/>
      <c r="N71" s="278"/>
      <c r="O71" s="414"/>
      <c r="P71" s="414"/>
      <c r="Q71" s="414"/>
      <c r="R71" s="278"/>
      <c r="S71" s="415"/>
      <c r="T71" s="397"/>
      <c r="U71" s="276"/>
    </row>
    <row r="72" spans="1:25" x14ac:dyDescent="0.6">
      <c r="E72" s="398"/>
      <c r="F72" s="410"/>
      <c r="G72" s="83"/>
      <c r="H72" s="278"/>
      <c r="I72" s="411"/>
      <c r="J72" s="278"/>
      <c r="K72" s="412"/>
      <c r="L72" s="413"/>
      <c r="M72" s="278"/>
      <c r="N72" s="278"/>
      <c r="O72" s="414"/>
      <c r="P72" s="414"/>
      <c r="Q72" s="414"/>
      <c r="R72" s="278"/>
      <c r="S72" s="415"/>
      <c r="T72" s="397"/>
      <c r="U72" s="276"/>
    </row>
    <row r="73" spans="1:25" x14ac:dyDescent="0.6">
      <c r="E73" s="398"/>
      <c r="F73" s="410"/>
      <c r="G73" s="83"/>
      <c r="H73" s="278"/>
      <c r="I73" s="411"/>
      <c r="J73" s="278"/>
      <c r="K73" s="412"/>
      <c r="L73" s="413"/>
      <c r="M73" s="278"/>
      <c r="N73" s="278"/>
      <c r="O73" s="414"/>
      <c r="P73" s="414"/>
      <c r="Q73" s="414"/>
      <c r="R73" s="278"/>
      <c r="S73" s="415"/>
      <c r="T73" s="397"/>
      <c r="U73" s="276"/>
    </row>
    <row r="74" spans="1:25" x14ac:dyDescent="0.6">
      <c r="E74" s="398"/>
      <c r="F74" s="410"/>
      <c r="G74" s="83"/>
      <c r="H74" s="278"/>
      <c r="I74" s="411"/>
      <c r="J74" s="278"/>
      <c r="K74" s="412"/>
      <c r="L74" s="413"/>
      <c r="M74" s="278"/>
      <c r="N74" s="278"/>
      <c r="O74" s="414"/>
      <c r="P74" s="414"/>
      <c r="Q74" s="414"/>
      <c r="R74" s="278"/>
      <c r="S74" s="415"/>
      <c r="T74" s="397"/>
      <c r="U74" s="276"/>
    </row>
    <row r="75" spans="1:25" x14ac:dyDescent="0.6">
      <c r="E75" s="398"/>
      <c r="F75" s="410"/>
      <c r="G75" s="83"/>
      <c r="H75" s="278"/>
      <c r="I75" s="411"/>
      <c r="J75" s="278"/>
      <c r="K75" s="412"/>
      <c r="L75" s="413"/>
      <c r="M75" s="278"/>
      <c r="N75" s="278"/>
      <c r="O75" s="414"/>
      <c r="P75" s="414"/>
      <c r="Q75" s="414"/>
      <c r="R75" s="278"/>
      <c r="S75" s="415"/>
      <c r="T75" s="397"/>
      <c r="U75" s="276"/>
    </row>
    <row r="76" spans="1:25" x14ac:dyDescent="0.6">
      <c r="E76" s="398"/>
      <c r="F76" s="410"/>
      <c r="G76" s="83"/>
      <c r="H76" s="278"/>
      <c r="I76" s="411"/>
      <c r="J76" s="278"/>
      <c r="K76" s="412"/>
      <c r="L76" s="413"/>
      <c r="M76" s="278"/>
      <c r="N76" s="278"/>
      <c r="O76" s="414"/>
      <c r="P76" s="414"/>
      <c r="Q76" s="414"/>
      <c r="R76" s="278"/>
      <c r="S76" s="415"/>
      <c r="T76" s="397"/>
      <c r="U76" s="276"/>
    </row>
    <row r="77" spans="1:25" x14ac:dyDescent="0.6">
      <c r="E77" s="398"/>
      <c r="F77" s="410"/>
      <c r="G77" s="83"/>
      <c r="H77" s="278"/>
      <c r="I77" s="411"/>
      <c r="J77" s="278"/>
      <c r="K77" s="412"/>
      <c r="L77" s="413"/>
      <c r="M77" s="278"/>
      <c r="N77" s="278"/>
      <c r="O77" s="414"/>
      <c r="P77" s="414"/>
      <c r="Q77" s="414"/>
      <c r="R77" s="278"/>
      <c r="S77" s="415"/>
      <c r="T77" s="397"/>
      <c r="U77" s="276"/>
    </row>
    <row r="78" spans="1:25" x14ac:dyDescent="0.6">
      <c r="E78" s="398"/>
      <c r="F78" s="410"/>
      <c r="G78" s="83"/>
      <c r="H78" s="278"/>
      <c r="I78" s="411"/>
      <c r="J78" s="278"/>
      <c r="K78" s="412"/>
      <c r="L78" s="413"/>
      <c r="M78" s="278"/>
      <c r="N78" s="278"/>
      <c r="O78" s="414"/>
      <c r="P78" s="414"/>
      <c r="Q78" s="414"/>
      <c r="R78" s="278"/>
      <c r="S78" s="415"/>
      <c r="T78" s="397"/>
      <c r="U78" s="276"/>
    </row>
    <row r="79" spans="1:25" x14ac:dyDescent="0.6">
      <c r="E79" s="398"/>
      <c r="F79" s="410"/>
      <c r="G79" s="83"/>
      <c r="H79" s="278"/>
      <c r="I79" s="411"/>
      <c r="J79" s="278"/>
      <c r="K79" s="412"/>
      <c r="L79" s="413"/>
      <c r="M79" s="278"/>
      <c r="N79" s="278"/>
      <c r="O79" s="414"/>
      <c r="P79" s="414"/>
      <c r="Q79" s="414"/>
      <c r="R79" s="278"/>
      <c r="S79" s="415"/>
      <c r="T79" s="397"/>
      <c r="U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86"/>
  <sheetViews>
    <sheetView showGridLines="0" showZeros="0" zoomScale="125" zoomScaleNormal="125" zoomScalePageLayoutView="12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0.84765625" defaultRowHeight="15.6" x14ac:dyDescent="0.6"/>
  <cols>
    <col min="1" max="1" width="4.34765625" style="1" customWidth="1"/>
    <col min="2" max="2" width="26.59765625" style="85" customWidth="1"/>
    <col min="3" max="3" width="7.84765625" style="55" hidden="1" customWidth="1"/>
    <col min="4" max="4" width="11.34765625" style="55" hidden="1" customWidth="1"/>
    <col min="5" max="5" width="9.84765625" style="55" hidden="1" customWidth="1"/>
    <col min="6" max="6" width="8.84765625" style="96" bestFit="1" customWidth="1"/>
    <col min="7" max="7" width="11" style="12" customWidth="1"/>
    <col min="8" max="8" width="16.09765625" style="1" bestFit="1" customWidth="1"/>
    <col min="9" max="9" width="8.34765625" style="54" customWidth="1"/>
    <col min="10" max="10" width="7.5" style="54" customWidth="1"/>
    <col min="11" max="11" width="8.59765625" style="54" customWidth="1"/>
    <col min="12" max="12" width="9.5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1187</v>
      </c>
      <c r="D1" s="89"/>
      <c r="E1" s="879"/>
      <c r="H1" s="13"/>
      <c r="I1" s="95" t="s">
        <v>1089</v>
      </c>
      <c r="J1" s="95" t="s">
        <v>1091</v>
      </c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56"/>
      <c r="E2" s="56"/>
      <c r="F2" s="97" t="s">
        <v>189</v>
      </c>
      <c r="G2" s="157" t="s">
        <v>24</v>
      </c>
      <c r="H2" s="60" t="s">
        <v>24</v>
      </c>
      <c r="I2" s="95" t="s">
        <v>190</v>
      </c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/>
      <c r="B3" s="60"/>
      <c r="C3" s="56" t="s">
        <v>136</v>
      </c>
      <c r="D3" s="56" t="s">
        <v>137</v>
      </c>
      <c r="E3" s="56" t="s">
        <v>42</v>
      </c>
      <c r="F3" s="97" t="s">
        <v>79</v>
      </c>
      <c r="G3" s="115" t="s">
        <v>859</v>
      </c>
      <c r="H3" s="2" t="s">
        <v>400</v>
      </c>
      <c r="I3" s="95" t="s">
        <v>191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60">
        <v>1</v>
      </c>
      <c r="B4" s="85" t="s">
        <v>178</v>
      </c>
      <c r="C4" s="89"/>
      <c r="D4" s="89"/>
      <c r="E4" s="89">
        <f t="shared" ref="E4:E54" si="0">D4+C4</f>
        <v>0</v>
      </c>
      <c r="F4" s="959">
        <f>'State gasoline'!K4</f>
        <v>8.9099999999999999E-2</v>
      </c>
      <c r="G4" s="893">
        <v>0</v>
      </c>
      <c r="H4" s="897">
        <f>G4*Assumptions!$C$26</f>
        <v>0</v>
      </c>
      <c r="I4" s="156">
        <f>'Kero-Res'!H4</f>
        <v>2.21</v>
      </c>
      <c r="J4" s="156">
        <f>I4</f>
        <v>2.21</v>
      </c>
      <c r="K4" s="156">
        <f>J4</f>
        <v>2.21</v>
      </c>
      <c r="L4" s="156">
        <f t="shared" ref="L4:L35" si="1">K4*(1+F4)</f>
        <v>2.406911</v>
      </c>
      <c r="M4" s="952">
        <f>J4-K4</f>
        <v>0</v>
      </c>
      <c r="N4" s="70">
        <f t="shared" ref="N4:N35" si="2">J4*H4</f>
        <v>0</v>
      </c>
      <c r="O4" s="70">
        <f t="shared" ref="O4:O35" si="3">K4*H4</f>
        <v>0</v>
      </c>
      <c r="P4" s="70">
        <f t="shared" ref="P4:P35" si="4">L4*H4</f>
        <v>0</v>
      </c>
      <c r="Q4" s="70">
        <f t="shared" ref="Q4:Q54" si="5">N4-P4</f>
        <v>0</v>
      </c>
    </row>
    <row r="5" spans="1:17" s="85" customFormat="1" x14ac:dyDescent="0.6">
      <c r="A5" s="60">
        <f t="shared" ref="A5:A54" si="6">A4+1</f>
        <v>2</v>
      </c>
      <c r="B5" s="85" t="s">
        <v>188</v>
      </c>
      <c r="C5" s="89">
        <f t="shared" ref="C5:C54" si="7">C4</f>
        <v>0</v>
      </c>
      <c r="D5" s="89"/>
      <c r="E5" s="89">
        <f t="shared" si="0"/>
        <v>0</v>
      </c>
      <c r="F5" s="959">
        <f>'State gasoline'!K5</f>
        <v>1.7600000000000001E-2</v>
      </c>
      <c r="G5" s="893">
        <v>0</v>
      </c>
      <c r="H5" s="897">
        <f>G5*Assumptions!$C$26</f>
        <v>0</v>
      </c>
      <c r="I5" s="156">
        <f>I4</f>
        <v>2.21</v>
      </c>
      <c r="J5" s="156">
        <f t="shared" ref="J5:K5" si="8">I5</f>
        <v>2.21</v>
      </c>
      <c r="K5" s="156">
        <f t="shared" si="8"/>
        <v>2.21</v>
      </c>
      <c r="L5" s="156">
        <f t="shared" si="1"/>
        <v>2.2488960000000002</v>
      </c>
      <c r="M5" s="952">
        <f t="shared" ref="M5:M57" si="9">J5-K5</f>
        <v>0</v>
      </c>
      <c r="N5" s="70">
        <f t="shared" si="2"/>
        <v>0</v>
      </c>
      <c r="O5" s="70">
        <f t="shared" si="3"/>
        <v>0</v>
      </c>
      <c r="P5" s="70">
        <f t="shared" si="4"/>
        <v>0</v>
      </c>
      <c r="Q5" s="70">
        <f t="shared" si="5"/>
        <v>0</v>
      </c>
    </row>
    <row r="6" spans="1:17" s="85" customFormat="1" x14ac:dyDescent="0.6">
      <c r="A6" s="60">
        <f t="shared" si="6"/>
        <v>3</v>
      </c>
      <c r="B6" s="85" t="s">
        <v>181</v>
      </c>
      <c r="C6" s="89">
        <f t="shared" si="7"/>
        <v>0</v>
      </c>
      <c r="D6" s="89"/>
      <c r="E6" s="89">
        <f t="shared" si="0"/>
        <v>0</v>
      </c>
      <c r="F6" s="959">
        <f>'State gasoline'!K6</f>
        <v>8.1699999999999995E-2</v>
      </c>
      <c r="G6" s="893">
        <v>0</v>
      </c>
      <c r="H6" s="897">
        <f>G6*Assumptions!$C$26</f>
        <v>0</v>
      </c>
      <c r="I6" s="156">
        <f t="shared" ref="I6:I54" si="10">I5</f>
        <v>2.21</v>
      </c>
      <c r="J6" s="156">
        <f t="shared" ref="J6:K6" si="11">I6</f>
        <v>2.21</v>
      </c>
      <c r="K6" s="156">
        <f t="shared" si="11"/>
        <v>2.21</v>
      </c>
      <c r="L6" s="156">
        <f t="shared" si="1"/>
        <v>2.3905570000000003</v>
      </c>
      <c r="M6" s="952">
        <f t="shared" si="9"/>
        <v>0</v>
      </c>
      <c r="N6" s="70">
        <f t="shared" si="2"/>
        <v>0</v>
      </c>
      <c r="O6" s="70">
        <f t="shared" si="3"/>
        <v>0</v>
      </c>
      <c r="P6" s="70">
        <f t="shared" si="4"/>
        <v>0</v>
      </c>
      <c r="Q6" s="70">
        <f t="shared" si="5"/>
        <v>0</v>
      </c>
    </row>
    <row r="7" spans="1:17" s="85" customFormat="1" x14ac:dyDescent="0.6">
      <c r="A7" s="60">
        <f t="shared" si="6"/>
        <v>4</v>
      </c>
      <c r="B7" s="85" t="s">
        <v>176</v>
      </c>
      <c r="C7" s="89">
        <f t="shared" si="7"/>
        <v>0</v>
      </c>
      <c r="D7" s="89"/>
      <c r="E7" s="89">
        <f t="shared" si="0"/>
        <v>0</v>
      </c>
      <c r="F7" s="959">
        <f>'State gasoline'!K7</f>
        <v>9.2600000000000002E-2</v>
      </c>
      <c r="G7" s="893">
        <v>0</v>
      </c>
      <c r="H7" s="897">
        <f>G7*Assumptions!$C$26</f>
        <v>0</v>
      </c>
      <c r="I7" s="156">
        <f t="shared" si="10"/>
        <v>2.21</v>
      </c>
      <c r="J7" s="156">
        <f t="shared" ref="J7:K7" si="12">I7</f>
        <v>2.21</v>
      </c>
      <c r="K7" s="156">
        <f t="shared" si="12"/>
        <v>2.21</v>
      </c>
      <c r="L7" s="156">
        <f t="shared" si="1"/>
        <v>2.4146459999999998</v>
      </c>
      <c r="M7" s="952">
        <f t="shared" si="9"/>
        <v>0</v>
      </c>
      <c r="N7" s="70">
        <f t="shared" si="2"/>
        <v>0</v>
      </c>
      <c r="O7" s="70">
        <f t="shared" si="3"/>
        <v>0</v>
      </c>
      <c r="P7" s="70">
        <f t="shared" si="4"/>
        <v>0</v>
      </c>
      <c r="Q7" s="70">
        <f t="shared" si="5"/>
        <v>0</v>
      </c>
    </row>
    <row r="8" spans="1:17" s="85" customFormat="1" x14ac:dyDescent="0.6">
      <c r="A8" s="60">
        <f t="shared" si="6"/>
        <v>5</v>
      </c>
      <c r="B8" s="85" t="s">
        <v>142</v>
      </c>
      <c r="C8" s="89">
        <f t="shared" si="7"/>
        <v>0</v>
      </c>
      <c r="D8" s="89"/>
      <c r="E8" s="89">
        <f t="shared" si="0"/>
        <v>0</v>
      </c>
      <c r="F8" s="959">
        <f>'State gasoline'!K8</f>
        <v>8.4400000000000003E-2</v>
      </c>
      <c r="G8" s="893">
        <v>0.2</v>
      </c>
      <c r="H8" s="897">
        <f>G8*Assumptions!$C$26</f>
        <v>1538461.5384615385</v>
      </c>
      <c r="I8" s="156">
        <f t="shared" si="10"/>
        <v>2.21</v>
      </c>
      <c r="J8" s="156">
        <f t="shared" ref="J8:K8" si="13">I8</f>
        <v>2.21</v>
      </c>
      <c r="K8" s="156">
        <f t="shared" si="13"/>
        <v>2.21</v>
      </c>
      <c r="L8" s="156">
        <f t="shared" si="1"/>
        <v>2.3965239999999999</v>
      </c>
      <c r="M8" s="952">
        <f t="shared" si="9"/>
        <v>0</v>
      </c>
      <c r="N8" s="70">
        <f t="shared" si="2"/>
        <v>3400000</v>
      </c>
      <c r="O8" s="70">
        <f t="shared" si="3"/>
        <v>3400000</v>
      </c>
      <c r="P8" s="70">
        <f t="shared" si="4"/>
        <v>3686960</v>
      </c>
      <c r="Q8" s="70">
        <f t="shared" si="5"/>
        <v>-286960</v>
      </c>
    </row>
    <row r="9" spans="1:17" s="85" customFormat="1" x14ac:dyDescent="0.6">
      <c r="A9" s="60">
        <f t="shared" si="6"/>
        <v>6</v>
      </c>
      <c r="B9" s="85" t="s">
        <v>175</v>
      </c>
      <c r="C9" s="89">
        <f t="shared" si="7"/>
        <v>0</v>
      </c>
      <c r="D9" s="89"/>
      <c r="E9" s="89">
        <f t="shared" si="0"/>
        <v>0</v>
      </c>
      <c r="F9" s="959">
        <f>'State gasoline'!K9</f>
        <v>7.4399999999999994E-2</v>
      </c>
      <c r="G9" s="893">
        <v>0</v>
      </c>
      <c r="H9" s="897">
        <f>G9*Assumptions!$C$26</f>
        <v>0</v>
      </c>
      <c r="I9" s="156">
        <f t="shared" si="10"/>
        <v>2.21</v>
      </c>
      <c r="J9" s="156">
        <f t="shared" ref="J9:K9" si="14">I9</f>
        <v>2.21</v>
      </c>
      <c r="K9" s="156">
        <f t="shared" si="14"/>
        <v>2.21</v>
      </c>
      <c r="L9" s="156">
        <f t="shared" si="1"/>
        <v>2.3744239999999999</v>
      </c>
      <c r="M9" s="952">
        <f t="shared" si="9"/>
        <v>0</v>
      </c>
      <c r="N9" s="70">
        <f t="shared" si="2"/>
        <v>0</v>
      </c>
      <c r="O9" s="70">
        <f t="shared" si="3"/>
        <v>0</v>
      </c>
      <c r="P9" s="70">
        <f t="shared" si="4"/>
        <v>0</v>
      </c>
      <c r="Q9" s="70">
        <f t="shared" si="5"/>
        <v>0</v>
      </c>
    </row>
    <row r="10" spans="1:17" s="85" customFormat="1" x14ac:dyDescent="0.6">
      <c r="A10" s="60">
        <f t="shared" si="6"/>
        <v>7</v>
      </c>
      <c r="B10" s="85" t="s">
        <v>143</v>
      </c>
      <c r="C10" s="89">
        <f t="shared" si="7"/>
        <v>0</v>
      </c>
      <c r="D10" s="89"/>
      <c r="E10" s="89">
        <f t="shared" si="0"/>
        <v>0</v>
      </c>
      <c r="F10" s="959">
        <f>'State gasoline'!K10</f>
        <v>6.3500000000000001E-2</v>
      </c>
      <c r="G10" s="893">
        <v>0.1</v>
      </c>
      <c r="H10" s="897">
        <f>G10*Assumptions!$C$26</f>
        <v>769230.76923076925</v>
      </c>
      <c r="I10" s="156">
        <f t="shared" si="10"/>
        <v>2.21</v>
      </c>
      <c r="J10" s="156">
        <f t="shared" ref="J10:K10" si="15">I10</f>
        <v>2.21</v>
      </c>
      <c r="K10" s="156">
        <f t="shared" si="15"/>
        <v>2.21</v>
      </c>
      <c r="L10" s="156">
        <f t="shared" si="1"/>
        <v>2.3503349999999998</v>
      </c>
      <c r="M10" s="952">
        <f t="shared" si="9"/>
        <v>0</v>
      </c>
      <c r="N10" s="70">
        <f t="shared" si="2"/>
        <v>1700000</v>
      </c>
      <c r="O10" s="70">
        <f t="shared" si="3"/>
        <v>1700000</v>
      </c>
      <c r="P10" s="70">
        <f t="shared" si="4"/>
        <v>1807950</v>
      </c>
      <c r="Q10" s="70">
        <f t="shared" si="5"/>
        <v>-107950</v>
      </c>
    </row>
    <row r="11" spans="1:17" s="85" customFormat="1" x14ac:dyDescent="0.6">
      <c r="A11" s="60">
        <f t="shared" si="6"/>
        <v>8</v>
      </c>
      <c r="B11" s="85" t="s">
        <v>172</v>
      </c>
      <c r="C11" s="89">
        <f t="shared" si="7"/>
        <v>0</v>
      </c>
      <c r="D11" s="89"/>
      <c r="E11" s="89">
        <f t="shared" si="0"/>
        <v>0</v>
      </c>
      <c r="F11" s="959">
        <f>'State gasoline'!K11</f>
        <v>0</v>
      </c>
      <c r="G11" s="893">
        <v>0.1</v>
      </c>
      <c r="H11" s="897">
        <f>G11*Assumptions!$C$26</f>
        <v>769230.76923076925</v>
      </c>
      <c r="I11" s="156">
        <f t="shared" si="10"/>
        <v>2.21</v>
      </c>
      <c r="J11" s="156">
        <f t="shared" ref="J11:K11" si="16">I11</f>
        <v>2.21</v>
      </c>
      <c r="K11" s="156">
        <f t="shared" si="16"/>
        <v>2.21</v>
      </c>
      <c r="L11" s="156">
        <f t="shared" si="1"/>
        <v>2.21</v>
      </c>
      <c r="M11" s="952">
        <f t="shared" si="9"/>
        <v>0</v>
      </c>
      <c r="N11" s="70">
        <f t="shared" si="2"/>
        <v>1700000</v>
      </c>
      <c r="O11" s="70">
        <f t="shared" si="3"/>
        <v>1700000</v>
      </c>
      <c r="P11" s="70">
        <f t="shared" si="4"/>
        <v>1700000</v>
      </c>
      <c r="Q11" s="70">
        <f t="shared" si="5"/>
        <v>0</v>
      </c>
    </row>
    <row r="12" spans="1:17" s="85" customFormat="1" x14ac:dyDescent="0.6">
      <c r="A12" s="60">
        <f t="shared" si="6"/>
        <v>9</v>
      </c>
      <c r="B12" s="85" t="s">
        <v>171</v>
      </c>
      <c r="C12" s="89">
        <f t="shared" si="7"/>
        <v>0</v>
      </c>
      <c r="D12" s="89"/>
      <c r="E12" s="89">
        <f t="shared" si="0"/>
        <v>0</v>
      </c>
      <c r="F12" s="959">
        <f>'State gasoline'!K12</f>
        <v>5.7500000000000002E-2</v>
      </c>
      <c r="G12" s="893">
        <v>0</v>
      </c>
      <c r="H12" s="897">
        <f>G12*Assumptions!$C$26</f>
        <v>0</v>
      </c>
      <c r="I12" s="156">
        <f t="shared" si="10"/>
        <v>2.21</v>
      </c>
      <c r="J12" s="156">
        <f t="shared" ref="J12:K12" si="17">I12</f>
        <v>2.21</v>
      </c>
      <c r="K12" s="156">
        <f t="shared" si="17"/>
        <v>2.21</v>
      </c>
      <c r="L12" s="156">
        <f t="shared" si="1"/>
        <v>2.337075</v>
      </c>
      <c r="M12" s="952">
        <f t="shared" si="9"/>
        <v>0</v>
      </c>
      <c r="N12" s="70">
        <f t="shared" si="2"/>
        <v>0</v>
      </c>
      <c r="O12" s="70">
        <f t="shared" si="3"/>
        <v>0</v>
      </c>
      <c r="P12" s="70">
        <f t="shared" si="4"/>
        <v>0</v>
      </c>
      <c r="Q12" s="70">
        <f t="shared" si="5"/>
        <v>0</v>
      </c>
    </row>
    <row r="13" spans="1:17" s="85" customFormat="1" x14ac:dyDescent="0.6">
      <c r="A13" s="60">
        <f t="shared" si="6"/>
        <v>10</v>
      </c>
      <c r="B13" s="85" t="s">
        <v>144</v>
      </c>
      <c r="C13" s="89">
        <f t="shared" si="7"/>
        <v>0</v>
      </c>
      <c r="D13" s="89"/>
      <c r="E13" s="89">
        <f t="shared" si="0"/>
        <v>0</v>
      </c>
      <c r="F13" s="959">
        <f>'State gasoline'!K13</f>
        <v>6.6500000000000004E-2</v>
      </c>
      <c r="G13" s="893">
        <v>0</v>
      </c>
      <c r="H13" s="897">
        <f>G13*Assumptions!$C$26</f>
        <v>0</v>
      </c>
      <c r="I13" s="156">
        <f t="shared" si="10"/>
        <v>2.21</v>
      </c>
      <c r="J13" s="156">
        <f t="shared" ref="J13:K13" si="18">I13</f>
        <v>2.21</v>
      </c>
      <c r="K13" s="156">
        <f t="shared" si="18"/>
        <v>2.21</v>
      </c>
      <c r="L13" s="156">
        <f t="shared" si="1"/>
        <v>2.3569649999999998</v>
      </c>
      <c r="M13" s="952">
        <f t="shared" si="9"/>
        <v>0</v>
      </c>
      <c r="N13" s="70">
        <f t="shared" si="2"/>
        <v>0</v>
      </c>
      <c r="O13" s="70">
        <f t="shared" si="3"/>
        <v>0</v>
      </c>
      <c r="P13" s="70">
        <f t="shared" si="4"/>
        <v>0</v>
      </c>
      <c r="Q13" s="70">
        <f t="shared" si="5"/>
        <v>0</v>
      </c>
    </row>
    <row r="14" spans="1:17" s="85" customFormat="1" x14ac:dyDescent="0.6">
      <c r="A14" s="60">
        <f t="shared" si="6"/>
        <v>11</v>
      </c>
      <c r="B14" s="85" t="s">
        <v>154</v>
      </c>
      <c r="C14" s="89">
        <f t="shared" si="7"/>
        <v>0</v>
      </c>
      <c r="D14" s="89"/>
      <c r="E14" s="89">
        <f t="shared" si="0"/>
        <v>0</v>
      </c>
      <c r="F14" s="959">
        <f>'State gasoline'!K14</f>
        <v>6.9599999999999995E-2</v>
      </c>
      <c r="G14" s="893">
        <v>0</v>
      </c>
      <c r="H14" s="897">
        <f>G14*Assumptions!$C$26</f>
        <v>0</v>
      </c>
      <c r="I14" s="156">
        <f t="shared" si="10"/>
        <v>2.21</v>
      </c>
      <c r="J14" s="156">
        <f t="shared" ref="J14:K14" si="19">I14</f>
        <v>2.21</v>
      </c>
      <c r="K14" s="156">
        <f t="shared" si="19"/>
        <v>2.21</v>
      </c>
      <c r="L14" s="156">
        <f t="shared" si="1"/>
        <v>2.3638159999999999</v>
      </c>
      <c r="M14" s="952">
        <f t="shared" si="9"/>
        <v>0</v>
      </c>
      <c r="N14" s="70">
        <f t="shared" si="2"/>
        <v>0</v>
      </c>
      <c r="O14" s="70">
        <f t="shared" si="3"/>
        <v>0</v>
      </c>
      <c r="P14" s="70">
        <f t="shared" si="4"/>
        <v>0</v>
      </c>
      <c r="Q14" s="70">
        <f t="shared" si="5"/>
        <v>0</v>
      </c>
    </row>
    <row r="15" spans="1:17" s="85" customFormat="1" x14ac:dyDescent="0.6">
      <c r="A15" s="60">
        <f t="shared" si="6"/>
        <v>12</v>
      </c>
      <c r="B15" s="85" t="s">
        <v>141</v>
      </c>
      <c r="C15" s="89">
        <f t="shared" si="7"/>
        <v>0</v>
      </c>
      <c r="D15" s="89"/>
      <c r="E15" s="89">
        <f t="shared" si="0"/>
        <v>0</v>
      </c>
      <c r="F15" s="959">
        <f>'State gasoline'!K15</f>
        <v>4.3499999999999997E-2</v>
      </c>
      <c r="G15" s="893">
        <v>0</v>
      </c>
      <c r="H15" s="897">
        <f>G15*Assumptions!$C$26</f>
        <v>0</v>
      </c>
      <c r="I15" s="156">
        <f t="shared" si="10"/>
        <v>2.21</v>
      </c>
      <c r="J15" s="156">
        <f t="shared" ref="J15:K15" si="20">I15</f>
        <v>2.21</v>
      </c>
      <c r="K15" s="156">
        <f t="shared" si="20"/>
        <v>2.21</v>
      </c>
      <c r="L15" s="156">
        <f t="shared" si="1"/>
        <v>2.3061350000000003</v>
      </c>
      <c r="M15" s="952">
        <f t="shared" si="9"/>
        <v>0</v>
      </c>
      <c r="N15" s="70">
        <f t="shared" si="2"/>
        <v>0</v>
      </c>
      <c r="O15" s="70">
        <f t="shared" si="3"/>
        <v>0</v>
      </c>
      <c r="P15" s="70">
        <f t="shared" si="4"/>
        <v>0</v>
      </c>
      <c r="Q15" s="70">
        <f t="shared" si="5"/>
        <v>0</v>
      </c>
    </row>
    <row r="16" spans="1:17" s="85" customFormat="1" x14ac:dyDescent="0.6">
      <c r="A16" s="60">
        <f t="shared" si="6"/>
        <v>13</v>
      </c>
      <c r="B16" s="85" t="s">
        <v>152</v>
      </c>
      <c r="C16" s="89">
        <f t="shared" si="7"/>
        <v>0</v>
      </c>
      <c r="D16" s="89"/>
      <c r="E16" s="89">
        <f t="shared" si="0"/>
        <v>0</v>
      </c>
      <c r="F16" s="959">
        <f>'State gasoline'!K16</f>
        <v>6.0100000000000001E-2</v>
      </c>
      <c r="G16" s="893">
        <v>0</v>
      </c>
      <c r="H16" s="897">
        <f>G16*Assumptions!$C$26</f>
        <v>0</v>
      </c>
      <c r="I16" s="156">
        <f t="shared" si="10"/>
        <v>2.21</v>
      </c>
      <c r="J16" s="156">
        <f t="shared" ref="J16:K16" si="21">I16</f>
        <v>2.21</v>
      </c>
      <c r="K16" s="156">
        <f t="shared" si="21"/>
        <v>2.21</v>
      </c>
      <c r="L16" s="156">
        <f t="shared" si="1"/>
        <v>2.3428210000000003</v>
      </c>
      <c r="M16" s="952">
        <f t="shared" si="9"/>
        <v>0</v>
      </c>
      <c r="N16" s="70">
        <f t="shared" si="2"/>
        <v>0</v>
      </c>
      <c r="O16" s="70">
        <f t="shared" si="3"/>
        <v>0</v>
      </c>
      <c r="P16" s="70">
        <f t="shared" si="4"/>
        <v>0</v>
      </c>
      <c r="Q16" s="70">
        <f t="shared" si="5"/>
        <v>0</v>
      </c>
    </row>
    <row r="17" spans="1:17" s="85" customFormat="1" x14ac:dyDescent="0.6">
      <c r="A17" s="60">
        <f t="shared" si="6"/>
        <v>14</v>
      </c>
      <c r="B17" s="85" t="s">
        <v>157</v>
      </c>
      <c r="C17" s="89">
        <f t="shared" si="7"/>
        <v>0</v>
      </c>
      <c r="D17" s="89"/>
      <c r="E17" s="89">
        <f t="shared" si="0"/>
        <v>0</v>
      </c>
      <c r="F17" s="959">
        <f>'State gasoline'!K17</f>
        <v>8.1900000000000001E-2</v>
      </c>
      <c r="G17" s="893">
        <v>0.1</v>
      </c>
      <c r="H17" s="897">
        <f>G17*Assumptions!$C$26</f>
        <v>769230.76923076925</v>
      </c>
      <c r="I17" s="156">
        <f t="shared" si="10"/>
        <v>2.21</v>
      </c>
      <c r="J17" s="156">
        <f t="shared" ref="J17:K17" si="22">I17</f>
        <v>2.21</v>
      </c>
      <c r="K17" s="156">
        <f t="shared" si="22"/>
        <v>2.21</v>
      </c>
      <c r="L17" s="156">
        <f t="shared" si="1"/>
        <v>2.3909990000000003</v>
      </c>
      <c r="M17" s="952">
        <f t="shared" si="9"/>
        <v>0</v>
      </c>
      <c r="N17" s="70">
        <f t="shared" si="2"/>
        <v>1700000</v>
      </c>
      <c r="O17" s="70">
        <f t="shared" si="3"/>
        <v>1700000</v>
      </c>
      <c r="P17" s="70">
        <f t="shared" si="4"/>
        <v>1839230.0000000002</v>
      </c>
      <c r="Q17" s="70">
        <f t="shared" si="5"/>
        <v>-139230.00000000023</v>
      </c>
    </row>
    <row r="18" spans="1:17" s="85" customFormat="1" x14ac:dyDescent="0.6">
      <c r="A18" s="60">
        <f t="shared" si="6"/>
        <v>15</v>
      </c>
      <c r="B18" s="85" t="s">
        <v>160</v>
      </c>
      <c r="C18" s="89">
        <f t="shared" si="7"/>
        <v>0</v>
      </c>
      <c r="D18" s="89"/>
      <c r="E18" s="89">
        <f t="shared" si="0"/>
        <v>0</v>
      </c>
      <c r="F18" s="959">
        <f>'State gasoline'!K18</f>
        <v>7.0000000000000007E-2</v>
      </c>
      <c r="G18" s="893">
        <v>0.2</v>
      </c>
      <c r="H18" s="897">
        <f>G18*Assumptions!$C$26</f>
        <v>1538461.5384615385</v>
      </c>
      <c r="I18" s="156">
        <f t="shared" si="10"/>
        <v>2.21</v>
      </c>
      <c r="J18" s="156">
        <f t="shared" ref="J18:K18" si="23">I18</f>
        <v>2.21</v>
      </c>
      <c r="K18" s="156">
        <f t="shared" si="23"/>
        <v>2.21</v>
      </c>
      <c r="L18" s="156">
        <f t="shared" si="1"/>
        <v>2.3647</v>
      </c>
      <c r="M18" s="952">
        <f t="shared" si="9"/>
        <v>0</v>
      </c>
      <c r="N18" s="70">
        <f t="shared" si="2"/>
        <v>3400000</v>
      </c>
      <c r="O18" s="70">
        <f t="shared" si="3"/>
        <v>3400000</v>
      </c>
      <c r="P18" s="70">
        <f t="shared" si="4"/>
        <v>3638000</v>
      </c>
      <c r="Q18" s="70">
        <f t="shared" si="5"/>
        <v>-238000</v>
      </c>
    </row>
    <row r="19" spans="1:17" s="85" customFormat="1" x14ac:dyDescent="0.6">
      <c r="A19" s="60">
        <f t="shared" si="6"/>
        <v>16</v>
      </c>
      <c r="B19" s="85" t="s">
        <v>151</v>
      </c>
      <c r="C19" s="89">
        <f t="shared" si="7"/>
        <v>0</v>
      </c>
      <c r="D19" s="89"/>
      <c r="E19" s="89">
        <f t="shared" si="0"/>
        <v>0</v>
      </c>
      <c r="F19" s="959">
        <f>'State gasoline'!K19</f>
        <v>6.7799999999999999E-2</v>
      </c>
      <c r="G19" s="893">
        <v>0</v>
      </c>
      <c r="H19" s="897">
        <f>G19*Assumptions!$C$26</f>
        <v>0</v>
      </c>
      <c r="I19" s="156">
        <f t="shared" si="10"/>
        <v>2.21</v>
      </c>
      <c r="J19" s="156">
        <f t="shared" ref="J19:K19" si="24">I19</f>
        <v>2.21</v>
      </c>
      <c r="K19" s="156">
        <f t="shared" si="24"/>
        <v>2.21</v>
      </c>
      <c r="L19" s="156">
        <f t="shared" si="1"/>
        <v>2.3598380000000003</v>
      </c>
      <c r="M19" s="952">
        <f t="shared" si="9"/>
        <v>0</v>
      </c>
      <c r="N19" s="70">
        <f t="shared" si="2"/>
        <v>0</v>
      </c>
      <c r="O19" s="70">
        <f t="shared" si="3"/>
        <v>0</v>
      </c>
      <c r="P19" s="70">
        <f t="shared" si="4"/>
        <v>0</v>
      </c>
      <c r="Q19" s="70">
        <f t="shared" si="5"/>
        <v>0</v>
      </c>
    </row>
    <row r="20" spans="1:17" s="85" customFormat="1" x14ac:dyDescent="0.6">
      <c r="A20" s="60">
        <f t="shared" si="6"/>
        <v>17</v>
      </c>
      <c r="B20" s="85" t="s">
        <v>168</v>
      </c>
      <c r="C20" s="89">
        <f t="shared" si="7"/>
        <v>0</v>
      </c>
      <c r="D20" s="89"/>
      <c r="E20" s="89">
        <f t="shared" si="0"/>
        <v>0</v>
      </c>
      <c r="F20" s="959">
        <f>'State gasoline'!K20</f>
        <v>8.2000000000000003E-2</v>
      </c>
      <c r="G20" s="893">
        <v>0</v>
      </c>
      <c r="H20" s="897">
        <f>G20*Assumptions!$C$26</f>
        <v>0</v>
      </c>
      <c r="I20" s="156">
        <f t="shared" si="10"/>
        <v>2.21</v>
      </c>
      <c r="J20" s="156">
        <f t="shared" ref="J20:K20" si="25">I20</f>
        <v>2.21</v>
      </c>
      <c r="K20" s="156">
        <f t="shared" si="25"/>
        <v>2.21</v>
      </c>
      <c r="L20" s="156">
        <f t="shared" si="1"/>
        <v>2.3912200000000001</v>
      </c>
      <c r="M20" s="952">
        <f t="shared" si="9"/>
        <v>0</v>
      </c>
      <c r="N20" s="70">
        <f t="shared" si="2"/>
        <v>0</v>
      </c>
      <c r="O20" s="70">
        <f t="shared" si="3"/>
        <v>0</v>
      </c>
      <c r="P20" s="70">
        <f t="shared" si="4"/>
        <v>0</v>
      </c>
      <c r="Q20" s="70">
        <f t="shared" si="5"/>
        <v>0</v>
      </c>
    </row>
    <row r="21" spans="1:17" s="85" customFormat="1" x14ac:dyDescent="0.6">
      <c r="A21" s="60">
        <f t="shared" si="6"/>
        <v>18</v>
      </c>
      <c r="B21" s="85" t="s">
        <v>167</v>
      </c>
      <c r="C21" s="89">
        <f t="shared" si="7"/>
        <v>0</v>
      </c>
      <c r="D21" s="89"/>
      <c r="E21" s="89">
        <f t="shared" si="0"/>
        <v>0</v>
      </c>
      <c r="F21" s="959">
        <f>'State gasoline'!K21</f>
        <v>0.06</v>
      </c>
      <c r="G21" s="893">
        <v>0.2</v>
      </c>
      <c r="H21" s="897">
        <f>G21*Assumptions!$C$26</f>
        <v>1538461.5384615385</v>
      </c>
      <c r="I21" s="156">
        <f t="shared" si="10"/>
        <v>2.21</v>
      </c>
      <c r="J21" s="156">
        <f t="shared" ref="J21:K21" si="26">I21</f>
        <v>2.21</v>
      </c>
      <c r="K21" s="156">
        <f t="shared" si="26"/>
        <v>2.21</v>
      </c>
      <c r="L21" s="156">
        <f t="shared" si="1"/>
        <v>2.3426</v>
      </c>
      <c r="M21" s="952">
        <f t="shared" si="9"/>
        <v>0</v>
      </c>
      <c r="N21" s="70">
        <f t="shared" si="2"/>
        <v>3400000</v>
      </c>
      <c r="O21" s="70">
        <f t="shared" si="3"/>
        <v>3400000</v>
      </c>
      <c r="P21" s="70">
        <f t="shared" si="4"/>
        <v>3604000</v>
      </c>
      <c r="Q21" s="70">
        <f t="shared" si="5"/>
        <v>-204000</v>
      </c>
    </row>
    <row r="22" spans="1:17" s="85" customFormat="1" x14ac:dyDescent="0.6">
      <c r="A22" s="60">
        <f t="shared" si="6"/>
        <v>19</v>
      </c>
      <c r="B22" s="85" t="s">
        <v>179</v>
      </c>
      <c r="C22" s="89">
        <f t="shared" si="7"/>
        <v>0</v>
      </c>
      <c r="D22" s="89"/>
      <c r="E22" s="89">
        <f t="shared" si="0"/>
        <v>0</v>
      </c>
      <c r="F22" s="959">
        <f>'State gasoline'!K22</f>
        <v>8.9099999999999999E-2</v>
      </c>
      <c r="G22" s="893">
        <v>0</v>
      </c>
      <c r="H22" s="897">
        <f>G22*Assumptions!$C$26</f>
        <v>0</v>
      </c>
      <c r="I22" s="156">
        <f t="shared" si="10"/>
        <v>2.21</v>
      </c>
      <c r="J22" s="156">
        <f t="shared" ref="J22:K22" si="27">I22</f>
        <v>2.21</v>
      </c>
      <c r="K22" s="156">
        <f t="shared" si="27"/>
        <v>2.21</v>
      </c>
      <c r="L22" s="156">
        <f t="shared" si="1"/>
        <v>2.406911</v>
      </c>
      <c r="M22" s="952">
        <f t="shared" si="9"/>
        <v>0</v>
      </c>
      <c r="N22" s="70">
        <f t="shared" si="2"/>
        <v>0</v>
      </c>
      <c r="O22" s="70">
        <f t="shared" si="3"/>
        <v>0</v>
      </c>
      <c r="P22" s="70">
        <f t="shared" si="4"/>
        <v>0</v>
      </c>
      <c r="Q22" s="70">
        <f t="shared" si="5"/>
        <v>0</v>
      </c>
    </row>
    <row r="23" spans="1:17" s="85" customFormat="1" x14ac:dyDescent="0.6">
      <c r="A23" s="60">
        <f t="shared" si="6"/>
        <v>20</v>
      </c>
      <c r="B23" s="85" t="s">
        <v>158</v>
      </c>
      <c r="C23" s="89">
        <f t="shared" si="7"/>
        <v>0</v>
      </c>
      <c r="D23" s="89"/>
      <c r="E23" s="89">
        <f t="shared" si="0"/>
        <v>0</v>
      </c>
      <c r="F23" s="959">
        <f>'State gasoline'!K23</f>
        <v>5.5E-2</v>
      </c>
      <c r="G23" s="893">
        <v>1.3</v>
      </c>
      <c r="H23" s="897">
        <f>G23*Assumptions!$C$26</f>
        <v>10000000</v>
      </c>
      <c r="I23" s="156">
        <f t="shared" si="10"/>
        <v>2.21</v>
      </c>
      <c r="J23" s="156">
        <f t="shared" ref="J23:K23" si="28">I23</f>
        <v>2.21</v>
      </c>
      <c r="K23" s="156">
        <f t="shared" si="28"/>
        <v>2.21</v>
      </c>
      <c r="L23" s="156">
        <f t="shared" si="1"/>
        <v>2.33155</v>
      </c>
      <c r="M23" s="952">
        <f t="shared" si="9"/>
        <v>0</v>
      </c>
      <c r="N23" s="70">
        <f t="shared" si="2"/>
        <v>22100000</v>
      </c>
      <c r="O23" s="70">
        <f t="shared" si="3"/>
        <v>22100000</v>
      </c>
      <c r="P23" s="70">
        <f t="shared" si="4"/>
        <v>23315500</v>
      </c>
      <c r="Q23" s="70">
        <f t="shared" si="5"/>
        <v>-1215500</v>
      </c>
    </row>
    <row r="24" spans="1:17" s="85" customFormat="1" x14ac:dyDescent="0.6">
      <c r="A24" s="60">
        <f t="shared" si="6"/>
        <v>21</v>
      </c>
      <c r="B24" s="85" t="s">
        <v>150</v>
      </c>
      <c r="C24" s="89">
        <f t="shared" si="7"/>
        <v>0</v>
      </c>
      <c r="D24" s="89"/>
      <c r="E24" s="89">
        <f t="shared" si="0"/>
        <v>0</v>
      </c>
      <c r="F24" s="959">
        <f>'State gasoline'!K24</f>
        <v>0.06</v>
      </c>
      <c r="G24" s="893">
        <v>0.3</v>
      </c>
      <c r="H24" s="897">
        <f>G24*Assumptions!$C$26</f>
        <v>2307692.3076923075</v>
      </c>
      <c r="I24" s="156">
        <f t="shared" si="10"/>
        <v>2.21</v>
      </c>
      <c r="J24" s="156">
        <f t="shared" ref="J24:K24" si="29">I24</f>
        <v>2.21</v>
      </c>
      <c r="K24" s="156">
        <f t="shared" si="29"/>
        <v>2.21</v>
      </c>
      <c r="L24" s="156">
        <f t="shared" si="1"/>
        <v>2.3426</v>
      </c>
      <c r="M24" s="952">
        <f t="shared" si="9"/>
        <v>0</v>
      </c>
      <c r="N24" s="70">
        <f t="shared" si="2"/>
        <v>5099999.9999999991</v>
      </c>
      <c r="O24" s="70">
        <f t="shared" si="3"/>
        <v>5099999.9999999991</v>
      </c>
      <c r="P24" s="70">
        <f t="shared" si="4"/>
        <v>5406000</v>
      </c>
      <c r="Q24" s="70">
        <f t="shared" si="5"/>
        <v>-306000.00000000093</v>
      </c>
    </row>
    <row r="25" spans="1:17" s="85" customFormat="1" x14ac:dyDescent="0.6">
      <c r="A25" s="60">
        <f t="shared" si="6"/>
        <v>22</v>
      </c>
      <c r="B25" s="85" t="s">
        <v>166</v>
      </c>
      <c r="C25" s="89">
        <f t="shared" si="7"/>
        <v>0</v>
      </c>
      <c r="D25" s="89"/>
      <c r="E25" s="89">
        <f t="shared" si="0"/>
        <v>0</v>
      </c>
      <c r="F25" s="959">
        <f>'State gasoline'!K25</f>
        <v>6.25E-2</v>
      </c>
      <c r="G25" s="893">
        <v>0.3</v>
      </c>
      <c r="H25" s="897">
        <f>G25*Assumptions!$C$26</f>
        <v>2307692.3076923075</v>
      </c>
      <c r="I25" s="156">
        <f t="shared" si="10"/>
        <v>2.21</v>
      </c>
      <c r="J25" s="156">
        <f t="shared" ref="J25:K25" si="30">I25</f>
        <v>2.21</v>
      </c>
      <c r="K25" s="156">
        <f t="shared" si="30"/>
        <v>2.21</v>
      </c>
      <c r="L25" s="156">
        <f t="shared" si="1"/>
        <v>2.348125</v>
      </c>
      <c r="M25" s="952">
        <f t="shared" si="9"/>
        <v>0</v>
      </c>
      <c r="N25" s="70">
        <f t="shared" si="2"/>
        <v>5099999.9999999991</v>
      </c>
      <c r="O25" s="70">
        <f t="shared" si="3"/>
        <v>5099999.9999999991</v>
      </c>
      <c r="P25" s="70">
        <f t="shared" si="4"/>
        <v>5418750</v>
      </c>
      <c r="Q25" s="70">
        <f t="shared" si="5"/>
        <v>-318750.00000000093</v>
      </c>
    </row>
    <row r="26" spans="1:17" s="85" customFormat="1" x14ac:dyDescent="0.6">
      <c r="A26" s="60">
        <f t="shared" si="6"/>
        <v>23</v>
      </c>
      <c r="B26" s="85" t="s">
        <v>155</v>
      </c>
      <c r="C26" s="89">
        <f t="shared" si="7"/>
        <v>0</v>
      </c>
      <c r="D26" s="89"/>
      <c r="E26" s="89">
        <f t="shared" si="0"/>
        <v>0</v>
      </c>
      <c r="F26" s="959">
        <f>'State gasoline'!K26</f>
        <v>0.06</v>
      </c>
      <c r="G26" s="893">
        <v>0.2</v>
      </c>
      <c r="H26" s="897">
        <f>G26*Assumptions!$C$26</f>
        <v>1538461.5384615385</v>
      </c>
      <c r="I26" s="156">
        <f t="shared" si="10"/>
        <v>2.21</v>
      </c>
      <c r="J26" s="156">
        <f t="shared" ref="J26:K26" si="31">I26</f>
        <v>2.21</v>
      </c>
      <c r="K26" s="156">
        <f t="shared" si="31"/>
        <v>2.21</v>
      </c>
      <c r="L26" s="156">
        <f t="shared" si="1"/>
        <v>2.3426</v>
      </c>
      <c r="M26" s="952">
        <f t="shared" si="9"/>
        <v>0</v>
      </c>
      <c r="N26" s="70">
        <f t="shared" si="2"/>
        <v>3400000</v>
      </c>
      <c r="O26" s="70">
        <f t="shared" si="3"/>
        <v>3400000</v>
      </c>
      <c r="P26" s="70">
        <f t="shared" si="4"/>
        <v>3604000</v>
      </c>
      <c r="Q26" s="70">
        <f t="shared" si="5"/>
        <v>-204000</v>
      </c>
    </row>
    <row r="27" spans="1:17" s="85" customFormat="1" x14ac:dyDescent="0.6">
      <c r="A27" s="60">
        <f t="shared" si="6"/>
        <v>24</v>
      </c>
      <c r="B27" s="85" t="s">
        <v>162</v>
      </c>
      <c r="C27" s="89">
        <f t="shared" si="7"/>
        <v>0</v>
      </c>
      <c r="D27" s="89"/>
      <c r="E27" s="89">
        <f t="shared" si="0"/>
        <v>0</v>
      </c>
      <c r="F27" s="959">
        <f>'State gasoline'!K27</f>
        <v>7.1999999999999995E-2</v>
      </c>
      <c r="G27" s="893">
        <v>0</v>
      </c>
      <c r="H27" s="897">
        <f>G27*Assumptions!$C$26</f>
        <v>0</v>
      </c>
      <c r="I27" s="156">
        <f t="shared" si="10"/>
        <v>2.21</v>
      </c>
      <c r="J27" s="156">
        <f t="shared" ref="J27:K27" si="32">I27</f>
        <v>2.21</v>
      </c>
      <c r="K27" s="156">
        <f t="shared" si="32"/>
        <v>2.21</v>
      </c>
      <c r="L27" s="156">
        <f t="shared" si="1"/>
        <v>2.3691200000000001</v>
      </c>
      <c r="M27" s="952">
        <f t="shared" si="9"/>
        <v>0</v>
      </c>
      <c r="N27" s="70">
        <f t="shared" si="2"/>
        <v>0</v>
      </c>
      <c r="O27" s="70">
        <f t="shared" si="3"/>
        <v>0</v>
      </c>
      <c r="P27" s="70">
        <f t="shared" si="4"/>
        <v>0</v>
      </c>
      <c r="Q27" s="70">
        <f t="shared" si="5"/>
        <v>0</v>
      </c>
    </row>
    <row r="28" spans="1:17" s="85" customFormat="1" x14ac:dyDescent="0.6">
      <c r="A28" s="60">
        <f t="shared" si="6"/>
        <v>25</v>
      </c>
      <c r="B28" s="85" t="s">
        <v>183</v>
      </c>
      <c r="C28" s="89">
        <f t="shared" si="7"/>
        <v>0</v>
      </c>
      <c r="D28" s="89"/>
      <c r="E28" s="89">
        <f t="shared" si="0"/>
        <v>0</v>
      </c>
      <c r="F28" s="959">
        <f>'State gasoline'!K28</f>
        <v>7.0699999999999999E-2</v>
      </c>
      <c r="G28" s="893">
        <v>0</v>
      </c>
      <c r="H28" s="897">
        <f>G28*Assumptions!$C$26</f>
        <v>0</v>
      </c>
      <c r="I28" s="156">
        <f t="shared" si="10"/>
        <v>2.21</v>
      </c>
      <c r="J28" s="156">
        <f t="shared" ref="J28:K28" si="33">I28</f>
        <v>2.21</v>
      </c>
      <c r="K28" s="156">
        <f t="shared" si="33"/>
        <v>2.21</v>
      </c>
      <c r="L28" s="156">
        <f t="shared" si="1"/>
        <v>2.366247</v>
      </c>
      <c r="M28" s="952">
        <f t="shared" si="9"/>
        <v>0</v>
      </c>
      <c r="N28" s="70">
        <f t="shared" si="2"/>
        <v>0</v>
      </c>
      <c r="O28" s="70">
        <f t="shared" si="3"/>
        <v>0</v>
      </c>
      <c r="P28" s="70">
        <f t="shared" si="4"/>
        <v>0</v>
      </c>
      <c r="Q28" s="70">
        <f t="shared" si="5"/>
        <v>0</v>
      </c>
    </row>
    <row r="29" spans="1:17" s="85" customFormat="1" x14ac:dyDescent="0.6">
      <c r="A29" s="60">
        <f t="shared" si="6"/>
        <v>26</v>
      </c>
      <c r="B29" s="85" t="s">
        <v>184</v>
      </c>
      <c r="C29" s="89">
        <f t="shared" si="7"/>
        <v>0</v>
      </c>
      <c r="D29" s="89"/>
      <c r="E29" s="89">
        <f t="shared" si="0"/>
        <v>0</v>
      </c>
      <c r="F29" s="959">
        <f>'State gasoline'!K29</f>
        <v>7.8100000000000003E-2</v>
      </c>
      <c r="G29" s="893">
        <v>0</v>
      </c>
      <c r="H29" s="897">
        <f>G29*Assumptions!$C$26</f>
        <v>0</v>
      </c>
      <c r="I29" s="156">
        <f t="shared" si="10"/>
        <v>2.21</v>
      </c>
      <c r="J29" s="156">
        <f t="shared" ref="J29:K29" si="34">I29</f>
        <v>2.21</v>
      </c>
      <c r="K29" s="156">
        <f t="shared" si="34"/>
        <v>2.21</v>
      </c>
      <c r="L29" s="156">
        <f t="shared" si="1"/>
        <v>2.3826010000000002</v>
      </c>
      <c r="M29" s="952">
        <f t="shared" si="9"/>
        <v>0</v>
      </c>
      <c r="N29" s="70">
        <f t="shared" si="2"/>
        <v>0</v>
      </c>
      <c r="O29" s="70">
        <f t="shared" si="3"/>
        <v>0</v>
      </c>
      <c r="P29" s="70">
        <f t="shared" si="4"/>
        <v>0</v>
      </c>
      <c r="Q29" s="70">
        <f t="shared" si="5"/>
        <v>0</v>
      </c>
    </row>
    <row r="30" spans="1:17" s="85" customFormat="1" x14ac:dyDescent="0.6">
      <c r="A30" s="60">
        <f t="shared" si="6"/>
        <v>27</v>
      </c>
      <c r="B30" s="85" t="s">
        <v>164</v>
      </c>
      <c r="C30" s="89">
        <f t="shared" si="7"/>
        <v>0</v>
      </c>
      <c r="D30" s="89"/>
      <c r="E30" s="89">
        <f t="shared" si="0"/>
        <v>0</v>
      </c>
      <c r="F30" s="959">
        <f>'State gasoline'!K30</f>
        <v>0</v>
      </c>
      <c r="G30" s="893">
        <v>0</v>
      </c>
      <c r="H30" s="897">
        <f>G30*Assumptions!$C$26</f>
        <v>0</v>
      </c>
      <c r="I30" s="156">
        <f t="shared" si="10"/>
        <v>2.21</v>
      </c>
      <c r="J30" s="156">
        <f t="shared" ref="J30:K30" si="35">I30</f>
        <v>2.21</v>
      </c>
      <c r="K30" s="156">
        <f t="shared" si="35"/>
        <v>2.21</v>
      </c>
      <c r="L30" s="156">
        <f t="shared" si="1"/>
        <v>2.21</v>
      </c>
      <c r="M30" s="952">
        <f t="shared" si="9"/>
        <v>0</v>
      </c>
      <c r="N30" s="70">
        <f t="shared" si="2"/>
        <v>0</v>
      </c>
      <c r="O30" s="70">
        <f t="shared" si="3"/>
        <v>0</v>
      </c>
      <c r="P30" s="70">
        <f t="shared" si="4"/>
        <v>0</v>
      </c>
      <c r="Q30" s="70">
        <f t="shared" si="5"/>
        <v>0</v>
      </c>
    </row>
    <row r="31" spans="1:17" s="85" customFormat="1" x14ac:dyDescent="0.6">
      <c r="A31" s="60">
        <f t="shared" si="6"/>
        <v>28</v>
      </c>
      <c r="B31" s="85" t="s">
        <v>165</v>
      </c>
      <c r="C31" s="89">
        <f t="shared" si="7"/>
        <v>0</v>
      </c>
      <c r="D31" s="89"/>
      <c r="E31" s="89">
        <f t="shared" si="0"/>
        <v>0</v>
      </c>
      <c r="F31" s="959">
        <f>'State gasoline'!K31</f>
        <v>6.8000000000000005E-2</v>
      </c>
      <c r="G31" s="893">
        <v>0</v>
      </c>
      <c r="H31" s="897">
        <f>G31*Assumptions!$C$26</f>
        <v>0</v>
      </c>
      <c r="I31" s="156">
        <f t="shared" si="10"/>
        <v>2.21</v>
      </c>
      <c r="J31" s="156">
        <f t="shared" ref="J31:K31" si="36">I31</f>
        <v>2.21</v>
      </c>
      <c r="K31" s="156">
        <f t="shared" si="36"/>
        <v>2.21</v>
      </c>
      <c r="L31" s="156">
        <f t="shared" si="1"/>
        <v>2.3602799999999999</v>
      </c>
      <c r="M31" s="952">
        <f t="shared" si="9"/>
        <v>0</v>
      </c>
      <c r="N31" s="70">
        <f t="shared" si="2"/>
        <v>0</v>
      </c>
      <c r="O31" s="70">
        <f t="shared" si="3"/>
        <v>0</v>
      </c>
      <c r="P31" s="70">
        <f t="shared" si="4"/>
        <v>0</v>
      </c>
      <c r="Q31" s="70">
        <f t="shared" si="5"/>
        <v>0</v>
      </c>
    </row>
    <row r="32" spans="1:17" s="85" customFormat="1" x14ac:dyDescent="0.6">
      <c r="A32" s="60">
        <f t="shared" si="6"/>
        <v>29</v>
      </c>
      <c r="B32" s="85" t="s">
        <v>147</v>
      </c>
      <c r="C32" s="89">
        <f t="shared" si="7"/>
        <v>0</v>
      </c>
      <c r="D32" s="89"/>
      <c r="E32" s="89">
        <f t="shared" si="0"/>
        <v>0</v>
      </c>
      <c r="F32" s="959">
        <f>'State gasoline'!K32</f>
        <v>7.9399999999999998E-2</v>
      </c>
      <c r="G32" s="893">
        <v>0</v>
      </c>
      <c r="H32" s="897">
        <f>G32*Assumptions!$C$26</f>
        <v>0</v>
      </c>
      <c r="I32" s="156">
        <f t="shared" si="10"/>
        <v>2.21</v>
      </c>
      <c r="J32" s="156">
        <f t="shared" ref="J32:K32" si="37">I32</f>
        <v>2.21</v>
      </c>
      <c r="K32" s="156">
        <f t="shared" si="37"/>
        <v>2.21</v>
      </c>
      <c r="L32" s="156">
        <f t="shared" si="1"/>
        <v>2.3854739999999999</v>
      </c>
      <c r="M32" s="952">
        <f t="shared" si="9"/>
        <v>0</v>
      </c>
      <c r="N32" s="70">
        <f t="shared" si="2"/>
        <v>0</v>
      </c>
      <c r="O32" s="70">
        <f t="shared" si="3"/>
        <v>0</v>
      </c>
      <c r="P32" s="70">
        <f t="shared" si="4"/>
        <v>0</v>
      </c>
      <c r="Q32" s="70">
        <f t="shared" si="5"/>
        <v>0</v>
      </c>
    </row>
    <row r="33" spans="1:17" s="85" customFormat="1" x14ac:dyDescent="0.6">
      <c r="A33" s="60">
        <f t="shared" si="6"/>
        <v>30</v>
      </c>
      <c r="B33" s="85" t="s">
        <v>170</v>
      </c>
      <c r="C33" s="89">
        <f t="shared" si="7"/>
        <v>0</v>
      </c>
      <c r="D33" s="89"/>
      <c r="E33" s="89">
        <f t="shared" si="0"/>
        <v>0</v>
      </c>
      <c r="F33" s="959">
        <f>'State gasoline'!K33</f>
        <v>0</v>
      </c>
      <c r="G33" s="893">
        <v>0.4</v>
      </c>
      <c r="H33" s="897">
        <f>G33*Assumptions!$C$26</f>
        <v>3076923.076923077</v>
      </c>
      <c r="I33" s="156">
        <f t="shared" si="10"/>
        <v>2.21</v>
      </c>
      <c r="J33" s="156">
        <f t="shared" ref="J33:K33" si="38">I33</f>
        <v>2.21</v>
      </c>
      <c r="K33" s="156">
        <f t="shared" si="38"/>
        <v>2.21</v>
      </c>
      <c r="L33" s="156">
        <f t="shared" si="1"/>
        <v>2.21</v>
      </c>
      <c r="M33" s="952">
        <f t="shared" si="9"/>
        <v>0</v>
      </c>
      <c r="N33" s="70">
        <f t="shared" si="2"/>
        <v>6800000</v>
      </c>
      <c r="O33" s="70">
        <f t="shared" si="3"/>
        <v>6800000</v>
      </c>
      <c r="P33" s="70">
        <f t="shared" si="4"/>
        <v>6800000</v>
      </c>
      <c r="Q33" s="70">
        <f t="shared" si="5"/>
        <v>0</v>
      </c>
    </row>
    <row r="34" spans="1:17" s="85" customFormat="1" x14ac:dyDescent="0.6">
      <c r="A34" s="60">
        <f t="shared" si="6"/>
        <v>31</v>
      </c>
      <c r="B34" s="85" t="s">
        <v>187</v>
      </c>
      <c r="C34" s="89">
        <f t="shared" si="7"/>
        <v>0</v>
      </c>
      <c r="D34" s="89"/>
      <c r="E34" s="89">
        <f t="shared" si="0"/>
        <v>0</v>
      </c>
      <c r="F34" s="959">
        <f>'State gasoline'!K34</f>
        <v>6.9699999999999998E-2</v>
      </c>
      <c r="G34" s="893">
        <v>0.1</v>
      </c>
      <c r="H34" s="897">
        <f>G34*Assumptions!$C$26</f>
        <v>769230.76923076925</v>
      </c>
      <c r="I34" s="156">
        <f t="shared" si="10"/>
        <v>2.21</v>
      </c>
      <c r="J34" s="156">
        <f t="shared" ref="J34:K34" si="39">I34</f>
        <v>2.21</v>
      </c>
      <c r="K34" s="156">
        <f t="shared" si="39"/>
        <v>2.21</v>
      </c>
      <c r="L34" s="156">
        <f t="shared" si="1"/>
        <v>2.3640370000000002</v>
      </c>
      <c r="M34" s="952">
        <f t="shared" si="9"/>
        <v>0</v>
      </c>
      <c r="N34" s="70">
        <f t="shared" si="2"/>
        <v>1700000</v>
      </c>
      <c r="O34" s="70">
        <f t="shared" si="3"/>
        <v>1700000</v>
      </c>
      <c r="P34" s="70">
        <f t="shared" si="4"/>
        <v>1818490.0000000002</v>
      </c>
      <c r="Q34" s="70">
        <f t="shared" si="5"/>
        <v>-118490.00000000023</v>
      </c>
    </row>
    <row r="35" spans="1:17" s="85" customFormat="1" x14ac:dyDescent="0.6">
      <c r="A35" s="60">
        <f t="shared" si="6"/>
        <v>32</v>
      </c>
      <c r="B35" s="85" t="s">
        <v>182</v>
      </c>
      <c r="C35" s="89">
        <f t="shared" si="7"/>
        <v>0</v>
      </c>
      <c r="D35" s="89"/>
      <c r="E35" s="89">
        <f t="shared" si="0"/>
        <v>0</v>
      </c>
      <c r="F35" s="959">
        <f>'State gasoline'!K35</f>
        <v>7.3499999999999996E-2</v>
      </c>
      <c r="G35" s="893">
        <v>0</v>
      </c>
      <c r="H35" s="897">
        <f>G35*Assumptions!$C$26</f>
        <v>0</v>
      </c>
      <c r="I35" s="156">
        <f t="shared" si="10"/>
        <v>2.21</v>
      </c>
      <c r="J35" s="156">
        <f t="shared" ref="J35:K35" si="40">I35</f>
        <v>2.21</v>
      </c>
      <c r="K35" s="156">
        <f t="shared" si="40"/>
        <v>2.21</v>
      </c>
      <c r="L35" s="156">
        <f t="shared" si="1"/>
        <v>2.3724349999999998</v>
      </c>
      <c r="M35" s="952">
        <f t="shared" si="9"/>
        <v>0</v>
      </c>
      <c r="N35" s="70">
        <f t="shared" si="2"/>
        <v>0</v>
      </c>
      <c r="O35" s="70">
        <f t="shared" si="3"/>
        <v>0</v>
      </c>
      <c r="P35" s="70">
        <f t="shared" si="4"/>
        <v>0</v>
      </c>
      <c r="Q35" s="70">
        <f t="shared" si="5"/>
        <v>0</v>
      </c>
    </row>
    <row r="36" spans="1:17" s="85" customFormat="1" x14ac:dyDescent="0.6">
      <c r="A36" s="60">
        <f t="shared" si="6"/>
        <v>33</v>
      </c>
      <c r="B36" s="85" t="s">
        <v>140</v>
      </c>
      <c r="C36" s="89">
        <f t="shared" si="7"/>
        <v>0</v>
      </c>
      <c r="D36" s="89"/>
      <c r="E36" s="89">
        <f t="shared" si="0"/>
        <v>0</v>
      </c>
      <c r="F36" s="959">
        <f>'State gasoline'!K36</f>
        <v>8.48E-2</v>
      </c>
      <c r="G36" s="893">
        <v>2.6</v>
      </c>
      <c r="H36" s="897">
        <f>G36*Assumptions!$C$26</f>
        <v>20000000</v>
      </c>
      <c r="I36" s="156">
        <f t="shared" si="10"/>
        <v>2.21</v>
      </c>
      <c r="J36" s="156">
        <f t="shared" ref="J36:K36" si="41">I36</f>
        <v>2.21</v>
      </c>
      <c r="K36" s="156">
        <f t="shared" si="41"/>
        <v>2.21</v>
      </c>
      <c r="L36" s="156">
        <f t="shared" ref="L36:L57" si="42">K36*(1+F36)</f>
        <v>2.397408</v>
      </c>
      <c r="M36" s="952">
        <f t="shared" si="9"/>
        <v>0</v>
      </c>
      <c r="N36" s="70">
        <f t="shared" ref="N36:N55" si="43">J36*H36</f>
        <v>44200000</v>
      </c>
      <c r="O36" s="70">
        <f t="shared" ref="O36:O54" si="44">K36*H36</f>
        <v>44200000</v>
      </c>
      <c r="P36" s="70">
        <f t="shared" ref="P36:P54" si="45">L36*H36</f>
        <v>47948160</v>
      </c>
      <c r="Q36" s="70">
        <f t="shared" si="5"/>
        <v>-3748160</v>
      </c>
    </row>
    <row r="37" spans="1:17" s="85" customFormat="1" x14ac:dyDescent="0.6">
      <c r="A37" s="60">
        <f t="shared" si="6"/>
        <v>34</v>
      </c>
      <c r="B37" s="85" t="s">
        <v>145</v>
      </c>
      <c r="C37" s="89">
        <f t="shared" si="7"/>
        <v>0</v>
      </c>
      <c r="D37" s="89"/>
      <c r="E37" s="89">
        <f t="shared" si="0"/>
        <v>0</v>
      </c>
      <c r="F37" s="959">
        <f>'State gasoline'!K37</f>
        <v>6.9000000000000006E-2</v>
      </c>
      <c r="G37" s="893">
        <v>0.9</v>
      </c>
      <c r="H37" s="897">
        <f>G37*Assumptions!$C$26</f>
        <v>6923076.923076923</v>
      </c>
      <c r="I37" s="156">
        <f t="shared" si="10"/>
        <v>2.21</v>
      </c>
      <c r="J37" s="156">
        <f t="shared" ref="J37:K37" si="46">I37</f>
        <v>2.21</v>
      </c>
      <c r="K37" s="156">
        <f t="shared" si="46"/>
        <v>2.21</v>
      </c>
      <c r="L37" s="156">
        <f t="shared" si="42"/>
        <v>2.3624899999999998</v>
      </c>
      <c r="M37" s="952">
        <f t="shared" si="9"/>
        <v>0</v>
      </c>
      <c r="N37" s="70">
        <f t="shared" si="43"/>
        <v>15300000</v>
      </c>
      <c r="O37" s="70">
        <f t="shared" si="44"/>
        <v>15300000</v>
      </c>
      <c r="P37" s="70">
        <f t="shared" si="45"/>
        <v>16355699.999999998</v>
      </c>
      <c r="Q37" s="70">
        <f t="shared" si="5"/>
        <v>-1055699.9999999981</v>
      </c>
    </row>
    <row r="38" spans="1:17" s="85" customFormat="1" x14ac:dyDescent="0.6">
      <c r="A38" s="60">
        <f t="shared" si="6"/>
        <v>35</v>
      </c>
      <c r="B38" s="85" t="s">
        <v>173</v>
      </c>
      <c r="C38" s="89">
        <f t="shared" si="7"/>
        <v>0</v>
      </c>
      <c r="D38" s="89"/>
      <c r="E38" s="89">
        <f t="shared" si="0"/>
        <v>0</v>
      </c>
      <c r="F38" s="959">
        <f>'State gasoline'!K38</f>
        <v>6.5600000000000006E-2</v>
      </c>
      <c r="G38" s="893">
        <v>0</v>
      </c>
      <c r="H38" s="897">
        <f>G38*Assumptions!$C$26</f>
        <v>0</v>
      </c>
      <c r="I38" s="156">
        <f t="shared" si="10"/>
        <v>2.21</v>
      </c>
      <c r="J38" s="156">
        <f t="shared" ref="J38:K38" si="47">I38</f>
        <v>2.21</v>
      </c>
      <c r="K38" s="156">
        <f t="shared" si="47"/>
        <v>2.21</v>
      </c>
      <c r="L38" s="156">
        <f t="shared" si="42"/>
        <v>2.3549760000000002</v>
      </c>
      <c r="M38" s="952">
        <f t="shared" si="9"/>
        <v>0</v>
      </c>
      <c r="N38" s="70">
        <f t="shared" si="43"/>
        <v>0</v>
      </c>
      <c r="O38" s="70">
        <f t="shared" si="44"/>
        <v>0</v>
      </c>
      <c r="P38" s="70">
        <f t="shared" si="45"/>
        <v>0</v>
      </c>
      <c r="Q38" s="70">
        <f t="shared" si="5"/>
        <v>0</v>
      </c>
    </row>
    <row r="39" spans="1:17" s="85" customFormat="1" x14ac:dyDescent="0.6">
      <c r="A39" s="60">
        <f t="shared" si="6"/>
        <v>36</v>
      </c>
      <c r="B39" s="85" t="s">
        <v>163</v>
      </c>
      <c r="C39" s="89">
        <f t="shared" si="7"/>
        <v>0</v>
      </c>
      <c r="D39" s="89"/>
      <c r="E39" s="89">
        <f t="shared" si="0"/>
        <v>0</v>
      </c>
      <c r="F39" s="959">
        <f>'State gasoline'!K39</f>
        <v>7.0999999999999994E-2</v>
      </c>
      <c r="G39" s="893">
        <v>0.3</v>
      </c>
      <c r="H39" s="897">
        <f>G39*Assumptions!$C$26</f>
        <v>2307692.3076923075</v>
      </c>
      <c r="I39" s="156">
        <f t="shared" si="10"/>
        <v>2.21</v>
      </c>
      <c r="J39" s="156">
        <f t="shared" ref="J39:K39" si="48">I39</f>
        <v>2.21</v>
      </c>
      <c r="K39" s="156">
        <f t="shared" si="48"/>
        <v>2.21</v>
      </c>
      <c r="L39" s="156">
        <f t="shared" si="42"/>
        <v>2.3669099999999998</v>
      </c>
      <c r="M39" s="952">
        <f t="shared" si="9"/>
        <v>0</v>
      </c>
      <c r="N39" s="70">
        <f t="shared" si="43"/>
        <v>5099999.9999999991</v>
      </c>
      <c r="O39" s="70">
        <f t="shared" si="44"/>
        <v>5099999.9999999991</v>
      </c>
      <c r="P39" s="70">
        <f t="shared" si="45"/>
        <v>5462099.9999999991</v>
      </c>
      <c r="Q39" s="70">
        <f t="shared" si="5"/>
        <v>-362100</v>
      </c>
    </row>
    <row r="40" spans="1:17" s="85" customFormat="1" x14ac:dyDescent="0.6">
      <c r="A40" s="60">
        <f t="shared" si="6"/>
        <v>37</v>
      </c>
      <c r="B40" s="85" t="s">
        <v>185</v>
      </c>
      <c r="C40" s="89">
        <f t="shared" si="7"/>
        <v>0</v>
      </c>
      <c r="D40" s="89"/>
      <c r="E40" s="89">
        <f t="shared" si="0"/>
        <v>0</v>
      </c>
      <c r="F40" s="959">
        <f>'State gasoline'!K40</f>
        <v>8.77E-2</v>
      </c>
      <c r="G40" s="893">
        <v>0</v>
      </c>
      <c r="H40" s="897">
        <f>G40*Assumptions!$C$26</f>
        <v>0</v>
      </c>
      <c r="I40" s="156">
        <f t="shared" si="10"/>
        <v>2.21</v>
      </c>
      <c r="J40" s="156">
        <f t="shared" ref="J40:K40" si="49">I40</f>
        <v>2.21</v>
      </c>
      <c r="K40" s="156">
        <f t="shared" si="49"/>
        <v>2.21</v>
      </c>
      <c r="L40" s="156">
        <f t="shared" si="42"/>
        <v>2.4038169999999996</v>
      </c>
      <c r="M40" s="952">
        <f t="shared" si="9"/>
        <v>0</v>
      </c>
      <c r="N40" s="70">
        <f t="shared" si="43"/>
        <v>0</v>
      </c>
      <c r="O40" s="70">
        <f t="shared" si="44"/>
        <v>0</v>
      </c>
      <c r="P40" s="70">
        <f t="shared" si="45"/>
        <v>0</v>
      </c>
      <c r="Q40" s="70">
        <f t="shared" si="5"/>
        <v>0</v>
      </c>
    </row>
    <row r="41" spans="1:17" s="85" customFormat="1" x14ac:dyDescent="0.6">
      <c r="A41" s="60">
        <f t="shared" si="6"/>
        <v>38</v>
      </c>
      <c r="B41" s="85" t="s">
        <v>153</v>
      </c>
      <c r="C41" s="89">
        <f t="shared" si="7"/>
        <v>0</v>
      </c>
      <c r="D41" s="89"/>
      <c r="E41" s="89">
        <f t="shared" si="0"/>
        <v>0</v>
      </c>
      <c r="F41" s="959">
        <f>'State gasoline'!K41</f>
        <v>0</v>
      </c>
      <c r="G41" s="893">
        <v>0.1</v>
      </c>
      <c r="H41" s="897">
        <f>G41*Assumptions!$C$26</f>
        <v>769230.76923076925</v>
      </c>
      <c r="I41" s="156">
        <f t="shared" si="10"/>
        <v>2.21</v>
      </c>
      <c r="J41" s="156">
        <f t="shared" ref="J41:K41" si="50">I41</f>
        <v>2.21</v>
      </c>
      <c r="K41" s="156">
        <f t="shared" si="50"/>
        <v>2.21</v>
      </c>
      <c r="L41" s="156">
        <f t="shared" si="42"/>
        <v>2.21</v>
      </c>
      <c r="M41" s="952">
        <f t="shared" si="9"/>
        <v>0</v>
      </c>
      <c r="N41" s="70">
        <f t="shared" si="43"/>
        <v>1700000</v>
      </c>
      <c r="O41" s="70">
        <f t="shared" si="44"/>
        <v>1700000</v>
      </c>
      <c r="P41" s="70">
        <f t="shared" si="45"/>
        <v>1700000</v>
      </c>
      <c r="Q41" s="70">
        <f t="shared" si="5"/>
        <v>0</v>
      </c>
    </row>
    <row r="42" spans="1:17" s="85" customFormat="1" x14ac:dyDescent="0.6">
      <c r="A42" s="60">
        <f t="shared" si="6"/>
        <v>39</v>
      </c>
      <c r="B42" s="85" t="s">
        <v>138</v>
      </c>
      <c r="C42" s="89">
        <f t="shared" si="7"/>
        <v>0</v>
      </c>
      <c r="D42" s="89"/>
      <c r="E42" s="89">
        <f t="shared" si="0"/>
        <v>0</v>
      </c>
      <c r="F42" s="959">
        <f>'State gasoline'!K42</f>
        <v>6.3399999999999998E-2</v>
      </c>
      <c r="G42" s="893">
        <v>1.4</v>
      </c>
      <c r="H42" s="897">
        <f>G42*Assumptions!$C$26</f>
        <v>10769230.769230768</v>
      </c>
      <c r="I42" s="156">
        <f t="shared" si="10"/>
        <v>2.21</v>
      </c>
      <c r="J42" s="156">
        <f t="shared" ref="J42:K42" si="51">I42</f>
        <v>2.21</v>
      </c>
      <c r="K42" s="156">
        <f t="shared" si="51"/>
        <v>2.21</v>
      </c>
      <c r="L42" s="156">
        <f t="shared" si="42"/>
        <v>2.3501139999999996</v>
      </c>
      <c r="M42" s="952">
        <f t="shared" si="9"/>
        <v>0</v>
      </c>
      <c r="N42" s="70">
        <f t="shared" si="43"/>
        <v>23799999.999999996</v>
      </c>
      <c r="O42" s="70">
        <f t="shared" si="44"/>
        <v>23799999.999999996</v>
      </c>
      <c r="P42" s="70">
        <f t="shared" si="45"/>
        <v>25308919.999999993</v>
      </c>
      <c r="Q42" s="70">
        <f t="shared" si="5"/>
        <v>-1508919.9999999963</v>
      </c>
    </row>
    <row r="43" spans="1:17" s="85" customFormat="1" x14ac:dyDescent="0.6">
      <c r="A43" s="60">
        <f t="shared" si="6"/>
        <v>40</v>
      </c>
      <c r="B43" s="85" t="s">
        <v>146</v>
      </c>
      <c r="C43" s="89">
        <f t="shared" si="7"/>
        <v>0</v>
      </c>
      <c r="D43" s="89"/>
      <c r="E43" s="89">
        <f t="shared" si="0"/>
        <v>0</v>
      </c>
      <c r="F43" s="959">
        <f>'State gasoline'!K43</f>
        <v>7.0000000000000007E-2</v>
      </c>
      <c r="G43" s="893">
        <v>0</v>
      </c>
      <c r="H43" s="897">
        <f>G43*Assumptions!$C$26</f>
        <v>0</v>
      </c>
      <c r="I43" s="156">
        <f t="shared" si="10"/>
        <v>2.21</v>
      </c>
      <c r="J43" s="156">
        <f t="shared" ref="J43:K43" si="52">I43</f>
        <v>2.21</v>
      </c>
      <c r="K43" s="156">
        <f t="shared" si="52"/>
        <v>2.21</v>
      </c>
      <c r="L43" s="156">
        <f t="shared" si="42"/>
        <v>2.3647</v>
      </c>
      <c r="M43" s="952">
        <f t="shared" si="9"/>
        <v>0</v>
      </c>
      <c r="N43" s="70">
        <f t="shared" si="43"/>
        <v>0</v>
      </c>
      <c r="O43" s="70">
        <f t="shared" si="44"/>
        <v>0</v>
      </c>
      <c r="P43" s="70">
        <f t="shared" si="45"/>
        <v>0</v>
      </c>
      <c r="Q43" s="70">
        <f t="shared" si="5"/>
        <v>0</v>
      </c>
    </row>
    <row r="44" spans="1:17" s="85" customFormat="1" x14ac:dyDescent="0.6">
      <c r="A44" s="60">
        <f t="shared" si="6"/>
        <v>41</v>
      </c>
      <c r="B44" s="85" t="s">
        <v>186</v>
      </c>
      <c r="C44" s="89">
        <f t="shared" si="7"/>
        <v>0</v>
      </c>
      <c r="D44" s="89"/>
      <c r="E44" s="89">
        <f t="shared" si="0"/>
        <v>0</v>
      </c>
      <c r="F44" s="959">
        <f>'State gasoline'!K44</f>
        <v>7.1300000000000002E-2</v>
      </c>
      <c r="G44" s="893">
        <v>0.2</v>
      </c>
      <c r="H44" s="897">
        <f>G44*Assumptions!$C$26</f>
        <v>1538461.5384615385</v>
      </c>
      <c r="I44" s="156">
        <f t="shared" si="10"/>
        <v>2.21</v>
      </c>
      <c r="J44" s="156">
        <f t="shared" ref="J44:K44" si="53">I44</f>
        <v>2.21</v>
      </c>
      <c r="K44" s="156">
        <f t="shared" si="53"/>
        <v>2.21</v>
      </c>
      <c r="L44" s="156">
        <f t="shared" si="42"/>
        <v>2.3675729999999997</v>
      </c>
      <c r="M44" s="952">
        <f t="shared" si="9"/>
        <v>0</v>
      </c>
      <c r="N44" s="70">
        <f t="shared" si="43"/>
        <v>3400000</v>
      </c>
      <c r="O44" s="70">
        <f t="shared" si="44"/>
        <v>3400000</v>
      </c>
      <c r="P44" s="70">
        <f t="shared" si="45"/>
        <v>3642419.9999999995</v>
      </c>
      <c r="Q44" s="70">
        <f t="shared" si="5"/>
        <v>-242419.99999999953</v>
      </c>
    </row>
    <row r="45" spans="1:17" s="85" customFormat="1" x14ac:dyDescent="0.6">
      <c r="A45" s="60">
        <f t="shared" si="6"/>
        <v>42</v>
      </c>
      <c r="B45" s="85" t="s">
        <v>159</v>
      </c>
      <c r="C45" s="89">
        <f t="shared" si="7"/>
        <v>0</v>
      </c>
      <c r="D45" s="89"/>
      <c r="E45" s="89">
        <f t="shared" si="0"/>
        <v>0</v>
      </c>
      <c r="F45" s="959">
        <f>'State gasoline'!K45</f>
        <v>5.8299999999999998E-2</v>
      </c>
      <c r="G45" s="893">
        <v>0</v>
      </c>
      <c r="H45" s="897">
        <f>G45*Assumptions!$C$26</f>
        <v>0</v>
      </c>
      <c r="I45" s="156">
        <f t="shared" si="10"/>
        <v>2.21</v>
      </c>
      <c r="J45" s="156">
        <f t="shared" ref="J45:K45" si="54">I45</f>
        <v>2.21</v>
      </c>
      <c r="K45" s="156">
        <f t="shared" si="54"/>
        <v>2.21</v>
      </c>
      <c r="L45" s="156">
        <f t="shared" si="42"/>
        <v>2.3388429999999998</v>
      </c>
      <c r="M45" s="952">
        <f t="shared" si="9"/>
        <v>0</v>
      </c>
      <c r="N45" s="70">
        <f t="shared" si="43"/>
        <v>0</v>
      </c>
      <c r="O45" s="70">
        <f t="shared" si="44"/>
        <v>0</v>
      </c>
      <c r="P45" s="70">
        <f t="shared" si="45"/>
        <v>0</v>
      </c>
      <c r="Q45" s="70">
        <f t="shared" si="5"/>
        <v>0</v>
      </c>
    </row>
    <row r="46" spans="1:17" s="85" customFormat="1" x14ac:dyDescent="0.6">
      <c r="A46" s="60">
        <f t="shared" si="6"/>
        <v>43</v>
      </c>
      <c r="B46" s="85" t="s">
        <v>177</v>
      </c>
      <c r="C46" s="89">
        <f t="shared" si="7"/>
        <v>0</v>
      </c>
      <c r="D46" s="89"/>
      <c r="E46" s="89">
        <f t="shared" si="0"/>
        <v>0</v>
      </c>
      <c r="F46" s="959">
        <f>'State gasoline'!K46</f>
        <v>9.4500000000000001E-2</v>
      </c>
      <c r="G46" s="893">
        <v>0.2</v>
      </c>
      <c r="H46" s="897">
        <f>G46*Assumptions!$C$26</f>
        <v>1538461.5384615385</v>
      </c>
      <c r="I46" s="156">
        <f t="shared" si="10"/>
        <v>2.21</v>
      </c>
      <c r="J46" s="156">
        <f t="shared" ref="J46:K46" si="55">I46</f>
        <v>2.21</v>
      </c>
      <c r="K46" s="156">
        <f t="shared" si="55"/>
        <v>2.21</v>
      </c>
      <c r="L46" s="156">
        <f t="shared" si="42"/>
        <v>2.4188450000000001</v>
      </c>
      <c r="M46" s="952">
        <f t="shared" si="9"/>
        <v>0</v>
      </c>
      <c r="N46" s="70">
        <f t="shared" si="43"/>
        <v>3400000</v>
      </c>
      <c r="O46" s="70">
        <f t="shared" si="44"/>
        <v>3400000</v>
      </c>
      <c r="P46" s="70">
        <f t="shared" si="45"/>
        <v>3721300.0000000005</v>
      </c>
      <c r="Q46" s="70">
        <f t="shared" si="5"/>
        <v>-321300.00000000047</v>
      </c>
    </row>
    <row r="47" spans="1:17" s="85" customFormat="1" x14ac:dyDescent="0.6">
      <c r="A47" s="60">
        <f t="shared" si="6"/>
        <v>44</v>
      </c>
      <c r="B47" s="85" t="s">
        <v>180</v>
      </c>
      <c r="C47" s="89">
        <f t="shared" si="7"/>
        <v>0</v>
      </c>
      <c r="D47" s="89"/>
      <c r="E47" s="89">
        <f t="shared" si="0"/>
        <v>0</v>
      </c>
      <c r="F47" s="959">
        <f>'State gasoline'!K47</f>
        <v>8.0500000000000002E-2</v>
      </c>
      <c r="G47" s="893">
        <v>0</v>
      </c>
      <c r="H47" s="897">
        <f>G47*Assumptions!$C$26</f>
        <v>0</v>
      </c>
      <c r="I47" s="156">
        <f t="shared" si="10"/>
        <v>2.21</v>
      </c>
      <c r="J47" s="156">
        <f t="shared" ref="J47:K47" si="56">I47</f>
        <v>2.21</v>
      </c>
      <c r="K47" s="156">
        <f t="shared" si="56"/>
        <v>2.21</v>
      </c>
      <c r="L47" s="156">
        <f t="shared" si="42"/>
        <v>2.3879049999999999</v>
      </c>
      <c r="M47" s="952">
        <f t="shared" si="9"/>
        <v>0</v>
      </c>
      <c r="N47" s="70">
        <f t="shared" si="43"/>
        <v>0</v>
      </c>
      <c r="O47" s="70">
        <f t="shared" si="44"/>
        <v>0</v>
      </c>
      <c r="P47" s="70">
        <f t="shared" si="45"/>
        <v>0</v>
      </c>
      <c r="Q47" s="70">
        <f t="shared" si="5"/>
        <v>0</v>
      </c>
    </row>
    <row r="48" spans="1:17" s="85" customFormat="1" x14ac:dyDescent="0.6">
      <c r="A48" s="60">
        <f t="shared" si="6"/>
        <v>45</v>
      </c>
      <c r="B48" s="85" t="s">
        <v>161</v>
      </c>
      <c r="C48" s="89">
        <f t="shared" si="7"/>
        <v>0</v>
      </c>
      <c r="D48" s="89"/>
      <c r="E48" s="89">
        <f t="shared" si="0"/>
        <v>0</v>
      </c>
      <c r="F48" s="959">
        <f>'State gasoline'!K48</f>
        <v>6.6799999999999998E-2</v>
      </c>
      <c r="G48" s="893">
        <v>0</v>
      </c>
      <c r="H48" s="897">
        <f>G48*Assumptions!$C$26</f>
        <v>0</v>
      </c>
      <c r="I48" s="156">
        <f t="shared" si="10"/>
        <v>2.21</v>
      </c>
      <c r="J48" s="156">
        <f t="shared" ref="J48:K48" si="57">I48</f>
        <v>2.21</v>
      </c>
      <c r="K48" s="156">
        <f t="shared" si="57"/>
        <v>2.21</v>
      </c>
      <c r="L48" s="156">
        <f t="shared" si="42"/>
        <v>2.3576280000000001</v>
      </c>
      <c r="M48" s="952">
        <f t="shared" si="9"/>
        <v>0</v>
      </c>
      <c r="N48" s="70">
        <f t="shared" si="43"/>
        <v>0</v>
      </c>
      <c r="O48" s="70">
        <f t="shared" si="44"/>
        <v>0</v>
      </c>
      <c r="P48" s="70">
        <f t="shared" si="45"/>
        <v>0</v>
      </c>
      <c r="Q48" s="70">
        <f t="shared" si="5"/>
        <v>0</v>
      </c>
    </row>
    <row r="49" spans="1:18" s="85" customFormat="1" x14ac:dyDescent="0.6">
      <c r="A49" s="60">
        <f t="shared" si="6"/>
        <v>46</v>
      </c>
      <c r="B49" s="85" t="s">
        <v>156</v>
      </c>
      <c r="C49" s="89">
        <f t="shared" si="7"/>
        <v>0</v>
      </c>
      <c r="D49" s="89"/>
      <c r="E49" s="89">
        <f t="shared" si="0"/>
        <v>0</v>
      </c>
      <c r="F49" s="959">
        <f>'State gasoline'!K49</f>
        <v>6.1400000000000003E-2</v>
      </c>
      <c r="G49" s="893">
        <v>0.4</v>
      </c>
      <c r="H49" s="897">
        <f>G49*Assumptions!$C$26</f>
        <v>3076923.076923077</v>
      </c>
      <c r="I49" s="156">
        <f t="shared" si="10"/>
        <v>2.21</v>
      </c>
      <c r="J49" s="156">
        <f t="shared" ref="J49:K49" si="58">I49</f>
        <v>2.21</v>
      </c>
      <c r="K49" s="156">
        <f t="shared" si="58"/>
        <v>2.21</v>
      </c>
      <c r="L49" s="156">
        <f t="shared" si="42"/>
        <v>2.3456939999999999</v>
      </c>
      <c r="M49" s="952">
        <f t="shared" si="9"/>
        <v>0</v>
      </c>
      <c r="N49" s="70">
        <f t="shared" si="43"/>
        <v>6800000</v>
      </c>
      <c r="O49" s="70">
        <f t="shared" si="44"/>
        <v>6800000</v>
      </c>
      <c r="P49" s="70">
        <f t="shared" si="45"/>
        <v>7217520</v>
      </c>
      <c r="Q49" s="70">
        <f t="shared" si="5"/>
        <v>-417520</v>
      </c>
    </row>
    <row r="50" spans="1:18" s="85" customFormat="1" x14ac:dyDescent="0.6">
      <c r="A50" s="60">
        <f t="shared" si="6"/>
        <v>47</v>
      </c>
      <c r="B50" s="85" t="s">
        <v>174</v>
      </c>
      <c r="C50" s="89">
        <f t="shared" si="7"/>
        <v>0</v>
      </c>
      <c r="D50" s="89"/>
      <c r="E50" s="89">
        <f t="shared" si="0"/>
        <v>0</v>
      </c>
      <c r="F50" s="959">
        <f>'State gasoline'!K50</f>
        <v>5.6300000000000003E-2</v>
      </c>
      <c r="G50" s="893">
        <v>0.5</v>
      </c>
      <c r="H50" s="897">
        <f>G50*Assumptions!$C$26</f>
        <v>3846153.846153846</v>
      </c>
      <c r="I50" s="156">
        <f t="shared" si="10"/>
        <v>2.21</v>
      </c>
      <c r="J50" s="156">
        <f t="shared" ref="J50:K50" si="59">I50</f>
        <v>2.21</v>
      </c>
      <c r="K50" s="156">
        <f t="shared" si="59"/>
        <v>2.21</v>
      </c>
      <c r="L50" s="156">
        <f t="shared" si="42"/>
        <v>2.3344230000000001</v>
      </c>
      <c r="M50" s="952">
        <f t="shared" si="9"/>
        <v>0</v>
      </c>
      <c r="N50" s="70">
        <f t="shared" si="43"/>
        <v>8500000</v>
      </c>
      <c r="O50" s="70">
        <f t="shared" si="44"/>
        <v>8500000</v>
      </c>
      <c r="P50" s="70">
        <f t="shared" si="45"/>
        <v>8978550</v>
      </c>
      <c r="Q50" s="70">
        <f t="shared" si="5"/>
        <v>-478550</v>
      </c>
    </row>
    <row r="51" spans="1:18" s="85" customFormat="1" x14ac:dyDescent="0.6">
      <c r="A51" s="60">
        <f t="shared" si="6"/>
        <v>48</v>
      </c>
      <c r="B51" s="85" t="s">
        <v>139</v>
      </c>
      <c r="C51" s="89">
        <f t="shared" si="7"/>
        <v>0</v>
      </c>
      <c r="D51" s="89"/>
      <c r="E51" s="89">
        <f t="shared" si="0"/>
        <v>0</v>
      </c>
      <c r="F51" s="959">
        <f>'State gasoline'!K51</f>
        <v>8.8900000000000007E-2</v>
      </c>
      <c r="G51" s="893">
        <v>0</v>
      </c>
      <c r="H51" s="897">
        <f>G51*Assumptions!$C$26</f>
        <v>0</v>
      </c>
      <c r="I51" s="156">
        <f t="shared" si="10"/>
        <v>2.21</v>
      </c>
      <c r="J51" s="156">
        <f t="shared" ref="J51:K51" si="60">I51</f>
        <v>2.21</v>
      </c>
      <c r="K51" s="156">
        <f t="shared" si="60"/>
        <v>2.21</v>
      </c>
      <c r="L51" s="156">
        <f t="shared" si="42"/>
        <v>2.406469</v>
      </c>
      <c r="M51" s="952">
        <f t="shared" si="9"/>
        <v>0</v>
      </c>
      <c r="N51" s="70">
        <f t="shared" si="43"/>
        <v>0</v>
      </c>
      <c r="O51" s="70">
        <f t="shared" si="44"/>
        <v>0</v>
      </c>
      <c r="P51" s="70">
        <f t="shared" si="45"/>
        <v>0</v>
      </c>
      <c r="Q51" s="70">
        <f t="shared" si="5"/>
        <v>0</v>
      </c>
    </row>
    <row r="52" spans="1:18" s="85" customFormat="1" x14ac:dyDescent="0.6">
      <c r="A52" s="60">
        <f t="shared" si="6"/>
        <v>49</v>
      </c>
      <c r="B52" s="85" t="s">
        <v>148</v>
      </c>
      <c r="C52" s="89">
        <f t="shared" si="7"/>
        <v>0</v>
      </c>
      <c r="D52" s="89"/>
      <c r="E52" s="89">
        <f t="shared" si="0"/>
        <v>0</v>
      </c>
      <c r="F52" s="959">
        <f>'State gasoline'!K52</f>
        <v>6.0699999999999997E-2</v>
      </c>
      <c r="G52" s="893">
        <v>0.1</v>
      </c>
      <c r="H52" s="897">
        <f>G52*Assumptions!$C$26</f>
        <v>769230.76923076925</v>
      </c>
      <c r="I52" s="156">
        <f t="shared" si="10"/>
        <v>2.21</v>
      </c>
      <c r="J52" s="156">
        <f t="shared" ref="J52:K52" si="61">I52</f>
        <v>2.21</v>
      </c>
      <c r="K52" s="156">
        <f t="shared" si="61"/>
        <v>2.21</v>
      </c>
      <c r="L52" s="156">
        <f t="shared" si="42"/>
        <v>2.344147</v>
      </c>
      <c r="M52" s="952">
        <f t="shared" si="9"/>
        <v>0</v>
      </c>
      <c r="N52" s="70">
        <f t="shared" si="43"/>
        <v>1700000</v>
      </c>
      <c r="O52" s="70">
        <f t="shared" si="44"/>
        <v>1700000</v>
      </c>
      <c r="P52" s="70">
        <f t="shared" si="45"/>
        <v>1803190</v>
      </c>
      <c r="Q52" s="70">
        <f t="shared" si="5"/>
        <v>-103190</v>
      </c>
    </row>
    <row r="53" spans="1:18" s="85" customFormat="1" x14ac:dyDescent="0.6">
      <c r="A53" s="60">
        <f t="shared" si="6"/>
        <v>50</v>
      </c>
      <c r="B53" s="85" t="s">
        <v>149</v>
      </c>
      <c r="C53" s="89">
        <f t="shared" si="7"/>
        <v>0</v>
      </c>
      <c r="D53" s="89"/>
      <c r="E53" s="89">
        <f t="shared" si="0"/>
        <v>0</v>
      </c>
      <c r="F53" s="959">
        <f>'State gasoline'!K53</f>
        <v>5.4300000000000001E-2</v>
      </c>
      <c r="G53" s="893">
        <v>0.1</v>
      </c>
      <c r="H53" s="897">
        <f>G53*Assumptions!$C$26</f>
        <v>769230.76923076925</v>
      </c>
      <c r="I53" s="156">
        <f t="shared" si="10"/>
        <v>2.21</v>
      </c>
      <c r="J53" s="156">
        <f t="shared" ref="J53:K53" si="62">I53</f>
        <v>2.21</v>
      </c>
      <c r="K53" s="156">
        <f t="shared" si="62"/>
        <v>2.21</v>
      </c>
      <c r="L53" s="156">
        <f t="shared" si="42"/>
        <v>2.330003</v>
      </c>
      <c r="M53" s="952">
        <f t="shared" si="9"/>
        <v>0</v>
      </c>
      <c r="N53" s="70">
        <f t="shared" si="43"/>
        <v>1700000</v>
      </c>
      <c r="O53" s="70">
        <f t="shared" si="44"/>
        <v>1700000</v>
      </c>
      <c r="P53" s="70">
        <f t="shared" si="45"/>
        <v>1792310</v>
      </c>
      <c r="Q53" s="70">
        <f t="shared" si="5"/>
        <v>-92310</v>
      </c>
    </row>
    <row r="54" spans="1:18" s="85" customFormat="1" x14ac:dyDescent="0.6">
      <c r="A54" s="60">
        <f t="shared" si="6"/>
        <v>51</v>
      </c>
      <c r="B54" s="85" t="s">
        <v>169</v>
      </c>
      <c r="C54" s="89">
        <f t="shared" si="7"/>
        <v>0</v>
      </c>
      <c r="D54" s="89"/>
      <c r="E54" s="89">
        <f t="shared" si="0"/>
        <v>0</v>
      </c>
      <c r="F54" s="959">
        <f>'State gasoline'!K54</f>
        <v>5.4699999999999999E-2</v>
      </c>
      <c r="G54" s="893">
        <v>0</v>
      </c>
      <c r="H54" s="897">
        <f>G54*Assumptions!$C$26</f>
        <v>0</v>
      </c>
      <c r="I54" s="156">
        <f t="shared" si="10"/>
        <v>2.21</v>
      </c>
      <c r="J54" s="156">
        <f t="shared" ref="J54:K54" si="63">I54</f>
        <v>2.21</v>
      </c>
      <c r="K54" s="156">
        <f t="shared" si="63"/>
        <v>2.21</v>
      </c>
      <c r="L54" s="156">
        <f t="shared" si="42"/>
        <v>2.3308869999999997</v>
      </c>
      <c r="M54" s="952">
        <f t="shared" si="9"/>
        <v>0</v>
      </c>
      <c r="N54" s="70">
        <f t="shared" si="43"/>
        <v>0</v>
      </c>
      <c r="O54" s="70">
        <f t="shared" si="44"/>
        <v>0</v>
      </c>
      <c r="P54" s="70">
        <f t="shared" si="45"/>
        <v>0</v>
      </c>
      <c r="Q54" s="70">
        <f t="shared" si="5"/>
        <v>0</v>
      </c>
    </row>
    <row r="55" spans="1:18" s="85" customFormat="1" x14ac:dyDescent="0.6">
      <c r="C55" s="89"/>
      <c r="D55" s="89"/>
      <c r="E55" s="89"/>
      <c r="F55" s="959"/>
      <c r="G55" s="893"/>
      <c r="H55" s="913"/>
      <c r="I55" s="156"/>
      <c r="J55" s="156"/>
      <c r="K55" s="156">
        <f>(J55-E55)/(1+F55)</f>
        <v>0</v>
      </c>
      <c r="L55" s="156">
        <f t="shared" si="42"/>
        <v>0</v>
      </c>
      <c r="M55" s="952">
        <f t="shared" si="9"/>
        <v>0</v>
      </c>
      <c r="N55" s="70">
        <f t="shared" si="43"/>
        <v>0</v>
      </c>
      <c r="O55" s="70"/>
      <c r="P55" s="70"/>
    </row>
    <row r="56" spans="1:18" s="104" customFormat="1" x14ac:dyDescent="0.6">
      <c r="B56" s="104" t="s">
        <v>42</v>
      </c>
      <c r="C56" s="942"/>
      <c r="D56" s="942"/>
      <c r="E56" s="942"/>
      <c r="F56" s="959"/>
      <c r="G56" s="893">
        <f>SUM(G4:G55)</f>
        <v>10.299999999999997</v>
      </c>
      <c r="H56" s="951">
        <f>SUM(H4:H55)</f>
        <v>79230769.230769202</v>
      </c>
      <c r="I56" s="881"/>
      <c r="J56" s="156"/>
      <c r="K56" s="156">
        <f>(J56-E56)/(1+F56)</f>
        <v>0</v>
      </c>
      <c r="L56" s="881">
        <f t="shared" si="42"/>
        <v>0</v>
      </c>
      <c r="M56" s="952">
        <f t="shared" si="9"/>
        <v>0</v>
      </c>
      <c r="N56" s="593">
        <f>SUM(N4:N55)</f>
        <v>175100000</v>
      </c>
      <c r="O56" s="593">
        <f>SUM(O4:O55)</f>
        <v>175100000</v>
      </c>
      <c r="P56" s="593">
        <f>SUM(P4:P55)</f>
        <v>186569050</v>
      </c>
      <c r="Q56" s="593">
        <f>SUM(Q4:Q55)</f>
        <v>-11469049.999999996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60"/>
      <c r="G57" s="965"/>
      <c r="H57" s="954"/>
      <c r="I57" s="237"/>
      <c r="J57" s="237"/>
      <c r="K57" s="237">
        <f>(J57-E57)/(1+F57)</f>
        <v>0</v>
      </c>
      <c r="L57" s="237">
        <f t="shared" si="42"/>
        <v>0</v>
      </c>
      <c r="M57" s="955">
        <f t="shared" si="9"/>
        <v>0</v>
      </c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174"/>
      <c r="G58" s="178"/>
      <c r="I58" s="156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178"/>
      <c r="G59" s="1661" t="s">
        <v>1746</v>
      </c>
      <c r="H59" s="957">
        <f>LARGE($H$4:$H$54,1)</f>
        <v>20000000</v>
      </c>
      <c r="I59" s="156"/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/>
      <c r="D60" s="89"/>
      <c r="E60" s="89"/>
      <c r="F60" s="178"/>
      <c r="G60" s="1654" t="s">
        <v>1744</v>
      </c>
      <c r="H60" s="957">
        <f>LARGE($H$4:$H$54,2)</f>
        <v>10769230.769230768</v>
      </c>
      <c r="I60" s="156"/>
      <c r="J60" s="156"/>
      <c r="K60" s="156"/>
      <c r="L60" s="156"/>
      <c r="M60" s="156"/>
      <c r="N60" s="70"/>
      <c r="O60" s="70" t="s">
        <v>26</v>
      </c>
      <c r="P60" s="70">
        <f>N56-O56</f>
        <v>0</v>
      </c>
      <c r="Q60" s="881">
        <f>P60/$H$56</f>
        <v>0</v>
      </c>
    </row>
    <row r="61" spans="1:18" s="85" customFormat="1" x14ac:dyDescent="0.6">
      <c r="C61" s="89"/>
      <c r="D61" s="89"/>
      <c r="E61" s="89"/>
      <c r="F61" s="174"/>
      <c r="G61" s="1654" t="s">
        <v>1745</v>
      </c>
      <c r="H61" s="957">
        <f>LARGE($H$4:$H$54,3)</f>
        <v>10000000</v>
      </c>
      <c r="I61" s="156"/>
      <c r="J61" s="156"/>
      <c r="K61" s="156"/>
      <c r="L61" s="156"/>
      <c r="M61" s="156"/>
      <c r="N61" s="70"/>
      <c r="O61" s="70" t="s">
        <v>654</v>
      </c>
      <c r="P61" s="70">
        <f>P56-O56</f>
        <v>11469050</v>
      </c>
      <c r="Q61" s="881">
        <f>P61/$H$56</f>
        <v>0.14475500000000005</v>
      </c>
    </row>
    <row r="62" spans="1:18" s="85" customFormat="1" x14ac:dyDescent="0.6">
      <c r="C62" s="89"/>
      <c r="D62" s="89"/>
      <c r="E62" s="89"/>
      <c r="F62" s="174"/>
      <c r="G62" s="178"/>
      <c r="I62" s="156"/>
      <c r="J62" s="156"/>
      <c r="K62" s="156"/>
      <c r="L62" s="156"/>
      <c r="M62" s="156"/>
      <c r="N62" s="70"/>
      <c r="O62" s="70" t="s">
        <v>602</v>
      </c>
      <c r="P62" s="70">
        <f>P60-P61</f>
        <v>-11469050</v>
      </c>
      <c r="Q62" s="881">
        <f>P62/$H$56</f>
        <v>-0.14475500000000005</v>
      </c>
    </row>
    <row r="63" spans="1:18" s="85" customFormat="1" x14ac:dyDescent="0.6">
      <c r="C63" s="89"/>
      <c r="D63" s="89"/>
      <c r="E63" s="89"/>
      <c r="F63" s="174"/>
      <c r="G63" s="178"/>
      <c r="I63" s="156"/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174"/>
      <c r="G64" s="178"/>
      <c r="I64" s="156"/>
      <c r="J64" s="156"/>
      <c r="K64" s="156"/>
      <c r="L64" s="156"/>
      <c r="M64" s="156"/>
      <c r="N64" s="70"/>
      <c r="O64" s="70" t="s">
        <v>686</v>
      </c>
      <c r="Q64" s="506">
        <f>O56/H56</f>
        <v>2.2100000000000009</v>
      </c>
    </row>
    <row r="65" spans="3:18" s="85" customFormat="1" x14ac:dyDescent="0.6">
      <c r="C65" s="89"/>
      <c r="D65" s="89"/>
      <c r="E65" s="89"/>
      <c r="F65" s="174"/>
      <c r="G65" s="178"/>
      <c r="I65" s="156"/>
      <c r="J65" s="156"/>
      <c r="K65" s="156"/>
      <c r="L65" s="156"/>
      <c r="M65" s="156"/>
      <c r="N65" s="70"/>
      <c r="O65" s="70" t="s">
        <v>645</v>
      </c>
      <c r="Q65" s="506">
        <f>N56/H56</f>
        <v>2.2100000000000009</v>
      </c>
    </row>
    <row r="66" spans="3:18" s="85" customFormat="1" x14ac:dyDescent="0.6">
      <c r="C66" s="89"/>
      <c r="D66" s="89"/>
      <c r="E66" s="89"/>
      <c r="F66" s="174"/>
      <c r="G66" s="178"/>
      <c r="I66" s="156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174"/>
      <c r="G67" s="178"/>
      <c r="I67" s="156"/>
      <c r="J67" s="156"/>
      <c r="K67" s="156"/>
      <c r="L67" s="156"/>
      <c r="M67" s="156"/>
      <c r="N67" s="70"/>
      <c r="O67" s="17"/>
      <c r="P67" s="1"/>
      <c r="Q67" s="17"/>
      <c r="R67" s="826"/>
    </row>
    <row r="68" spans="3:18" s="85" customFormat="1" x14ac:dyDescent="0.6">
      <c r="C68" s="89"/>
      <c r="D68" s="89"/>
      <c r="E68" s="89"/>
      <c r="F68" s="174"/>
      <c r="G68" s="178"/>
      <c r="I68" s="156"/>
      <c r="J68" s="156"/>
      <c r="K68" s="156"/>
      <c r="L68" s="156"/>
      <c r="M68" s="156"/>
      <c r="N68" s="70"/>
      <c r="O68" s="1"/>
      <c r="P68" s="1"/>
      <c r="Q68" s="70"/>
      <c r="R68" s="17"/>
    </row>
    <row r="69" spans="3:18" s="85" customFormat="1" x14ac:dyDescent="0.6">
      <c r="C69" s="89"/>
      <c r="D69" s="89"/>
      <c r="E69" s="89"/>
      <c r="F69" s="174"/>
      <c r="G69" s="178"/>
      <c r="I69" s="156"/>
      <c r="J69" s="156"/>
      <c r="K69" s="156"/>
      <c r="L69" s="156"/>
      <c r="M69" s="156"/>
      <c r="N69" s="70"/>
      <c r="O69" s="1"/>
      <c r="P69" s="1"/>
      <c r="Q69" s="70"/>
      <c r="R69" s="17"/>
    </row>
    <row r="70" spans="3:18" s="85" customFormat="1" x14ac:dyDescent="0.6">
      <c r="C70" s="89"/>
      <c r="D70" s="89"/>
      <c r="E70" s="89"/>
      <c r="F70" s="174"/>
      <c r="G70" s="178"/>
      <c r="I70" s="156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174"/>
      <c r="G71" s="178"/>
      <c r="I71" s="156"/>
      <c r="J71" s="156"/>
      <c r="K71" s="156"/>
      <c r="L71" s="156"/>
      <c r="M71" s="156"/>
      <c r="N71" s="70"/>
      <c r="O71" s="1"/>
      <c r="P71" s="1"/>
      <c r="Q71" s="891"/>
      <c r="R71" s="929"/>
    </row>
    <row r="72" spans="3:18" s="85" customFormat="1" x14ac:dyDescent="0.6">
      <c r="C72" s="89"/>
      <c r="D72" s="89"/>
      <c r="E72" s="89"/>
      <c r="F72" s="174"/>
      <c r="G72" s="178"/>
      <c r="I72" s="156"/>
      <c r="J72" s="156"/>
      <c r="K72" s="156"/>
      <c r="L72" s="156"/>
      <c r="M72" s="156"/>
      <c r="N72" s="70"/>
      <c r="O72" s="1"/>
      <c r="P72" s="1"/>
      <c r="Q72" s="891"/>
      <c r="R72" s="929"/>
    </row>
    <row r="73" spans="3:18" s="85" customFormat="1" x14ac:dyDescent="0.6">
      <c r="C73" s="89"/>
      <c r="D73" s="89"/>
      <c r="E73" s="89"/>
      <c r="F73" s="174"/>
      <c r="G73" s="178"/>
      <c r="I73" s="156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174"/>
      <c r="G74" s="178"/>
      <c r="I74" s="156"/>
      <c r="J74" s="156"/>
      <c r="K74" s="156"/>
      <c r="L74" s="156"/>
      <c r="M74" s="156"/>
      <c r="N74" s="70"/>
      <c r="O74" s="1"/>
      <c r="P74" s="1"/>
      <c r="Q74" s="821"/>
      <c r="R74" s="17"/>
    </row>
    <row r="75" spans="3:18" s="85" customFormat="1" x14ac:dyDescent="0.6">
      <c r="C75" s="89"/>
      <c r="D75" s="89"/>
      <c r="E75" s="89"/>
      <c r="F75" s="174"/>
      <c r="G75" s="178"/>
      <c r="I75" s="156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174"/>
      <c r="G76" s="178"/>
      <c r="I76" s="156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174"/>
      <c r="G77" s="178"/>
      <c r="I77" s="156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174"/>
      <c r="G78" s="178"/>
      <c r="I78" s="156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174"/>
      <c r="G79" s="178"/>
      <c r="I79" s="156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85" customFormat="1" x14ac:dyDescent="0.6">
      <c r="C80" s="89"/>
      <c r="D80" s="89"/>
      <c r="E80" s="89"/>
      <c r="F80" s="174"/>
      <c r="G80" s="178"/>
      <c r="I80" s="156"/>
      <c r="J80" s="156"/>
      <c r="K80" s="156"/>
      <c r="L80" s="156"/>
      <c r="M80" s="156"/>
      <c r="N80" s="70"/>
      <c r="O80" s="17"/>
      <c r="P80" s="17"/>
      <c r="Q80" s="70"/>
      <c r="R80" s="1"/>
    </row>
    <row r="81" spans="3:16" s="85" customFormat="1" x14ac:dyDescent="0.6">
      <c r="C81" s="89"/>
      <c r="D81" s="89"/>
      <c r="E81" s="89"/>
      <c r="F81" s="174"/>
      <c r="G81" s="178"/>
      <c r="I81" s="156"/>
      <c r="J81" s="156"/>
      <c r="K81" s="156"/>
      <c r="L81" s="156"/>
      <c r="M81" s="156"/>
      <c r="N81" s="70"/>
      <c r="O81" s="70"/>
      <c r="P81" s="70"/>
    </row>
    <row r="82" spans="3:16" s="85" customFormat="1" x14ac:dyDescent="0.6">
      <c r="C82" s="89"/>
      <c r="D82" s="89"/>
      <c r="E82" s="89"/>
      <c r="F82" s="174"/>
      <c r="G82" s="178"/>
      <c r="I82" s="156"/>
      <c r="J82" s="156"/>
      <c r="K82" s="156"/>
      <c r="L82" s="156"/>
      <c r="M82" s="156"/>
      <c r="N82" s="70"/>
      <c r="O82" s="70"/>
      <c r="P82" s="70"/>
    </row>
    <row r="83" spans="3:16" s="85" customFormat="1" x14ac:dyDescent="0.6">
      <c r="C83" s="89"/>
      <c r="D83" s="89"/>
      <c r="E83" s="89"/>
      <c r="F83" s="174"/>
      <c r="G83" s="178"/>
      <c r="I83" s="156"/>
      <c r="J83" s="156"/>
      <c r="K83" s="156"/>
      <c r="L83" s="156"/>
      <c r="M83" s="156"/>
      <c r="N83" s="70"/>
      <c r="O83" s="70"/>
      <c r="P83" s="70"/>
    </row>
    <row r="84" spans="3:16" s="85" customFormat="1" x14ac:dyDescent="0.6">
      <c r="C84" s="89"/>
      <c r="D84" s="89"/>
      <c r="E84" s="89"/>
      <c r="F84" s="174"/>
      <c r="G84" s="178"/>
      <c r="I84" s="156"/>
      <c r="J84" s="156"/>
      <c r="K84" s="156"/>
      <c r="L84" s="156"/>
      <c r="M84" s="156"/>
      <c r="N84" s="70"/>
      <c r="O84" s="70"/>
      <c r="P84" s="70"/>
    </row>
    <row r="85" spans="3:16" s="85" customFormat="1" x14ac:dyDescent="0.6">
      <c r="C85" s="89"/>
      <c r="D85" s="89"/>
      <c r="E85" s="89"/>
      <c r="F85" s="174"/>
      <c r="G85" s="178"/>
      <c r="I85" s="156"/>
      <c r="J85" s="156"/>
      <c r="K85" s="156"/>
      <c r="L85" s="156"/>
      <c r="M85" s="156"/>
      <c r="N85" s="70"/>
      <c r="O85" s="70"/>
      <c r="P85" s="70"/>
    </row>
    <row r="86" spans="3:16" s="85" customFormat="1" x14ac:dyDescent="0.6">
      <c r="C86" s="89"/>
      <c r="D86" s="89"/>
      <c r="E86" s="89"/>
      <c r="F86" s="174"/>
      <c r="G86" s="178"/>
      <c r="I86" s="156"/>
      <c r="J86" s="156"/>
      <c r="K86" s="156"/>
      <c r="L86" s="156"/>
      <c r="M86" s="156"/>
      <c r="N86" s="70"/>
      <c r="O86" s="70"/>
      <c r="P86" s="7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0.84765625" style="7" bestFit="1" customWidth="1"/>
    <col min="7" max="7" width="11.09765625" style="1" bestFit="1" customWidth="1"/>
    <col min="8" max="8" width="11.09765625" style="10" bestFit="1" customWidth="1"/>
    <col min="9" max="9" width="12.5" style="5" bestFit="1" customWidth="1"/>
    <col min="10" max="10" width="13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customWidth="1"/>
    <col min="20" max="20" width="19.59765625" style="57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8.5" style="17" bestFit="1" customWidth="1"/>
    <col min="25" max="25" width="17.5" style="10" bestFit="1" customWidth="1"/>
    <col min="26" max="26" width="10.84765625" style="1"/>
    <col min="27" max="27" width="21.5" style="1" customWidth="1"/>
    <col min="28" max="28" width="10.84765625" style="1"/>
    <col min="29" max="29" width="10.84765625" style="1266"/>
    <col min="30" max="16384" width="10.84765625" style="1"/>
  </cols>
  <sheetData>
    <row r="1" spans="1:29" x14ac:dyDescent="0.6">
      <c r="A1" s="24" t="s">
        <v>1185</v>
      </c>
      <c r="C1" s="19" t="s">
        <v>855</v>
      </c>
      <c r="D1" s="239"/>
      <c r="E1" s="107"/>
      <c r="J1" s="54"/>
    </row>
    <row r="2" spans="1:29" s="2" customFormat="1" x14ac:dyDescent="0.6">
      <c r="A2" s="24" t="s">
        <v>196</v>
      </c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6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881</v>
      </c>
      <c r="S2" s="114"/>
      <c r="T2" s="58" t="s">
        <v>622</v>
      </c>
      <c r="U2" s="18" t="s">
        <v>42</v>
      </c>
      <c r="V2" s="18"/>
      <c r="W2" s="11" t="s">
        <v>645</v>
      </c>
      <c r="X2" s="18"/>
      <c r="Y2" s="11"/>
      <c r="AB2" s="2" t="s">
        <v>1194</v>
      </c>
      <c r="AC2" s="1266"/>
    </row>
    <row r="3" spans="1:29" s="2" customFormat="1" x14ac:dyDescent="0.6">
      <c r="C3" s="14" t="s">
        <v>93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707</v>
      </c>
      <c r="U3" s="18" t="s">
        <v>77</v>
      </c>
      <c r="V3" s="18" t="s">
        <v>34</v>
      </c>
      <c r="W3" s="11" t="s">
        <v>639</v>
      </c>
      <c r="X3" s="18" t="s">
        <v>642</v>
      </c>
      <c r="Y3" s="11"/>
      <c r="AB3" s="2" t="s">
        <v>1195</v>
      </c>
      <c r="AC3" s="1266"/>
    </row>
    <row r="4" spans="1:29" x14ac:dyDescent="0.6">
      <c r="A4" s="61">
        <v>1</v>
      </c>
      <c r="B4" s="44" t="s">
        <v>37</v>
      </c>
      <c r="C4" s="290">
        <v>38</v>
      </c>
      <c r="D4" s="345">
        <f>C4*Assumptions!$C$24</f>
        <v>12337080</v>
      </c>
      <c r="E4" s="399">
        <v>1</v>
      </c>
      <c r="F4" s="297">
        <f>Assumptions!$C$115</f>
        <v>3.7854100000000002</v>
      </c>
      <c r="G4" s="389"/>
      <c r="H4" s="301">
        <f>1.71+Assumptions!$C$25</f>
        <v>2.21</v>
      </c>
      <c r="I4" s="87"/>
      <c r="J4" s="306"/>
      <c r="K4" s="329"/>
      <c r="L4" s="329">
        <f>K4*H4</f>
        <v>0</v>
      </c>
      <c r="M4" s="329">
        <f>L4*I4</f>
        <v>0</v>
      </c>
      <c r="N4" s="313"/>
      <c r="O4" s="314">
        <f>AD55*H4*D4</f>
        <v>1820086.6708266665</v>
      </c>
      <c r="P4" s="1053">
        <f>AD55*H4</f>
        <v>0.14752977777777776</v>
      </c>
      <c r="Q4" s="1047">
        <f>P4*D4</f>
        <v>1820086.6708266665</v>
      </c>
      <c r="R4" s="310"/>
      <c r="S4" s="366">
        <f>D4*R4</f>
        <v>0</v>
      </c>
      <c r="T4" s="336">
        <f>-'OECD other kero subsidies'!E2</f>
        <v>0</v>
      </c>
      <c r="U4" s="342">
        <f>T4*E4</f>
        <v>0</v>
      </c>
      <c r="V4" s="111">
        <f>S4+U4</f>
        <v>0</v>
      </c>
      <c r="W4" s="320">
        <f>(H4+J4)*(1+K4)</f>
        <v>2.21</v>
      </c>
      <c r="X4" s="342">
        <f>W4*D4+U4</f>
        <v>27264946.800000001</v>
      </c>
      <c r="AA4" s="1" t="s">
        <v>178</v>
      </c>
      <c r="AC4" s="1266">
        <v>8.9099999999999999E-2</v>
      </c>
    </row>
    <row r="5" spans="1:29" s="2" customFormat="1" x14ac:dyDescent="0.6">
      <c r="A5" s="40" t="s">
        <v>640</v>
      </c>
      <c r="B5" s="40"/>
      <c r="C5" s="356"/>
      <c r="D5" s="346"/>
      <c r="E5" s="418"/>
      <c r="F5" s="298"/>
      <c r="G5" s="385"/>
      <c r="H5" s="302"/>
      <c r="I5" s="42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  <c r="Y5" s="11"/>
      <c r="AA5" s="256" t="s">
        <v>188</v>
      </c>
      <c r="AB5" s="2">
        <v>0</v>
      </c>
      <c r="AC5" s="1266">
        <v>1.7600000000000001E-2</v>
      </c>
    </row>
    <row r="6" spans="1:29" x14ac:dyDescent="0.6">
      <c r="A6" s="46">
        <f>A4+1</f>
        <v>2</v>
      </c>
      <c r="B6" s="44" t="s">
        <v>0</v>
      </c>
      <c r="C6" s="290">
        <v>11</v>
      </c>
      <c r="D6" s="345">
        <f>C6*Assumptions!$C$24</f>
        <v>3571260</v>
      </c>
      <c r="E6" s="391">
        <f>Assumptions!$H$3</f>
        <v>1.1863330000000001</v>
      </c>
      <c r="F6" s="297">
        <f>Assumptions!$C$115</f>
        <v>3.7854100000000002</v>
      </c>
      <c r="G6" s="422"/>
      <c r="H6" s="1077">
        <f>IF(C6=0,0,Assumptions!$C$96)</f>
        <v>2.5</v>
      </c>
      <c r="I6" s="427">
        <f>22.7412/1000</f>
        <v>2.27412E-2</v>
      </c>
      <c r="J6" s="286">
        <f>I6*F6*E6</f>
        <v>0.10212519857495406</v>
      </c>
      <c r="K6" s="322">
        <v>0.21</v>
      </c>
      <c r="L6" s="329">
        <f t="shared" ref="L6:L26" si="0">K6*H6</f>
        <v>0.52500000000000002</v>
      </c>
      <c r="M6" s="281">
        <f t="shared" ref="M6:M26" si="1">K6*J6</f>
        <v>2.144629170074035E-2</v>
      </c>
      <c r="N6" s="281">
        <f t="shared" ref="N6:N26" si="2">M6+L6</f>
        <v>0.54644629170074033</v>
      </c>
      <c r="O6" s="314">
        <f t="shared" ref="O6:O26" si="3">L6*D6</f>
        <v>1874911.5</v>
      </c>
      <c r="P6" s="1053">
        <f t="shared" ref="P6:P39" si="4">J6+N6</f>
        <v>0.64857149027569438</v>
      </c>
      <c r="Q6" s="1047">
        <f t="shared" ref="Q6:Q26" si="5">P6*D6</f>
        <v>2316217.4203619761</v>
      </c>
      <c r="R6" s="268">
        <f t="shared" ref="R6:R26" si="6">M6+J6</f>
        <v>0.1235714902756944</v>
      </c>
      <c r="S6" s="366">
        <f t="shared" ref="S6:S26" si="7">D6*R6</f>
        <v>441305.92036197637</v>
      </c>
      <c r="T6" s="336">
        <f>-'OECD other kero subsidies'!E9</f>
        <v>-11087347.75</v>
      </c>
      <c r="U6" s="342">
        <f t="shared" ref="U6:U26" si="8">T6*E6</f>
        <v>-13153286.518300751</v>
      </c>
      <c r="V6" s="111">
        <f t="shared" ref="V6:V26" si="9">S6+U6</f>
        <v>-12711980.597938774</v>
      </c>
      <c r="W6" s="281">
        <f t="shared" ref="W6:W25" si="10">(H6+J6)*(1+K6)</f>
        <v>3.1485714902756938</v>
      </c>
      <c r="X6" s="342">
        <f t="shared" ref="X6:X26" si="11">W6*D6+U6</f>
        <v>-1908919.097938776</v>
      </c>
      <c r="AA6" s="1" t="s">
        <v>181</v>
      </c>
      <c r="AB6" s="1">
        <v>0</v>
      </c>
      <c r="AC6" s="1266">
        <v>8.1699999999999995E-2</v>
      </c>
    </row>
    <row r="7" spans="1:29" x14ac:dyDescent="0.6">
      <c r="A7" s="46">
        <f t="shared" ref="A7:A26" si="12">A6+1</f>
        <v>3</v>
      </c>
      <c r="B7" s="44" t="s">
        <v>1</v>
      </c>
      <c r="C7" s="290">
        <v>0</v>
      </c>
      <c r="D7" s="345">
        <f>C7*Assumptions!$C$24</f>
        <v>0</v>
      </c>
      <c r="E7" s="391">
        <f>Assumptions!$H$15</f>
        <v>4.5997000000000003E-2</v>
      </c>
      <c r="F7" s="297">
        <f>Assumptions!$C$115</f>
        <v>3.7854100000000002</v>
      </c>
      <c r="G7" s="386"/>
      <c r="H7" s="1077">
        <f>IF(C7=0,0,Assumptions!$C$96)</f>
        <v>0</v>
      </c>
      <c r="I7" s="428"/>
      <c r="J7" s="286">
        <f t="shared" ref="J7:J34" si="13">I7*F7*E7</f>
        <v>0</v>
      </c>
      <c r="K7" s="322">
        <v>0.21</v>
      </c>
      <c r="L7" s="329">
        <f t="shared" si="0"/>
        <v>0</v>
      </c>
      <c r="M7" s="281">
        <f t="shared" si="1"/>
        <v>0</v>
      </c>
      <c r="N7" s="281">
        <f t="shared" si="2"/>
        <v>0</v>
      </c>
      <c r="O7" s="314">
        <f t="shared" si="3"/>
        <v>0</v>
      </c>
      <c r="P7" s="1053">
        <f t="shared" si="4"/>
        <v>0</v>
      </c>
      <c r="Q7" s="1047">
        <f t="shared" si="5"/>
        <v>0</v>
      </c>
      <c r="R7" s="268">
        <f t="shared" si="6"/>
        <v>0</v>
      </c>
      <c r="S7" s="366">
        <f t="shared" si="7"/>
        <v>0</v>
      </c>
      <c r="T7" s="336">
        <f>-'OECD other kero subsidies'!E14</f>
        <v>0</v>
      </c>
      <c r="U7" s="342">
        <f t="shared" si="8"/>
        <v>0</v>
      </c>
      <c r="V7" s="111">
        <f t="shared" si="9"/>
        <v>0</v>
      </c>
      <c r="W7" s="281">
        <f t="shared" si="10"/>
        <v>0</v>
      </c>
      <c r="X7" s="342">
        <f t="shared" si="11"/>
        <v>0</v>
      </c>
      <c r="AA7" s="1" t="s">
        <v>176</v>
      </c>
      <c r="AB7" s="1">
        <v>0</v>
      </c>
      <c r="AC7" s="1266">
        <v>9.2600000000000002E-2</v>
      </c>
    </row>
    <row r="8" spans="1:29" x14ac:dyDescent="0.6">
      <c r="A8" s="46">
        <f t="shared" si="12"/>
        <v>4</v>
      </c>
      <c r="B8" s="44" t="s">
        <v>2</v>
      </c>
      <c r="C8" s="290">
        <v>0</v>
      </c>
      <c r="D8" s="345">
        <f>C8*Assumptions!$C$24</f>
        <v>0</v>
      </c>
      <c r="E8" s="391">
        <f>Assumptions!$H$16</f>
        <v>0.15934999999999999</v>
      </c>
      <c r="F8" s="297">
        <f>Assumptions!$C$115</f>
        <v>3.7854100000000002</v>
      </c>
      <c r="G8" s="423"/>
      <c r="H8" s="1077">
        <f>IF(C8=0,0,Assumptions!$C$96)</f>
        <v>0</v>
      </c>
      <c r="I8" s="437"/>
      <c r="J8" s="286">
        <f t="shared" si="13"/>
        <v>0</v>
      </c>
      <c r="K8" s="322">
        <v>0.25</v>
      </c>
      <c r="L8" s="329">
        <f t="shared" si="0"/>
        <v>0</v>
      </c>
      <c r="M8" s="281">
        <f t="shared" si="1"/>
        <v>0</v>
      </c>
      <c r="N8" s="281">
        <f t="shared" si="2"/>
        <v>0</v>
      </c>
      <c r="O8" s="314">
        <f t="shared" si="3"/>
        <v>0</v>
      </c>
      <c r="P8" s="1053">
        <f t="shared" si="4"/>
        <v>0</v>
      </c>
      <c r="Q8" s="1047">
        <f t="shared" si="5"/>
        <v>0</v>
      </c>
      <c r="R8" s="268">
        <f t="shared" si="6"/>
        <v>0</v>
      </c>
      <c r="S8" s="366">
        <f t="shared" si="7"/>
        <v>0</v>
      </c>
      <c r="T8" s="336">
        <f>-'OECD other kero subsidies'!E16</f>
        <v>0</v>
      </c>
      <c r="U8" s="342">
        <f t="shared" si="8"/>
        <v>0</v>
      </c>
      <c r="V8" s="111">
        <f t="shared" si="9"/>
        <v>0</v>
      </c>
      <c r="W8" s="281">
        <f t="shared" si="10"/>
        <v>0</v>
      </c>
      <c r="X8" s="342">
        <f t="shared" si="11"/>
        <v>0</v>
      </c>
      <c r="AA8" s="1" t="s">
        <v>142</v>
      </c>
      <c r="AB8" s="1">
        <v>0</v>
      </c>
      <c r="AC8" s="1266">
        <v>8.4400000000000003E-2</v>
      </c>
    </row>
    <row r="9" spans="1:29" x14ac:dyDescent="0.6">
      <c r="A9" s="46">
        <f t="shared" si="12"/>
        <v>5</v>
      </c>
      <c r="B9" s="44" t="s">
        <v>3</v>
      </c>
      <c r="C9" s="290">
        <v>0</v>
      </c>
      <c r="D9" s="345">
        <f>C9*Assumptions!$C$24</f>
        <v>0</v>
      </c>
      <c r="E9" s="391">
        <f>Assumptions!$H$3</f>
        <v>1.1863330000000001</v>
      </c>
      <c r="F9" s="297">
        <f>Assumptions!$C$115</f>
        <v>3.7854100000000002</v>
      </c>
      <c r="G9" s="422"/>
      <c r="H9" s="1077">
        <f>IF(C9=0,0,Assumptions!$C$96)</f>
        <v>0</v>
      </c>
      <c r="I9" s="434"/>
      <c r="J9" s="286">
        <f t="shared" si="13"/>
        <v>0</v>
      </c>
      <c r="K9" s="322">
        <v>0.19</v>
      </c>
      <c r="L9" s="329">
        <f t="shared" si="0"/>
        <v>0</v>
      </c>
      <c r="M9" s="281">
        <f t="shared" si="1"/>
        <v>0</v>
      </c>
      <c r="N9" s="281">
        <f t="shared" si="2"/>
        <v>0</v>
      </c>
      <c r="O9" s="314">
        <f t="shared" si="3"/>
        <v>0</v>
      </c>
      <c r="P9" s="1053">
        <f t="shared" si="4"/>
        <v>0</v>
      </c>
      <c r="Q9" s="1047">
        <f t="shared" si="5"/>
        <v>0</v>
      </c>
      <c r="R9" s="268">
        <f t="shared" si="6"/>
        <v>0</v>
      </c>
      <c r="S9" s="366">
        <f t="shared" si="7"/>
        <v>0</v>
      </c>
      <c r="T9" s="336">
        <f>-'OECD other kero subsidies'!E18</f>
        <v>0</v>
      </c>
      <c r="U9" s="342">
        <f t="shared" si="8"/>
        <v>0</v>
      </c>
      <c r="V9" s="111">
        <f t="shared" si="9"/>
        <v>0</v>
      </c>
      <c r="W9" s="281">
        <f t="shared" si="10"/>
        <v>0</v>
      </c>
      <c r="X9" s="342">
        <f t="shared" si="11"/>
        <v>0</v>
      </c>
      <c r="AA9" s="1" t="s">
        <v>175</v>
      </c>
      <c r="AB9" s="1">
        <v>0</v>
      </c>
      <c r="AC9" s="1266">
        <v>7.4399999999999994E-2</v>
      </c>
    </row>
    <row r="10" spans="1:29" x14ac:dyDescent="0.6">
      <c r="A10" s="46">
        <f t="shared" si="12"/>
        <v>6</v>
      </c>
      <c r="B10" s="44" t="s">
        <v>4</v>
      </c>
      <c r="C10" s="290">
        <v>0</v>
      </c>
      <c r="D10" s="345">
        <f>C10*Assumptions!$C$24</f>
        <v>0</v>
      </c>
      <c r="E10" s="391">
        <f>Assumptions!$H$3</f>
        <v>1.1863330000000001</v>
      </c>
      <c r="F10" s="297">
        <f>Assumptions!$C$115</f>
        <v>3.7854100000000002</v>
      </c>
      <c r="G10" s="422"/>
      <c r="H10" s="1077">
        <f>IF(C10=0,0,Assumptions!$C$96)</f>
        <v>0</v>
      </c>
      <c r="I10" s="434"/>
      <c r="J10" s="286">
        <f t="shared" si="13"/>
        <v>0</v>
      </c>
      <c r="K10" s="322">
        <v>0.2</v>
      </c>
      <c r="L10" s="329">
        <f t="shared" si="0"/>
        <v>0</v>
      </c>
      <c r="M10" s="281">
        <f t="shared" si="1"/>
        <v>0</v>
      </c>
      <c r="N10" s="281">
        <f t="shared" si="2"/>
        <v>0</v>
      </c>
      <c r="O10" s="314">
        <f t="shared" si="3"/>
        <v>0</v>
      </c>
      <c r="P10" s="1053">
        <f t="shared" si="4"/>
        <v>0</v>
      </c>
      <c r="Q10" s="1047">
        <f t="shared" si="5"/>
        <v>0</v>
      </c>
      <c r="R10" s="268">
        <f t="shared" si="6"/>
        <v>0</v>
      </c>
      <c r="S10" s="366">
        <f t="shared" si="7"/>
        <v>0</v>
      </c>
      <c r="T10" s="336">
        <f>-'OECD other kero subsidies'!E20</f>
        <v>0</v>
      </c>
      <c r="U10" s="342">
        <f t="shared" si="8"/>
        <v>0</v>
      </c>
      <c r="V10" s="111">
        <f t="shared" si="9"/>
        <v>0</v>
      </c>
      <c r="W10" s="281">
        <f t="shared" si="10"/>
        <v>0</v>
      </c>
      <c r="X10" s="342">
        <f t="shared" si="11"/>
        <v>0</v>
      </c>
      <c r="AA10" s="1" t="s">
        <v>143</v>
      </c>
      <c r="AB10" s="1">
        <v>0</v>
      </c>
      <c r="AC10" s="1266">
        <v>6.3500000000000001E-2</v>
      </c>
    </row>
    <row r="11" spans="1:29" x14ac:dyDescent="0.6">
      <c r="A11" s="46">
        <f t="shared" si="12"/>
        <v>7</v>
      </c>
      <c r="B11" s="44" t="s">
        <v>5</v>
      </c>
      <c r="C11" s="290">
        <v>0</v>
      </c>
      <c r="D11" s="345">
        <f>C11*Assumptions!$C$24</f>
        <v>0</v>
      </c>
      <c r="E11" s="391">
        <f>Assumptions!$H$3</f>
        <v>1.1863330000000001</v>
      </c>
      <c r="F11" s="297">
        <f>Assumptions!$C$115</f>
        <v>3.7854100000000002</v>
      </c>
      <c r="G11" s="422"/>
      <c r="H11" s="1077">
        <f>IF(C11=0,0,Assumptions!$C$96)</f>
        <v>0</v>
      </c>
      <c r="I11" s="434"/>
      <c r="J11" s="286">
        <f t="shared" si="13"/>
        <v>0</v>
      </c>
      <c r="K11" s="322">
        <v>0.23</v>
      </c>
      <c r="L11" s="329">
        <f t="shared" si="0"/>
        <v>0</v>
      </c>
      <c r="M11" s="281">
        <f t="shared" si="1"/>
        <v>0</v>
      </c>
      <c r="N11" s="281">
        <f t="shared" si="2"/>
        <v>0</v>
      </c>
      <c r="O11" s="314">
        <f t="shared" si="3"/>
        <v>0</v>
      </c>
      <c r="P11" s="1053">
        <f t="shared" si="4"/>
        <v>0</v>
      </c>
      <c r="Q11" s="1047">
        <f t="shared" si="5"/>
        <v>0</v>
      </c>
      <c r="R11" s="268">
        <f t="shared" si="6"/>
        <v>0</v>
      </c>
      <c r="S11" s="366">
        <f t="shared" si="7"/>
        <v>0</v>
      </c>
      <c r="T11" s="336">
        <f>-'OECD other kero subsidies'!E22</f>
        <v>0</v>
      </c>
      <c r="U11" s="342">
        <f t="shared" si="8"/>
        <v>0</v>
      </c>
      <c r="V11" s="111">
        <f t="shared" si="9"/>
        <v>0</v>
      </c>
      <c r="W11" s="281">
        <f t="shared" si="10"/>
        <v>0</v>
      </c>
      <c r="X11" s="342">
        <f t="shared" si="11"/>
        <v>0</v>
      </c>
      <c r="AA11" s="1" t="s">
        <v>172</v>
      </c>
      <c r="AB11" s="1">
        <v>0</v>
      </c>
      <c r="AC11" s="1266">
        <v>0</v>
      </c>
    </row>
    <row r="12" spans="1:29" x14ac:dyDescent="0.6">
      <c r="A12" s="46">
        <f t="shared" si="12"/>
        <v>8</v>
      </c>
      <c r="B12" s="44" t="s">
        <v>6</v>
      </c>
      <c r="C12" s="290">
        <v>0</v>
      </c>
      <c r="D12" s="345">
        <f>C12*Assumptions!$C$24</f>
        <v>0</v>
      </c>
      <c r="E12" s="391">
        <f>Assumptions!$H$3</f>
        <v>1.1863330000000001</v>
      </c>
      <c r="F12" s="297">
        <f>Assumptions!$C$115</f>
        <v>3.7854100000000002</v>
      </c>
      <c r="G12" s="422"/>
      <c r="H12" s="1077">
        <f>IF(C12=0,0,Assumptions!$C$96)</f>
        <v>0</v>
      </c>
      <c r="I12" s="434"/>
      <c r="J12" s="286">
        <f t="shared" si="13"/>
        <v>0</v>
      </c>
      <c r="K12" s="322">
        <v>0.21</v>
      </c>
      <c r="L12" s="329">
        <f t="shared" si="0"/>
        <v>0</v>
      </c>
      <c r="M12" s="281">
        <f t="shared" si="1"/>
        <v>0</v>
      </c>
      <c r="N12" s="281">
        <f t="shared" si="2"/>
        <v>0</v>
      </c>
      <c r="O12" s="314">
        <f t="shared" si="3"/>
        <v>0</v>
      </c>
      <c r="P12" s="1053">
        <f t="shared" si="4"/>
        <v>0</v>
      </c>
      <c r="Q12" s="1047">
        <f t="shared" si="5"/>
        <v>0</v>
      </c>
      <c r="R12" s="268">
        <f t="shared" si="6"/>
        <v>0</v>
      </c>
      <c r="S12" s="366">
        <f t="shared" si="7"/>
        <v>0</v>
      </c>
      <c r="T12" s="336">
        <f>-'OECD other kero subsidies'!E24</f>
        <v>0</v>
      </c>
      <c r="U12" s="342">
        <f t="shared" si="8"/>
        <v>0</v>
      </c>
      <c r="V12" s="111">
        <f t="shared" si="9"/>
        <v>0</v>
      </c>
      <c r="W12" s="281">
        <f t="shared" si="10"/>
        <v>0</v>
      </c>
      <c r="X12" s="342">
        <f t="shared" si="11"/>
        <v>0</v>
      </c>
      <c r="AA12" s="1" t="s">
        <v>171</v>
      </c>
      <c r="AB12" s="1">
        <v>0</v>
      </c>
      <c r="AC12" s="1266">
        <v>5.7500000000000002E-2</v>
      </c>
    </row>
    <row r="13" spans="1:29" x14ac:dyDescent="0.6">
      <c r="A13" s="46">
        <f t="shared" si="12"/>
        <v>9</v>
      </c>
      <c r="B13" s="44" t="s">
        <v>7</v>
      </c>
      <c r="C13" s="290">
        <v>0</v>
      </c>
      <c r="D13" s="345">
        <f>C13*Assumptions!$C$24</f>
        <v>0</v>
      </c>
      <c r="E13" s="391">
        <f>Assumptions!$H$3</f>
        <v>1.1863330000000001</v>
      </c>
      <c r="F13" s="297">
        <f>Assumptions!$C$115</f>
        <v>3.7854100000000002</v>
      </c>
      <c r="G13" s="422"/>
      <c r="H13" s="1077">
        <f>IF(C13=0,0,Assumptions!$C$96)</f>
        <v>0</v>
      </c>
      <c r="I13" s="434"/>
      <c r="J13" s="286">
        <f t="shared" si="13"/>
        <v>0</v>
      </c>
      <c r="K13" s="322">
        <v>0.2</v>
      </c>
      <c r="L13" s="329">
        <f t="shared" si="0"/>
        <v>0</v>
      </c>
      <c r="M13" s="281">
        <f t="shared" si="1"/>
        <v>0</v>
      </c>
      <c r="N13" s="281">
        <f t="shared" si="2"/>
        <v>0</v>
      </c>
      <c r="O13" s="314">
        <f t="shared" si="3"/>
        <v>0</v>
      </c>
      <c r="P13" s="1053">
        <f t="shared" si="4"/>
        <v>0</v>
      </c>
      <c r="Q13" s="1047">
        <f t="shared" si="5"/>
        <v>0</v>
      </c>
      <c r="R13" s="268">
        <f t="shared" si="6"/>
        <v>0</v>
      </c>
      <c r="S13" s="366">
        <f t="shared" si="7"/>
        <v>0</v>
      </c>
      <c r="T13" s="336">
        <f>-'OECD other kero subsidies'!E26</f>
        <v>0</v>
      </c>
      <c r="U13" s="342">
        <f t="shared" si="8"/>
        <v>0</v>
      </c>
      <c r="V13" s="111">
        <f t="shared" si="9"/>
        <v>0</v>
      </c>
      <c r="W13" s="281">
        <f t="shared" si="10"/>
        <v>0</v>
      </c>
      <c r="X13" s="342">
        <f t="shared" si="11"/>
        <v>0</v>
      </c>
      <c r="AA13" s="1" t="s">
        <v>144</v>
      </c>
      <c r="AB13" s="1">
        <v>0</v>
      </c>
      <c r="AC13" s="1266">
        <v>6.6500000000000004E-2</v>
      </c>
    </row>
    <row r="14" spans="1:29" x14ac:dyDescent="0.6">
      <c r="A14" s="46">
        <f t="shared" si="12"/>
        <v>10</v>
      </c>
      <c r="B14" s="44" t="s">
        <v>8</v>
      </c>
      <c r="C14" s="290">
        <v>0</v>
      </c>
      <c r="D14" s="345">
        <f>C14*Assumptions!$C$24</f>
        <v>0</v>
      </c>
      <c r="E14" s="391">
        <f>Assumptions!$H$3</f>
        <v>1.1863330000000001</v>
      </c>
      <c r="F14" s="297">
        <f>Assumptions!$C$115</f>
        <v>3.7854100000000002</v>
      </c>
      <c r="G14" s="422"/>
      <c r="H14" s="1077">
        <f>IF(C14=0,0,Assumptions!$C$96)</f>
        <v>0</v>
      </c>
      <c r="I14" s="434"/>
      <c r="J14" s="286">
        <f t="shared" si="13"/>
        <v>0</v>
      </c>
      <c r="K14" s="322">
        <v>0.23</v>
      </c>
      <c r="L14" s="329">
        <f t="shared" si="0"/>
        <v>0</v>
      </c>
      <c r="M14" s="281">
        <f t="shared" si="1"/>
        <v>0</v>
      </c>
      <c r="N14" s="281">
        <f t="shared" si="2"/>
        <v>0</v>
      </c>
      <c r="O14" s="314">
        <f t="shared" si="3"/>
        <v>0</v>
      </c>
      <c r="P14" s="1053">
        <f t="shared" si="4"/>
        <v>0</v>
      </c>
      <c r="Q14" s="1047">
        <f t="shared" si="5"/>
        <v>0</v>
      </c>
      <c r="R14" s="268">
        <f t="shared" si="6"/>
        <v>0</v>
      </c>
      <c r="S14" s="366">
        <f t="shared" si="7"/>
        <v>0</v>
      </c>
      <c r="T14" s="336">
        <f>-'OECD other kero subsidies'!E28</f>
        <v>0</v>
      </c>
      <c r="U14" s="342">
        <f t="shared" si="8"/>
        <v>0</v>
      </c>
      <c r="V14" s="111">
        <f t="shared" si="9"/>
        <v>0</v>
      </c>
      <c r="W14" s="281">
        <f t="shared" si="10"/>
        <v>0</v>
      </c>
      <c r="X14" s="342">
        <f t="shared" si="11"/>
        <v>0</v>
      </c>
      <c r="AA14" s="1" t="s">
        <v>154</v>
      </c>
      <c r="AB14" s="1">
        <v>0</v>
      </c>
      <c r="AC14" s="1266">
        <v>6.9599999999999995E-2</v>
      </c>
    </row>
    <row r="15" spans="1:29" x14ac:dyDescent="0.6">
      <c r="A15" s="46">
        <f t="shared" si="12"/>
        <v>11</v>
      </c>
      <c r="B15" s="44" t="s">
        <v>9</v>
      </c>
      <c r="C15" s="290">
        <v>0</v>
      </c>
      <c r="D15" s="345">
        <f>C15*Assumptions!$C$24</f>
        <v>0</v>
      </c>
      <c r="E15" s="391">
        <f>Assumptions!$H$3</f>
        <v>1.1863330000000001</v>
      </c>
      <c r="F15" s="297">
        <f>Assumptions!$C$115</f>
        <v>3.7854100000000002</v>
      </c>
      <c r="G15" s="422"/>
      <c r="H15" s="1077">
        <f>IF(C15=0,0,Assumptions!$C$96)</f>
        <v>0</v>
      </c>
      <c r="I15" s="434"/>
      <c r="J15" s="286">
        <f t="shared" si="13"/>
        <v>0</v>
      </c>
      <c r="K15" s="322">
        <v>0.22</v>
      </c>
      <c r="L15" s="329">
        <f t="shared" si="0"/>
        <v>0</v>
      </c>
      <c r="M15" s="281">
        <f t="shared" si="1"/>
        <v>0</v>
      </c>
      <c r="N15" s="281">
        <f t="shared" si="2"/>
        <v>0</v>
      </c>
      <c r="O15" s="314">
        <f t="shared" si="3"/>
        <v>0</v>
      </c>
      <c r="P15" s="1053">
        <f t="shared" si="4"/>
        <v>0</v>
      </c>
      <c r="Q15" s="1047">
        <f t="shared" si="5"/>
        <v>0</v>
      </c>
      <c r="R15" s="268">
        <f t="shared" si="6"/>
        <v>0</v>
      </c>
      <c r="S15" s="366">
        <f t="shared" si="7"/>
        <v>0</v>
      </c>
      <c r="T15" s="336">
        <f>-'OECD other kero subsidies'!E30</f>
        <v>-61847.333333333336</v>
      </c>
      <c r="U15" s="342">
        <f t="shared" si="8"/>
        <v>-73371.532495333347</v>
      </c>
      <c r="V15" s="111">
        <f t="shared" si="9"/>
        <v>-73371.532495333347</v>
      </c>
      <c r="W15" s="281">
        <f t="shared" si="10"/>
        <v>0</v>
      </c>
      <c r="X15" s="342">
        <f t="shared" si="11"/>
        <v>-73371.532495333347</v>
      </c>
      <c r="AA15" s="1" t="s">
        <v>141</v>
      </c>
      <c r="AB15" s="1">
        <v>0</v>
      </c>
      <c r="AC15" s="1266">
        <v>4.3499999999999997E-2</v>
      </c>
    </row>
    <row r="16" spans="1:29" x14ac:dyDescent="0.6">
      <c r="A16" s="46">
        <f t="shared" si="12"/>
        <v>12</v>
      </c>
      <c r="B16" s="44" t="s">
        <v>10</v>
      </c>
      <c r="C16" s="290">
        <v>0</v>
      </c>
      <c r="D16" s="345">
        <f>C16*Assumptions!$C$24</f>
        <v>0</v>
      </c>
      <c r="E16" s="391">
        <f>Assumptions!$H$3</f>
        <v>1.1863330000000001</v>
      </c>
      <c r="F16" s="297">
        <f>Assumptions!$C$115</f>
        <v>3.7854100000000002</v>
      </c>
      <c r="G16" s="422"/>
      <c r="H16" s="1077">
        <f>IF(C16=0,0,Assumptions!$C$96)</f>
        <v>0</v>
      </c>
      <c r="I16" s="434"/>
      <c r="J16" s="286">
        <f t="shared" si="13"/>
        <v>0</v>
      </c>
      <c r="K16" s="322">
        <v>0.17</v>
      </c>
      <c r="L16" s="329">
        <f t="shared" si="0"/>
        <v>0</v>
      </c>
      <c r="M16" s="281">
        <f t="shared" si="1"/>
        <v>0</v>
      </c>
      <c r="N16" s="281">
        <f t="shared" si="2"/>
        <v>0</v>
      </c>
      <c r="O16" s="314">
        <f t="shared" si="3"/>
        <v>0</v>
      </c>
      <c r="P16" s="1053">
        <f t="shared" si="4"/>
        <v>0</v>
      </c>
      <c r="Q16" s="1047">
        <f t="shared" si="5"/>
        <v>0</v>
      </c>
      <c r="R16" s="268">
        <f t="shared" si="6"/>
        <v>0</v>
      </c>
      <c r="S16" s="366">
        <f t="shared" si="7"/>
        <v>0</v>
      </c>
      <c r="T16" s="336">
        <f>-'OECD other kero subsidies'!E33</f>
        <v>0</v>
      </c>
      <c r="U16" s="342">
        <f t="shared" si="8"/>
        <v>0</v>
      </c>
      <c r="V16" s="111">
        <f t="shared" si="9"/>
        <v>0</v>
      </c>
      <c r="W16" s="281">
        <f t="shared" si="10"/>
        <v>0</v>
      </c>
      <c r="X16" s="342">
        <f t="shared" si="11"/>
        <v>0</v>
      </c>
      <c r="AA16" s="1" t="s">
        <v>152</v>
      </c>
      <c r="AB16" s="1">
        <v>0</v>
      </c>
      <c r="AC16" s="1266">
        <v>6.0100000000000001E-2</v>
      </c>
    </row>
    <row r="17" spans="1:30" x14ac:dyDescent="0.6">
      <c r="A17" s="46">
        <f t="shared" si="12"/>
        <v>13</v>
      </c>
      <c r="B17" s="44" t="s">
        <v>11</v>
      </c>
      <c r="C17" s="290">
        <v>0</v>
      </c>
      <c r="D17" s="345">
        <f>C17*Assumptions!$C$24</f>
        <v>0</v>
      </c>
      <c r="E17" s="391">
        <f>Assumptions!$H$17</f>
        <v>3.8049999999999998E-3</v>
      </c>
      <c r="F17" s="297">
        <f>Assumptions!$C$115</f>
        <v>3.7854100000000002</v>
      </c>
      <c r="G17" s="459"/>
      <c r="H17" s="1077">
        <f>IF(C17=0,0,Assumptions!$C$96)</f>
        <v>0</v>
      </c>
      <c r="I17" s="430"/>
      <c r="J17" s="286">
        <f t="shared" si="13"/>
        <v>0</v>
      </c>
      <c r="K17" s="322">
        <v>0.27</v>
      </c>
      <c r="L17" s="329">
        <f t="shared" si="0"/>
        <v>0</v>
      </c>
      <c r="M17" s="281">
        <f t="shared" si="1"/>
        <v>0</v>
      </c>
      <c r="N17" s="281">
        <f t="shared" si="2"/>
        <v>0</v>
      </c>
      <c r="O17" s="314">
        <f t="shared" si="3"/>
        <v>0</v>
      </c>
      <c r="P17" s="1053">
        <f t="shared" si="4"/>
        <v>0</v>
      </c>
      <c r="Q17" s="1047">
        <f t="shared" si="5"/>
        <v>0</v>
      </c>
      <c r="R17" s="268">
        <f t="shared" si="6"/>
        <v>0</v>
      </c>
      <c r="S17" s="366">
        <f t="shared" si="7"/>
        <v>0</v>
      </c>
      <c r="T17" s="336">
        <f>-'OECD other kero subsidies'!E36</f>
        <v>0</v>
      </c>
      <c r="U17" s="342">
        <f t="shared" si="8"/>
        <v>0</v>
      </c>
      <c r="V17" s="111">
        <f t="shared" si="9"/>
        <v>0</v>
      </c>
      <c r="W17" s="281">
        <f t="shared" si="10"/>
        <v>0</v>
      </c>
      <c r="X17" s="342">
        <f t="shared" si="11"/>
        <v>0</v>
      </c>
      <c r="Y17" s="1"/>
      <c r="AA17" s="1" t="s">
        <v>157</v>
      </c>
      <c r="AB17" s="1">
        <v>0</v>
      </c>
      <c r="AC17" s="1266">
        <v>8.1900000000000001E-2</v>
      </c>
    </row>
    <row r="18" spans="1:30" x14ac:dyDescent="0.6">
      <c r="A18" s="46">
        <f t="shared" si="12"/>
        <v>14</v>
      </c>
      <c r="B18" s="44" t="s">
        <v>12</v>
      </c>
      <c r="C18" s="290">
        <v>0</v>
      </c>
      <c r="D18" s="345">
        <f>C18*Assumptions!$C$24</f>
        <v>0</v>
      </c>
      <c r="E18" s="391">
        <f>Assumptions!$H$3</f>
        <v>1.1863330000000001</v>
      </c>
      <c r="F18" s="297">
        <f>Assumptions!$C$115</f>
        <v>3.7854100000000002</v>
      </c>
      <c r="G18" s="422"/>
      <c r="H18" s="1077">
        <f>IF(C18=0,0,Assumptions!$C$96)</f>
        <v>0</v>
      </c>
      <c r="I18" s="434"/>
      <c r="J18" s="286">
        <f t="shared" si="13"/>
        <v>0</v>
      </c>
      <c r="K18" s="322">
        <v>0.21</v>
      </c>
      <c r="L18" s="329">
        <f t="shared" si="0"/>
        <v>0</v>
      </c>
      <c r="M18" s="281">
        <f t="shared" si="1"/>
        <v>0</v>
      </c>
      <c r="N18" s="281">
        <f t="shared" si="2"/>
        <v>0</v>
      </c>
      <c r="O18" s="314">
        <f t="shared" si="3"/>
        <v>0</v>
      </c>
      <c r="P18" s="1053">
        <f t="shared" si="4"/>
        <v>0</v>
      </c>
      <c r="Q18" s="1047">
        <f t="shared" si="5"/>
        <v>0</v>
      </c>
      <c r="R18" s="268">
        <f t="shared" si="6"/>
        <v>0</v>
      </c>
      <c r="S18" s="366">
        <f t="shared" si="7"/>
        <v>0</v>
      </c>
      <c r="T18" s="336">
        <f>-'OECD other kero subsidies'!E38</f>
        <v>0</v>
      </c>
      <c r="U18" s="342">
        <f t="shared" si="8"/>
        <v>0</v>
      </c>
      <c r="V18" s="111">
        <f t="shared" si="9"/>
        <v>0</v>
      </c>
      <c r="W18" s="281">
        <f t="shared" si="10"/>
        <v>0</v>
      </c>
      <c r="X18" s="342">
        <f t="shared" si="11"/>
        <v>0</v>
      </c>
      <c r="Y18" s="1"/>
      <c r="AA18" s="1" t="s">
        <v>160</v>
      </c>
      <c r="AB18" s="1">
        <v>0.1</v>
      </c>
      <c r="AC18" s="1266">
        <v>7.0000000000000007E-2</v>
      </c>
      <c r="AD18" s="28">
        <f>AC18*AB18</f>
        <v>7.000000000000001E-3</v>
      </c>
    </row>
    <row r="19" spans="1:30" x14ac:dyDescent="0.6">
      <c r="A19" s="46">
        <f t="shared" si="12"/>
        <v>15</v>
      </c>
      <c r="B19" s="44" t="s">
        <v>13</v>
      </c>
      <c r="C19" s="290">
        <v>1</v>
      </c>
      <c r="D19" s="345">
        <f>C19*Assumptions!$C$24</f>
        <v>324660</v>
      </c>
      <c r="E19" s="391">
        <f>Assumptions!$H$3</f>
        <v>1.1863330000000001</v>
      </c>
      <c r="F19" s="297">
        <f>Assumptions!$C$115</f>
        <v>3.7854100000000002</v>
      </c>
      <c r="G19" s="422"/>
      <c r="H19" s="1077">
        <f>IF(C19=0,0,Assumptions!$C$96)</f>
        <v>2.5</v>
      </c>
      <c r="I19" s="434">
        <f>397/1000</f>
        <v>0.39700000000000002</v>
      </c>
      <c r="J19" s="286">
        <f t="shared" si="13"/>
        <v>1.7828304502074104</v>
      </c>
      <c r="K19" s="322">
        <v>0.2</v>
      </c>
      <c r="L19" s="329">
        <f t="shared" si="0"/>
        <v>0.5</v>
      </c>
      <c r="M19" s="281">
        <f t="shared" si="1"/>
        <v>0.3565660900414821</v>
      </c>
      <c r="N19" s="281">
        <f t="shared" si="2"/>
        <v>0.8565660900414821</v>
      </c>
      <c r="O19" s="314">
        <f t="shared" si="3"/>
        <v>162330</v>
      </c>
      <c r="P19" s="1053">
        <f t="shared" si="4"/>
        <v>2.6393965402488924</v>
      </c>
      <c r="Q19" s="1047">
        <f t="shared" si="5"/>
        <v>856906.4807572054</v>
      </c>
      <c r="R19" s="268">
        <f t="shared" si="6"/>
        <v>2.1393965402488924</v>
      </c>
      <c r="S19" s="366">
        <f t="shared" si="7"/>
        <v>694576.4807572054</v>
      </c>
      <c r="T19" s="336">
        <f>-'OECD other kero subsidies'!E40</f>
        <v>0</v>
      </c>
      <c r="U19" s="342">
        <f t="shared" si="8"/>
        <v>0</v>
      </c>
      <c r="V19" s="111">
        <f t="shared" si="9"/>
        <v>694576.4807572054</v>
      </c>
      <c r="W19" s="281">
        <f t="shared" si="10"/>
        <v>5.1393965402488924</v>
      </c>
      <c r="X19" s="342">
        <f t="shared" si="11"/>
        <v>1668556.4807572053</v>
      </c>
      <c r="Y19" s="1"/>
      <c r="AA19" s="1" t="s">
        <v>151</v>
      </c>
      <c r="AB19" s="1">
        <v>0</v>
      </c>
      <c r="AC19" s="1266">
        <v>6.7799999999999999E-2</v>
      </c>
    </row>
    <row r="20" spans="1:30" x14ac:dyDescent="0.6">
      <c r="A20" s="46">
        <f t="shared" si="12"/>
        <v>16</v>
      </c>
      <c r="B20" s="44" t="s">
        <v>14</v>
      </c>
      <c r="C20" s="290">
        <v>0</v>
      </c>
      <c r="D20" s="345">
        <f>C20*Assumptions!$C$24</f>
        <v>0</v>
      </c>
      <c r="E20" s="391">
        <f>Assumptions!$H$18</f>
        <v>0.28262100000000001</v>
      </c>
      <c r="F20" s="297">
        <f>Assumptions!$C$115</f>
        <v>3.7854100000000002</v>
      </c>
      <c r="G20" s="424"/>
      <c r="H20" s="1077">
        <f>IF(C20=0,0,Assumptions!$C$96)</f>
        <v>0</v>
      </c>
      <c r="I20" s="431"/>
      <c r="J20" s="286">
        <f t="shared" si="13"/>
        <v>0</v>
      </c>
      <c r="K20" s="322">
        <v>0.23</v>
      </c>
      <c r="L20" s="329">
        <f t="shared" si="0"/>
        <v>0</v>
      </c>
      <c r="M20" s="281">
        <f t="shared" si="1"/>
        <v>0</v>
      </c>
      <c r="N20" s="281">
        <f t="shared" si="2"/>
        <v>0</v>
      </c>
      <c r="O20" s="314">
        <f t="shared" si="3"/>
        <v>0</v>
      </c>
      <c r="P20" s="1053">
        <f t="shared" si="4"/>
        <v>0</v>
      </c>
      <c r="Q20" s="1047">
        <f t="shared" si="5"/>
        <v>0</v>
      </c>
      <c r="R20" s="268">
        <f t="shared" si="6"/>
        <v>0</v>
      </c>
      <c r="S20" s="366">
        <f t="shared" si="7"/>
        <v>0</v>
      </c>
      <c r="T20" s="336">
        <f>-'OECD other kero subsidies'!E42</f>
        <v>0</v>
      </c>
      <c r="U20" s="342">
        <f t="shared" si="8"/>
        <v>0</v>
      </c>
      <c r="V20" s="111">
        <f t="shared" si="9"/>
        <v>0</v>
      </c>
      <c r="W20" s="281">
        <f t="shared" si="10"/>
        <v>0</v>
      </c>
      <c r="X20" s="342">
        <f t="shared" si="11"/>
        <v>0</v>
      </c>
      <c r="Y20" s="1"/>
      <c r="AA20" s="1" t="s">
        <v>168</v>
      </c>
      <c r="AB20" s="1">
        <v>0</v>
      </c>
      <c r="AC20" s="1266">
        <v>8.2000000000000003E-2</v>
      </c>
    </row>
    <row r="21" spans="1:30" x14ac:dyDescent="0.6">
      <c r="A21" s="46">
        <f t="shared" si="12"/>
        <v>17</v>
      </c>
      <c r="B21" s="44" t="s">
        <v>15</v>
      </c>
      <c r="C21" s="290">
        <v>0</v>
      </c>
      <c r="D21" s="345">
        <f>C21*Assumptions!$C$24</f>
        <v>0</v>
      </c>
      <c r="E21" s="391">
        <f>Assumptions!$H$3</f>
        <v>1.1863330000000001</v>
      </c>
      <c r="F21" s="297">
        <f>Assumptions!$C$115</f>
        <v>3.7854100000000002</v>
      </c>
      <c r="G21" s="422"/>
      <c r="H21" s="1077">
        <f>IF(C21=0,0,Assumptions!$C$96)</f>
        <v>0</v>
      </c>
      <c r="I21" s="434"/>
      <c r="J21" s="286">
        <f t="shared" si="13"/>
        <v>0</v>
      </c>
      <c r="K21" s="322">
        <v>0.23</v>
      </c>
      <c r="L21" s="329">
        <f t="shared" si="0"/>
        <v>0</v>
      </c>
      <c r="M21" s="281">
        <f t="shared" si="1"/>
        <v>0</v>
      </c>
      <c r="N21" s="281">
        <f t="shared" si="2"/>
        <v>0</v>
      </c>
      <c r="O21" s="314">
        <f t="shared" si="3"/>
        <v>0</v>
      </c>
      <c r="P21" s="1053">
        <f t="shared" si="4"/>
        <v>0</v>
      </c>
      <c r="Q21" s="1047">
        <f t="shared" si="5"/>
        <v>0</v>
      </c>
      <c r="R21" s="268">
        <f t="shared" si="6"/>
        <v>0</v>
      </c>
      <c r="S21" s="366">
        <f t="shared" si="7"/>
        <v>0</v>
      </c>
      <c r="T21" s="336">
        <f>-'OECD other kero subsidies'!E44</f>
        <v>0</v>
      </c>
      <c r="U21" s="342">
        <f t="shared" si="8"/>
        <v>0</v>
      </c>
      <c r="V21" s="111">
        <f t="shared" si="9"/>
        <v>0</v>
      </c>
      <c r="W21" s="281">
        <f t="shared" si="10"/>
        <v>0</v>
      </c>
      <c r="X21" s="342">
        <f t="shared" si="11"/>
        <v>0</v>
      </c>
      <c r="Y21" s="1"/>
      <c r="AA21" s="1" t="s">
        <v>167</v>
      </c>
      <c r="AB21" s="1">
        <v>0</v>
      </c>
      <c r="AC21" s="1266">
        <v>0.06</v>
      </c>
    </row>
    <row r="22" spans="1:30" x14ac:dyDescent="0.6">
      <c r="A22" s="46">
        <f t="shared" si="12"/>
        <v>18</v>
      </c>
      <c r="B22" s="44" t="s">
        <v>16</v>
      </c>
      <c r="C22" s="290">
        <v>0</v>
      </c>
      <c r="D22" s="345">
        <f>C22*Assumptions!$C$24</f>
        <v>0</v>
      </c>
      <c r="E22" s="391">
        <f>Assumptions!$H$3</f>
        <v>1.1863330000000001</v>
      </c>
      <c r="F22" s="297">
        <f>Assumptions!$C$115</f>
        <v>3.7854100000000002</v>
      </c>
      <c r="G22" s="422"/>
      <c r="H22" s="1077">
        <f>IF(C22=0,0,Assumptions!$C$96)</f>
        <v>0</v>
      </c>
      <c r="I22" s="434"/>
      <c r="J22" s="286">
        <f t="shared" si="13"/>
        <v>0</v>
      </c>
      <c r="K22" s="322">
        <v>0.22</v>
      </c>
      <c r="L22" s="329">
        <f t="shared" si="0"/>
        <v>0</v>
      </c>
      <c r="M22" s="281">
        <f t="shared" si="1"/>
        <v>0</v>
      </c>
      <c r="N22" s="281">
        <f t="shared" si="2"/>
        <v>0</v>
      </c>
      <c r="O22" s="314">
        <f t="shared" si="3"/>
        <v>0</v>
      </c>
      <c r="P22" s="1053">
        <f t="shared" si="4"/>
        <v>0</v>
      </c>
      <c r="Q22" s="1047">
        <f t="shared" si="5"/>
        <v>0</v>
      </c>
      <c r="R22" s="268">
        <f t="shared" si="6"/>
        <v>0</v>
      </c>
      <c r="S22" s="366">
        <f t="shared" si="7"/>
        <v>0</v>
      </c>
      <c r="T22" s="336">
        <f>-'OECD other kero subsidies'!E46</f>
        <v>0</v>
      </c>
      <c r="U22" s="342">
        <f t="shared" si="8"/>
        <v>0</v>
      </c>
      <c r="V22" s="111">
        <f t="shared" si="9"/>
        <v>0</v>
      </c>
      <c r="W22" s="281">
        <f t="shared" si="10"/>
        <v>0</v>
      </c>
      <c r="X22" s="342">
        <f t="shared" si="11"/>
        <v>0</v>
      </c>
      <c r="Y22" s="1"/>
      <c r="AA22" s="1" t="s">
        <v>179</v>
      </c>
      <c r="AB22" s="1">
        <v>0</v>
      </c>
      <c r="AC22" s="1266">
        <v>8.9099999999999999E-2</v>
      </c>
    </row>
    <row r="23" spans="1:30" x14ac:dyDescent="0.6">
      <c r="A23" s="46">
        <f t="shared" si="12"/>
        <v>19</v>
      </c>
      <c r="B23" s="44" t="s">
        <v>17</v>
      </c>
      <c r="C23" s="290">
        <v>0</v>
      </c>
      <c r="D23" s="345">
        <f>C23*Assumptions!$C$24</f>
        <v>0</v>
      </c>
      <c r="E23" s="391">
        <f>Assumptions!$H$3</f>
        <v>1.1863330000000001</v>
      </c>
      <c r="F23" s="297">
        <f>Assumptions!$C$115</f>
        <v>3.7854100000000002</v>
      </c>
      <c r="G23" s="422"/>
      <c r="H23" s="1077">
        <f>IF(C23=0,0,Assumptions!$C$96)</f>
        <v>0</v>
      </c>
      <c r="I23" s="434"/>
      <c r="J23" s="286">
        <f t="shared" si="13"/>
        <v>0</v>
      </c>
      <c r="K23" s="322">
        <v>0.2</v>
      </c>
      <c r="L23" s="329">
        <f t="shared" si="0"/>
        <v>0</v>
      </c>
      <c r="M23" s="281">
        <f t="shared" si="1"/>
        <v>0</v>
      </c>
      <c r="N23" s="281">
        <f t="shared" si="2"/>
        <v>0</v>
      </c>
      <c r="O23" s="314">
        <f t="shared" si="3"/>
        <v>0</v>
      </c>
      <c r="P23" s="1053">
        <f t="shared" si="4"/>
        <v>0</v>
      </c>
      <c r="Q23" s="1047">
        <f t="shared" si="5"/>
        <v>0</v>
      </c>
      <c r="R23" s="268">
        <f t="shared" si="6"/>
        <v>0</v>
      </c>
      <c r="S23" s="366">
        <f t="shared" si="7"/>
        <v>0</v>
      </c>
      <c r="T23" s="336">
        <f>-'OECD other kero subsidies'!E48</f>
        <v>0</v>
      </c>
      <c r="U23" s="342">
        <f t="shared" si="8"/>
        <v>0</v>
      </c>
      <c r="V23" s="111">
        <f t="shared" si="9"/>
        <v>0</v>
      </c>
      <c r="W23" s="281">
        <f t="shared" si="10"/>
        <v>0</v>
      </c>
      <c r="X23" s="342">
        <f t="shared" si="11"/>
        <v>0</v>
      </c>
      <c r="Y23" s="1"/>
      <c r="AA23" s="1" t="s">
        <v>158</v>
      </c>
      <c r="AB23" s="1">
        <v>0.2</v>
      </c>
      <c r="AC23" s="1266">
        <v>5.5E-2</v>
      </c>
      <c r="AD23" s="28">
        <f>AC23*AB23</f>
        <v>1.1000000000000001E-2</v>
      </c>
    </row>
    <row r="24" spans="1:30" x14ac:dyDescent="0.6">
      <c r="A24" s="46">
        <f t="shared" si="12"/>
        <v>20</v>
      </c>
      <c r="B24" s="44" t="s">
        <v>18</v>
      </c>
      <c r="C24" s="290">
        <v>0</v>
      </c>
      <c r="D24" s="345">
        <f>C24*Assumptions!$C$24</f>
        <v>0</v>
      </c>
      <c r="E24" s="391">
        <f>Assumptions!$H$3</f>
        <v>1.1863330000000001</v>
      </c>
      <c r="F24" s="297">
        <f>Assumptions!$C$115</f>
        <v>3.7854100000000002</v>
      </c>
      <c r="G24" s="422"/>
      <c r="H24" s="1077">
        <f>IF(C24=0,0,Assumptions!$C$96)</f>
        <v>0</v>
      </c>
      <c r="I24" s="427"/>
      <c r="J24" s="286">
        <f t="shared" si="13"/>
        <v>0</v>
      </c>
      <c r="K24" s="322">
        <v>0.24</v>
      </c>
      <c r="L24" s="329">
        <f t="shared" si="0"/>
        <v>0</v>
      </c>
      <c r="M24" s="281">
        <f t="shared" si="1"/>
        <v>0</v>
      </c>
      <c r="N24" s="281">
        <f t="shared" si="2"/>
        <v>0</v>
      </c>
      <c r="O24" s="314">
        <f t="shared" si="3"/>
        <v>0</v>
      </c>
      <c r="P24" s="1053">
        <f t="shared" si="4"/>
        <v>0</v>
      </c>
      <c r="Q24" s="1047">
        <f t="shared" si="5"/>
        <v>0</v>
      </c>
      <c r="R24" s="268">
        <f t="shared" si="6"/>
        <v>0</v>
      </c>
      <c r="S24" s="366">
        <f t="shared" si="7"/>
        <v>0</v>
      </c>
      <c r="T24" s="336">
        <f>-'OECD other kero subsidies'!E50</f>
        <v>0</v>
      </c>
      <c r="U24" s="342">
        <f t="shared" si="8"/>
        <v>0</v>
      </c>
      <c r="V24" s="111">
        <f t="shared" si="9"/>
        <v>0</v>
      </c>
      <c r="W24" s="281">
        <f t="shared" si="10"/>
        <v>0</v>
      </c>
      <c r="X24" s="342">
        <f t="shared" si="11"/>
        <v>0</v>
      </c>
      <c r="Y24" s="1"/>
      <c r="AA24" s="1" t="s">
        <v>150</v>
      </c>
      <c r="AB24" s="1">
        <v>0</v>
      </c>
      <c r="AC24" s="1266">
        <v>0.06</v>
      </c>
    </row>
    <row r="25" spans="1:30" x14ac:dyDescent="0.6">
      <c r="A25" s="46">
        <f t="shared" si="12"/>
        <v>21</v>
      </c>
      <c r="B25" s="44" t="s">
        <v>19</v>
      </c>
      <c r="C25" s="290">
        <v>0</v>
      </c>
      <c r="D25" s="345">
        <f>C25*Assumptions!$C$24</f>
        <v>0</v>
      </c>
      <c r="E25" s="391">
        <f>Assumptions!$H$19</f>
        <v>0.119739</v>
      </c>
      <c r="F25" s="297">
        <f>Assumptions!$C$115</f>
        <v>3.7854100000000002</v>
      </c>
      <c r="G25" s="425"/>
      <c r="H25" s="1077">
        <f>IF(C25=0,0,Assumptions!$C$96)</f>
        <v>0</v>
      </c>
      <c r="I25" s="1184"/>
      <c r="J25" s="286">
        <f t="shared" si="13"/>
        <v>0</v>
      </c>
      <c r="K25" s="322">
        <v>0.25</v>
      </c>
      <c r="L25" s="329">
        <f t="shared" si="0"/>
        <v>0</v>
      </c>
      <c r="M25" s="281">
        <f t="shared" si="1"/>
        <v>0</v>
      </c>
      <c r="N25" s="281">
        <f t="shared" si="2"/>
        <v>0</v>
      </c>
      <c r="O25" s="314">
        <f t="shared" si="3"/>
        <v>0</v>
      </c>
      <c r="P25" s="1053">
        <f t="shared" si="4"/>
        <v>0</v>
      </c>
      <c r="Q25" s="1047">
        <f t="shared" si="5"/>
        <v>0</v>
      </c>
      <c r="R25" s="268">
        <f t="shared" si="6"/>
        <v>0</v>
      </c>
      <c r="S25" s="366">
        <f t="shared" si="7"/>
        <v>0</v>
      </c>
      <c r="T25" s="336">
        <f>-'OECD other kero subsidies'!E52</f>
        <v>0</v>
      </c>
      <c r="U25" s="342">
        <f t="shared" si="8"/>
        <v>0</v>
      </c>
      <c r="V25" s="111">
        <f t="shared" si="9"/>
        <v>0</v>
      </c>
      <c r="W25" s="281">
        <f t="shared" si="10"/>
        <v>0</v>
      </c>
      <c r="X25" s="342">
        <f t="shared" si="11"/>
        <v>0</v>
      </c>
      <c r="Y25" s="1"/>
      <c r="AA25" s="1" t="s">
        <v>166</v>
      </c>
      <c r="AB25" s="1">
        <v>0.1</v>
      </c>
      <c r="AC25" s="1266">
        <v>6.25E-2</v>
      </c>
      <c r="AD25" s="28">
        <f>AC25*AB25</f>
        <v>6.2500000000000003E-3</v>
      </c>
    </row>
    <row r="26" spans="1:30" ht="15.9" thickBot="1" x14ac:dyDescent="0.65">
      <c r="A26" s="15">
        <f t="shared" si="12"/>
        <v>22</v>
      </c>
      <c r="B26" s="47" t="s">
        <v>20</v>
      </c>
      <c r="C26" s="291">
        <v>0</v>
      </c>
      <c r="D26" s="347">
        <f>C26*Assumptions!$C$24</f>
        <v>0</v>
      </c>
      <c r="E26" s="419">
        <f>Assumptions!$H$20</f>
        <v>1.337591</v>
      </c>
      <c r="F26" s="299">
        <f>Assumptions!$C$115</f>
        <v>3.7854100000000002</v>
      </c>
      <c r="G26" s="421">
        <f>H26/F26/E26</f>
        <v>0.36752380952380953</v>
      </c>
      <c r="H26" s="371">
        <f>W26/1.05</f>
        <v>1.8608944581208848</v>
      </c>
      <c r="I26" s="433">
        <f>111.4/1000</f>
        <v>0.1114</v>
      </c>
      <c r="J26" s="308">
        <f t="shared" si="13"/>
        <v>0.56405500069033399</v>
      </c>
      <c r="K26" s="359">
        <v>0.05</v>
      </c>
      <c r="L26" s="334">
        <f t="shared" si="0"/>
        <v>9.304472290604425E-2</v>
      </c>
      <c r="M26" s="318">
        <f t="shared" si="1"/>
        <v>2.8202750034516701E-2</v>
      </c>
      <c r="N26" s="318">
        <f t="shared" si="2"/>
        <v>0.12124747294056096</v>
      </c>
      <c r="O26" s="319">
        <f t="shared" si="3"/>
        <v>0</v>
      </c>
      <c r="P26" s="1054">
        <f t="shared" si="4"/>
        <v>0.68530247363089491</v>
      </c>
      <c r="Q26" s="1048">
        <f t="shared" si="5"/>
        <v>0</v>
      </c>
      <c r="R26" s="269">
        <f t="shared" si="6"/>
        <v>0.59225775072485065</v>
      </c>
      <c r="S26" s="368">
        <f t="shared" si="7"/>
        <v>0</v>
      </c>
      <c r="T26" s="340">
        <f>-'OECD other kero subsidies'!E54</f>
        <v>0</v>
      </c>
      <c r="U26" s="344">
        <f t="shared" si="8"/>
        <v>0</v>
      </c>
      <c r="V26" s="163">
        <f t="shared" si="9"/>
        <v>0</v>
      </c>
      <c r="W26" s="318">
        <v>1.9539391810269291</v>
      </c>
      <c r="X26" s="344">
        <f t="shared" si="11"/>
        <v>0</v>
      </c>
      <c r="AA26" s="1" t="s">
        <v>155</v>
      </c>
      <c r="AB26" s="1">
        <v>0</v>
      </c>
      <c r="AC26" s="1266">
        <v>0.06</v>
      </c>
    </row>
    <row r="27" spans="1:30" ht="15.9" thickTop="1" x14ac:dyDescent="0.6">
      <c r="A27" s="48" t="s">
        <v>882</v>
      </c>
      <c r="B27" s="44"/>
      <c r="C27" s="290"/>
      <c r="D27" s="345"/>
      <c r="E27" s="399"/>
      <c r="F27" s="297"/>
      <c r="G27" s="383"/>
      <c r="H27" s="301"/>
      <c r="I27" s="393"/>
      <c r="J27" s="306">
        <f t="shared" si="13"/>
        <v>0</v>
      </c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  <c r="Y27" s="1"/>
      <c r="AA27" s="1" t="s">
        <v>162</v>
      </c>
      <c r="AB27" s="1">
        <v>0</v>
      </c>
      <c r="AC27" s="1266">
        <v>7.1999999999999995E-2</v>
      </c>
    </row>
    <row r="28" spans="1:30" x14ac:dyDescent="0.6">
      <c r="A28" s="61">
        <f>A26+1</f>
        <v>23</v>
      </c>
      <c r="B28" s="44" t="s">
        <v>38</v>
      </c>
      <c r="C28" s="290">
        <v>259</v>
      </c>
      <c r="D28" s="345">
        <f>C28*Assumptions!$C$24</f>
        <v>84086940</v>
      </c>
      <c r="E28" s="399">
        <f>Assumptions!$H$4</f>
        <v>0.78824099999999997</v>
      </c>
      <c r="F28" s="297">
        <f>Assumptions!$C$115</f>
        <v>3.7854100000000002</v>
      </c>
      <c r="G28" s="441"/>
      <c r="H28" s="1077">
        <f>IF(C28=0,0,Assumptions!$C$96)</f>
        <v>2.5</v>
      </c>
      <c r="I28" s="447"/>
      <c r="J28" s="306">
        <f t="shared" si="13"/>
        <v>0</v>
      </c>
      <c r="K28" s="322">
        <v>9.0499999999999997E-2</v>
      </c>
      <c r="L28" s="329">
        <f t="shared" ref="L28:L34" si="14">K28*H28</f>
        <v>0.22625000000000001</v>
      </c>
      <c r="M28" s="320">
        <f t="shared" ref="M28:M34" si="15">K28*J28</f>
        <v>0</v>
      </c>
      <c r="N28" s="320">
        <f t="shared" ref="N28:N34" si="16">M28+L28</f>
        <v>0.22625000000000001</v>
      </c>
      <c r="O28" s="314">
        <f t="shared" ref="O28:O34" si="17">L28*D28</f>
        <v>19024670.175000001</v>
      </c>
      <c r="P28" s="1053">
        <f t="shared" si="4"/>
        <v>0.22625000000000001</v>
      </c>
      <c r="Q28" s="1047">
        <f t="shared" ref="Q28:Q34" si="18">P28*D28</f>
        <v>19024670.175000001</v>
      </c>
      <c r="R28" s="310">
        <f t="shared" ref="R28:R39" si="19">M28+J28</f>
        <v>0</v>
      </c>
      <c r="S28" s="366">
        <f t="shared" ref="S28:S34" si="20">D28*R28</f>
        <v>0</v>
      </c>
      <c r="T28" s="336">
        <f>-'OECD other kero subsidies'!E56</f>
        <v>0</v>
      </c>
      <c r="U28" s="342">
        <f t="shared" ref="U28:U34" si="21">T28*E28</f>
        <v>0</v>
      </c>
      <c r="V28" s="111">
        <f t="shared" ref="V28:V34" si="22">S28+U28</f>
        <v>0</v>
      </c>
      <c r="W28" s="320">
        <f t="shared" ref="W28:W39" si="23">(H28+J28)*(1+K28)</f>
        <v>2.7262500000000003</v>
      </c>
      <c r="X28" s="342">
        <f t="shared" ref="X28:X34" si="24">W28*D28+U28</f>
        <v>229242020.17500001</v>
      </c>
      <c r="Y28" s="1"/>
      <c r="AA28" s="1" t="s">
        <v>183</v>
      </c>
      <c r="AB28" s="1">
        <v>0</v>
      </c>
      <c r="AC28" s="1266">
        <v>7.0699999999999999E-2</v>
      </c>
    </row>
    <row r="29" spans="1:30" x14ac:dyDescent="0.6">
      <c r="A29" s="61">
        <f t="shared" ref="A29:A34" si="25">A28+1</f>
        <v>24</v>
      </c>
      <c r="B29" s="44" t="s">
        <v>39</v>
      </c>
      <c r="C29" s="290">
        <v>2</v>
      </c>
      <c r="D29" s="345">
        <f>C29*Assumptions!$C$24</f>
        <v>649320</v>
      </c>
      <c r="E29" s="399">
        <f>Assumptions!$H$5</f>
        <v>0.12035</v>
      </c>
      <c r="F29" s="297">
        <f>Assumptions!$C$115</f>
        <v>3.7854100000000002</v>
      </c>
      <c r="G29" s="442"/>
      <c r="H29" s="1077">
        <f>IF(C29=0,0,Assumptions!$C$96)</f>
        <v>2.5</v>
      </c>
      <c r="I29" s="448">
        <f>1.59+0.9</f>
        <v>2.4900000000000002</v>
      </c>
      <c r="J29" s="306">
        <f t="shared" si="13"/>
        <v>1.1343794928150002</v>
      </c>
      <c r="K29" s="322">
        <v>0.25</v>
      </c>
      <c r="L29" s="329">
        <f t="shared" si="14"/>
        <v>0.625</v>
      </c>
      <c r="M29" s="320">
        <f t="shared" si="15"/>
        <v>0.28359487320375004</v>
      </c>
      <c r="N29" s="320">
        <f t="shared" si="16"/>
        <v>0.9085948732037501</v>
      </c>
      <c r="O29" s="314">
        <f t="shared" si="17"/>
        <v>405825</v>
      </c>
      <c r="P29" s="1053">
        <f t="shared" si="4"/>
        <v>2.0429743660187505</v>
      </c>
      <c r="Q29" s="1047">
        <f t="shared" si="18"/>
        <v>1326544.115343295</v>
      </c>
      <c r="R29" s="310">
        <f t="shared" si="19"/>
        <v>1.4179743660187503</v>
      </c>
      <c r="S29" s="366">
        <f t="shared" si="20"/>
        <v>920719.11534329492</v>
      </c>
      <c r="T29" s="336">
        <f>-'OECD other kero subsidies'!E58</f>
        <v>-763929.33333333337</v>
      </c>
      <c r="U29" s="342">
        <f t="shared" si="21"/>
        <v>-91938.895266666674</v>
      </c>
      <c r="V29" s="111">
        <f t="shared" si="22"/>
        <v>828780.22007662826</v>
      </c>
      <c r="W29" s="320">
        <f t="shared" si="23"/>
        <v>4.5429743660187505</v>
      </c>
      <c r="X29" s="342">
        <f t="shared" si="24"/>
        <v>2857905.2200766285</v>
      </c>
      <c r="Y29" s="1"/>
      <c r="AA29" s="1" t="s">
        <v>184</v>
      </c>
      <c r="AB29" s="1">
        <v>0</v>
      </c>
      <c r="AC29" s="1266">
        <v>7.8100000000000003E-2</v>
      </c>
    </row>
    <row r="30" spans="1:30" x14ac:dyDescent="0.6">
      <c r="A30" s="61">
        <f t="shared" si="25"/>
        <v>25</v>
      </c>
      <c r="B30" s="44" t="s">
        <v>40</v>
      </c>
      <c r="C30" s="290">
        <v>0</v>
      </c>
      <c r="D30" s="345">
        <f>C30*Assumptions!$C$24</f>
        <v>0</v>
      </c>
      <c r="E30" s="399">
        <f>Assumptions!$H$6</f>
        <v>1.010632</v>
      </c>
      <c r="F30" s="297">
        <f>Assumptions!$C$115</f>
        <v>3.7854100000000002</v>
      </c>
      <c r="G30" s="443"/>
      <c r="H30" s="1077">
        <f>IF(C30=0,0,Assumptions!$C$96)</f>
        <v>0</v>
      </c>
      <c r="I30" s="449"/>
      <c r="J30" s="306">
        <f t="shared" si="13"/>
        <v>0</v>
      </c>
      <c r="K30" s="322">
        <v>0.08</v>
      </c>
      <c r="L30" s="329">
        <f t="shared" si="14"/>
        <v>0</v>
      </c>
      <c r="M30" s="320">
        <f t="shared" si="15"/>
        <v>0</v>
      </c>
      <c r="N30" s="320">
        <f t="shared" si="16"/>
        <v>0</v>
      </c>
      <c r="O30" s="314">
        <f t="shared" si="17"/>
        <v>0</v>
      </c>
      <c r="P30" s="1053">
        <f t="shared" si="4"/>
        <v>0</v>
      </c>
      <c r="Q30" s="1047">
        <f t="shared" si="18"/>
        <v>0</v>
      </c>
      <c r="R30" s="310">
        <f t="shared" si="19"/>
        <v>0</v>
      </c>
      <c r="S30" s="366">
        <f t="shared" si="20"/>
        <v>0</v>
      </c>
      <c r="T30" s="336">
        <f>-'OECD other kero subsidies'!E62</f>
        <v>0</v>
      </c>
      <c r="U30" s="342">
        <f t="shared" si="21"/>
        <v>0</v>
      </c>
      <c r="V30" s="111">
        <f t="shared" si="22"/>
        <v>0</v>
      </c>
      <c r="W30" s="320">
        <f t="shared" si="23"/>
        <v>0</v>
      </c>
      <c r="X30" s="342">
        <f t="shared" si="24"/>
        <v>0</v>
      </c>
      <c r="Y30" s="1"/>
      <c r="AA30" s="1" t="s">
        <v>164</v>
      </c>
      <c r="AB30" s="1">
        <v>0</v>
      </c>
      <c r="AC30" s="1266">
        <v>0</v>
      </c>
    </row>
    <row r="31" spans="1:30" x14ac:dyDescent="0.6">
      <c r="A31" s="46">
        <f t="shared" si="25"/>
        <v>26</v>
      </c>
      <c r="B31" s="44" t="s">
        <v>31</v>
      </c>
      <c r="C31" s="290">
        <v>4395</v>
      </c>
      <c r="D31" s="345">
        <f>C31*Assumptions!$C$24</f>
        <v>1426880700</v>
      </c>
      <c r="E31" s="399">
        <f>Assumptions!$H$7</f>
        <v>8.829E-3</v>
      </c>
      <c r="F31" s="297">
        <f>Assumptions!$C$115</f>
        <v>3.7854100000000002</v>
      </c>
      <c r="G31" s="484">
        <v>78.3</v>
      </c>
      <c r="H31" s="458">
        <f>G31*F31*E31</f>
        <v>2.6168944368870002</v>
      </c>
      <c r="I31" s="469"/>
      <c r="J31" s="306">
        <f t="shared" si="13"/>
        <v>0</v>
      </c>
      <c r="K31" s="322">
        <v>0.08</v>
      </c>
      <c r="L31" s="329">
        <f t="shared" si="14"/>
        <v>0.20935155495096003</v>
      </c>
      <c r="M31" s="320">
        <f t="shared" si="15"/>
        <v>0</v>
      </c>
      <c r="N31" s="320">
        <f t="shared" si="16"/>
        <v>0.20935155495096003</v>
      </c>
      <c r="O31" s="314">
        <f t="shared" si="17"/>
        <v>298719693.27451432</v>
      </c>
      <c r="P31" s="1053">
        <f t="shared" si="4"/>
        <v>0.20935155495096003</v>
      </c>
      <c r="Q31" s="1047">
        <f t="shared" si="18"/>
        <v>298719693.27451432</v>
      </c>
      <c r="R31" s="310">
        <f t="shared" si="19"/>
        <v>0</v>
      </c>
      <c r="S31" s="366">
        <f t="shared" si="20"/>
        <v>0</v>
      </c>
      <c r="T31" s="336">
        <f>-'OECD other kero subsidies'!E64</f>
        <v>0</v>
      </c>
      <c r="U31" s="342">
        <f t="shared" si="21"/>
        <v>0</v>
      </c>
      <c r="V31" s="111">
        <f t="shared" si="22"/>
        <v>0</v>
      </c>
      <c r="W31" s="320">
        <f t="shared" si="23"/>
        <v>2.8262459918379603</v>
      </c>
      <c r="X31" s="342">
        <f t="shared" si="24"/>
        <v>4032715859.2059431</v>
      </c>
      <c r="Y31" s="1"/>
      <c r="AA31" s="1" t="s">
        <v>165</v>
      </c>
      <c r="AB31" s="1">
        <v>0</v>
      </c>
      <c r="AC31" s="1266">
        <v>6.8000000000000005E-2</v>
      </c>
    </row>
    <row r="32" spans="1:30" x14ac:dyDescent="0.6">
      <c r="A32" s="46">
        <f t="shared" si="25"/>
        <v>27</v>
      </c>
      <c r="B32" s="44" t="s">
        <v>47</v>
      </c>
      <c r="C32" s="290">
        <v>345</v>
      </c>
      <c r="D32" s="345">
        <f>C32*Assumptions!$C$24</f>
        <v>112007700</v>
      </c>
      <c r="E32" s="399">
        <f>Assumptions!$H$8</f>
        <v>9.3000000000000005E-4</v>
      </c>
      <c r="F32" s="297">
        <f>Assumptions!$C$115</f>
        <v>3.7854100000000002</v>
      </c>
      <c r="G32" s="446"/>
      <c r="H32" s="1077">
        <f>IF(C32=0,0,Assumptions!$C$96)</f>
        <v>2.5</v>
      </c>
      <c r="I32" s="470">
        <f>90*1.15+23</f>
        <v>126.49999999999999</v>
      </c>
      <c r="J32" s="306">
        <f t="shared" si="13"/>
        <v>0.44533455945</v>
      </c>
      <c r="K32" s="322">
        <v>0.1</v>
      </c>
      <c r="L32" s="329">
        <f t="shared" si="14"/>
        <v>0.25</v>
      </c>
      <c r="M32" s="320">
        <f t="shared" si="15"/>
        <v>4.4533455945000001E-2</v>
      </c>
      <c r="N32" s="320">
        <f t="shared" si="16"/>
        <v>0.29453345594500002</v>
      </c>
      <c r="O32" s="314">
        <f t="shared" si="17"/>
        <v>28001925</v>
      </c>
      <c r="P32" s="1053">
        <f t="shared" si="4"/>
        <v>0.73986801539500002</v>
      </c>
      <c r="Q32" s="1047">
        <f t="shared" si="18"/>
        <v>82870914.707958549</v>
      </c>
      <c r="R32" s="310">
        <f t="shared" si="19"/>
        <v>0.48986801539500002</v>
      </c>
      <c r="S32" s="366">
        <f t="shared" si="20"/>
        <v>54868989.707958542</v>
      </c>
      <c r="T32" s="336">
        <f>-'OECD other kero subsidies'!E66</f>
        <v>0</v>
      </c>
      <c r="U32" s="342">
        <f t="shared" si="21"/>
        <v>0</v>
      </c>
      <c r="V32" s="111">
        <f t="shared" si="22"/>
        <v>54868989.707958542</v>
      </c>
      <c r="W32" s="320">
        <f t="shared" si="23"/>
        <v>3.2398680153950004</v>
      </c>
      <c r="X32" s="342">
        <f t="shared" si="24"/>
        <v>362890164.70795858</v>
      </c>
      <c r="Y32" s="1"/>
      <c r="AA32" s="1" t="s">
        <v>147</v>
      </c>
      <c r="AB32" s="1">
        <v>0</v>
      </c>
      <c r="AC32" s="1266">
        <v>7.9399999999999998E-2</v>
      </c>
    </row>
    <row r="33" spans="1:30" x14ac:dyDescent="0.6">
      <c r="A33" s="46">
        <f t="shared" si="25"/>
        <v>28</v>
      </c>
      <c r="B33" s="44" t="s">
        <v>32</v>
      </c>
      <c r="C33" s="290">
        <v>8</v>
      </c>
      <c r="D33" s="345">
        <f>C33*Assumptions!$C$24</f>
        <v>2597280</v>
      </c>
      <c r="E33" s="399">
        <f>Assumptions!$H$9</f>
        <v>0.77382200000000001</v>
      </c>
      <c r="F33" s="297">
        <f>Assumptions!$C$115</f>
        <v>3.7854100000000002</v>
      </c>
      <c r="G33" s="389"/>
      <c r="H33" s="301">
        <f>IF(C33=0,0,Assumptions!$C$96)</f>
        <v>2.5</v>
      </c>
      <c r="I33" s="452"/>
      <c r="J33" s="306">
        <f t="shared" si="13"/>
        <v>0</v>
      </c>
      <c r="K33" s="322">
        <v>0.1</v>
      </c>
      <c r="L33" s="329">
        <f t="shared" si="14"/>
        <v>0.25</v>
      </c>
      <c r="M33" s="320">
        <f t="shared" si="15"/>
        <v>0</v>
      </c>
      <c r="N33" s="320">
        <f t="shared" si="16"/>
        <v>0.25</v>
      </c>
      <c r="O33" s="314">
        <f t="shared" si="17"/>
        <v>649320</v>
      </c>
      <c r="P33" s="1053">
        <f t="shared" si="4"/>
        <v>0.25</v>
      </c>
      <c r="Q33" s="1047">
        <f t="shared" si="18"/>
        <v>649320</v>
      </c>
      <c r="R33" s="310">
        <f t="shared" si="19"/>
        <v>0</v>
      </c>
      <c r="S33" s="366">
        <f t="shared" si="20"/>
        <v>0</v>
      </c>
      <c r="T33" s="336">
        <f>-'OECD other kero subsidies'!E68</f>
        <v>0</v>
      </c>
      <c r="U33" s="342">
        <f t="shared" si="21"/>
        <v>0</v>
      </c>
      <c r="V33" s="111">
        <f t="shared" si="22"/>
        <v>0</v>
      </c>
      <c r="W33" s="320">
        <f t="shared" si="23"/>
        <v>2.75</v>
      </c>
      <c r="X33" s="342">
        <f t="shared" si="24"/>
        <v>7142520</v>
      </c>
      <c r="AA33" s="1" t="s">
        <v>170</v>
      </c>
      <c r="AB33" s="1">
        <v>0</v>
      </c>
      <c r="AC33" s="1266">
        <v>0</v>
      </c>
    </row>
    <row r="34" spans="1:30" ht="15.9" thickBot="1" x14ac:dyDescent="0.65">
      <c r="A34" s="15">
        <f t="shared" si="25"/>
        <v>29</v>
      </c>
      <c r="B34" s="47" t="s">
        <v>33</v>
      </c>
      <c r="C34" s="291">
        <v>0</v>
      </c>
      <c r="D34" s="347">
        <f>C34*Assumptions!$C$24</f>
        <v>0</v>
      </c>
      <c r="E34" s="417">
        <f>Assumptions!$H$10</f>
        <v>0.70460400000000001</v>
      </c>
      <c r="F34" s="299">
        <f>Assumptions!$C$115</f>
        <v>3.7854100000000002</v>
      </c>
      <c r="G34" s="445"/>
      <c r="H34" s="1055">
        <f>IF(C34=0,0,Assumptions!$C$96)</f>
        <v>0</v>
      </c>
      <c r="I34" s="453"/>
      <c r="J34" s="309">
        <f t="shared" si="13"/>
        <v>0</v>
      </c>
      <c r="K34" s="359">
        <v>0.15</v>
      </c>
      <c r="L34" s="334">
        <f t="shared" si="14"/>
        <v>0</v>
      </c>
      <c r="M34" s="321">
        <f t="shared" si="15"/>
        <v>0</v>
      </c>
      <c r="N34" s="321">
        <f t="shared" si="16"/>
        <v>0</v>
      </c>
      <c r="O34" s="319">
        <f t="shared" si="17"/>
        <v>0</v>
      </c>
      <c r="P34" s="1054">
        <f t="shared" si="4"/>
        <v>0</v>
      </c>
      <c r="Q34" s="1048">
        <f t="shared" si="18"/>
        <v>0</v>
      </c>
      <c r="R34" s="312">
        <f t="shared" si="19"/>
        <v>0</v>
      </c>
      <c r="S34" s="368">
        <f t="shared" si="20"/>
        <v>0</v>
      </c>
      <c r="T34" s="340">
        <f>-'OECD other kero subsidies'!E70</f>
        <v>0</v>
      </c>
      <c r="U34" s="344">
        <f t="shared" si="21"/>
        <v>0</v>
      </c>
      <c r="V34" s="163">
        <f t="shared" si="22"/>
        <v>0</v>
      </c>
      <c r="W34" s="321">
        <f t="shared" si="23"/>
        <v>0</v>
      </c>
      <c r="X34" s="344">
        <f t="shared" si="24"/>
        <v>0</v>
      </c>
      <c r="AA34" s="1" t="s">
        <v>187</v>
      </c>
      <c r="AB34" s="1">
        <v>0</v>
      </c>
      <c r="AC34" s="1266">
        <v>6.9699999999999998E-2</v>
      </c>
    </row>
    <row r="35" spans="1:30" ht="15.9" thickTop="1" x14ac:dyDescent="0.6">
      <c r="A35" s="49" t="s">
        <v>883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  <c r="AA35" s="1" t="s">
        <v>182</v>
      </c>
      <c r="AB35" s="1">
        <v>0</v>
      </c>
      <c r="AC35" s="1266">
        <v>7.3499999999999996E-2</v>
      </c>
    </row>
    <row r="36" spans="1:30" x14ac:dyDescent="0.6">
      <c r="A36" s="72">
        <f>A34+1</f>
        <v>30</v>
      </c>
      <c r="B36" s="50" t="s">
        <v>46</v>
      </c>
      <c r="C36" s="290">
        <v>955</v>
      </c>
      <c r="D36" s="348">
        <f>C36*Assumptions!$C$24</f>
        <v>310050300</v>
      </c>
      <c r="E36" s="399">
        <f>Assumptions!$H$11</f>
        <v>0.152529</v>
      </c>
      <c r="F36" s="297">
        <f>Assumptions!$C$115</f>
        <v>3.7854100000000002</v>
      </c>
      <c r="G36" s="295"/>
      <c r="H36" s="1163">
        <f>IF(C36=0,0,Assumptions!$C$96)</f>
        <v>2.5</v>
      </c>
      <c r="I36" s="1058">
        <v>1.2</v>
      </c>
      <c r="J36" s="306">
        <f>I36*F36*E36</f>
        <v>0.692861762268</v>
      </c>
      <c r="K36" s="322">
        <v>0.17</v>
      </c>
      <c r="L36" s="329">
        <f t="shared" ref="L36:L39" si="26">K36*H36</f>
        <v>0.42500000000000004</v>
      </c>
      <c r="M36" s="320">
        <f t="shared" ref="M36:M39" si="27">K36*J36</f>
        <v>0.11778649958556001</v>
      </c>
      <c r="N36" s="320">
        <f t="shared" ref="N36:N39" si="28">M36+L36</f>
        <v>0.54278649958556002</v>
      </c>
      <c r="O36" s="314">
        <f>L36*D36</f>
        <v>131771377.50000001</v>
      </c>
      <c r="P36" s="1053">
        <f t="shared" si="4"/>
        <v>1.23564826185356</v>
      </c>
      <c r="Q36" s="1047">
        <f>P36*D36</f>
        <v>383113114.28217483</v>
      </c>
      <c r="R36" s="310">
        <f t="shared" si="19"/>
        <v>0.81064826185355998</v>
      </c>
      <c r="S36" s="366">
        <f>D36*R36</f>
        <v>251341736.78217483</v>
      </c>
      <c r="T36" s="336">
        <f>-'OECD other kero subsidies'!E72</f>
        <v>0</v>
      </c>
      <c r="U36" s="342">
        <f>T36*E36</f>
        <v>0</v>
      </c>
      <c r="V36" s="111">
        <f>S36+U36</f>
        <v>251341736.78217483</v>
      </c>
      <c r="W36" s="320">
        <f t="shared" si="23"/>
        <v>3.7356482618535596</v>
      </c>
      <c r="X36" s="342">
        <f>W36*D36+U36</f>
        <v>1158238864.2821746</v>
      </c>
      <c r="AA36" s="1" t="s">
        <v>140</v>
      </c>
      <c r="AB36" s="1">
        <v>0.2</v>
      </c>
      <c r="AC36" s="1266">
        <v>8.48E-2</v>
      </c>
      <c r="AD36" s="28">
        <f>AC36*AB36</f>
        <v>1.6959999999999999E-2</v>
      </c>
    </row>
    <row r="37" spans="1:30" x14ac:dyDescent="0.6">
      <c r="A37" s="46">
        <f>A36+1</f>
        <v>31</v>
      </c>
      <c r="B37" s="50" t="s">
        <v>49</v>
      </c>
      <c r="C37" s="290">
        <v>64</v>
      </c>
      <c r="D37" s="348">
        <f>C37*Assumptions!$C$24</f>
        <v>20778240</v>
      </c>
      <c r="E37" s="399">
        <f>Assumptions!$H$12</f>
        <v>1.5587E-2</v>
      </c>
      <c r="F37" s="297">
        <f>Assumptions!$C$115</f>
        <v>3.7854100000000002</v>
      </c>
      <c r="G37" s="1057"/>
      <c r="H37" s="1163">
        <f>IF(C37=0,0,Assumptions!$C$96)</f>
        <v>2.5</v>
      </c>
      <c r="I37" s="1056"/>
      <c r="J37" s="306">
        <f>I37*F37*E37</f>
        <v>0</v>
      </c>
      <c r="K37" s="322">
        <v>0.25</v>
      </c>
      <c r="L37" s="329">
        <f t="shared" si="26"/>
        <v>0.625</v>
      </c>
      <c r="M37" s="320">
        <f t="shared" si="27"/>
        <v>0</v>
      </c>
      <c r="N37" s="320">
        <f t="shared" si="28"/>
        <v>0.625</v>
      </c>
      <c r="O37" s="314">
        <f>L37*D37</f>
        <v>12986400</v>
      </c>
      <c r="P37" s="1053">
        <f t="shared" si="4"/>
        <v>0.625</v>
      </c>
      <c r="Q37" s="1047">
        <f>P37*D37</f>
        <v>12986400</v>
      </c>
      <c r="R37" s="310">
        <f t="shared" si="19"/>
        <v>0</v>
      </c>
      <c r="S37" s="366">
        <f>D37*R37</f>
        <v>0</v>
      </c>
      <c r="T37" s="336">
        <f>-'OECD other kero subsidies'!E74</f>
        <v>0</v>
      </c>
      <c r="U37" s="342">
        <f>T37*E37</f>
        <v>0</v>
      </c>
      <c r="V37" s="111">
        <f>S37+U37</f>
        <v>0</v>
      </c>
      <c r="W37" s="320">
        <f t="shared" si="23"/>
        <v>3.125</v>
      </c>
      <c r="X37" s="342">
        <f>W37*D37+U37</f>
        <v>64932000</v>
      </c>
      <c r="AA37" s="1" t="s">
        <v>145</v>
      </c>
      <c r="AB37" s="1">
        <v>0.1</v>
      </c>
      <c r="AC37" s="1266">
        <v>6.9000000000000006E-2</v>
      </c>
      <c r="AD37" s="28">
        <f>AC37*AB37</f>
        <v>6.9000000000000008E-3</v>
      </c>
    </row>
    <row r="38" spans="1:30" x14ac:dyDescent="0.6">
      <c r="A38" s="46">
        <f>A37+1</f>
        <v>32</v>
      </c>
      <c r="B38" s="44" t="s">
        <v>50</v>
      </c>
      <c r="C38" s="290">
        <v>0</v>
      </c>
      <c r="D38" s="348">
        <f>C38*Assumptions!$C$24</f>
        <v>0</v>
      </c>
      <c r="E38" s="399">
        <f>Assumptions!$H$13</f>
        <v>0.30204900000000001</v>
      </c>
      <c r="F38" s="297">
        <f>Assumptions!$C$115</f>
        <v>3.7854100000000002</v>
      </c>
      <c r="G38" s="1045"/>
      <c r="H38" s="1077">
        <f>IF(C38=0,0,Assumptions!$C$96)</f>
        <v>0</v>
      </c>
      <c r="I38" s="1044"/>
      <c r="J38" s="306">
        <f>I38*F38*E38</f>
        <v>0</v>
      </c>
      <c r="K38" s="322">
        <v>0.19</v>
      </c>
      <c r="L38" s="329">
        <f t="shared" si="26"/>
        <v>0</v>
      </c>
      <c r="M38" s="320">
        <f t="shared" si="27"/>
        <v>0</v>
      </c>
      <c r="N38" s="320">
        <f t="shared" si="28"/>
        <v>0</v>
      </c>
      <c r="O38" s="314">
        <f>L38*D38</f>
        <v>0</v>
      </c>
      <c r="P38" s="1053">
        <f t="shared" si="4"/>
        <v>0</v>
      </c>
      <c r="Q38" s="1047">
        <f>P38*D38</f>
        <v>0</v>
      </c>
      <c r="R38" s="310">
        <f t="shared" si="19"/>
        <v>0</v>
      </c>
      <c r="S38" s="366">
        <f>D38*R38</f>
        <v>0</v>
      </c>
      <c r="T38" s="336">
        <f>-'OECD other kero subsidies'!E78</f>
        <v>0</v>
      </c>
      <c r="U38" s="342">
        <f>T38*E38</f>
        <v>0</v>
      </c>
      <c r="V38" s="111">
        <f t="shared" ref="V38" si="29">S38+U38</f>
        <v>0</v>
      </c>
      <c r="W38" s="320">
        <f t="shared" si="23"/>
        <v>0</v>
      </c>
      <c r="X38" s="342">
        <f>W38*D38+U38</f>
        <v>0</v>
      </c>
      <c r="AA38" s="1" t="s">
        <v>173</v>
      </c>
      <c r="AB38" s="1">
        <v>0</v>
      </c>
      <c r="AC38" s="1266">
        <v>6.5600000000000006E-2</v>
      </c>
    </row>
    <row r="39" spans="1:30" ht="15.9" thickBot="1" x14ac:dyDescent="0.65">
      <c r="A39" s="15">
        <f>A38+1</f>
        <v>33</v>
      </c>
      <c r="B39" s="47" t="s">
        <v>51</v>
      </c>
      <c r="C39" s="291">
        <v>0</v>
      </c>
      <c r="D39" s="349">
        <f>C39*Assumptions!$C$24</f>
        <v>0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IF(C39=0,0,Assumptions!$C$96)</f>
        <v>0</v>
      </c>
      <c r="I39" s="1076">
        <v>1.87</v>
      </c>
      <c r="J39" s="309">
        <f>I39*F39*E39</f>
        <v>0.12278034116150001</v>
      </c>
      <c r="K39" s="359">
        <v>0.18</v>
      </c>
      <c r="L39" s="334">
        <f t="shared" si="26"/>
        <v>0</v>
      </c>
      <c r="M39" s="321">
        <f t="shared" si="27"/>
        <v>2.2100461409070002E-2</v>
      </c>
      <c r="N39" s="321">
        <f t="shared" si="28"/>
        <v>2.2100461409070002E-2</v>
      </c>
      <c r="O39" s="319">
        <f>L39*D39</f>
        <v>0</v>
      </c>
      <c r="P39" s="1054">
        <f t="shared" si="4"/>
        <v>0.14488080257057001</v>
      </c>
      <c r="Q39" s="1048">
        <f>P39*D39</f>
        <v>0</v>
      </c>
      <c r="R39" s="312">
        <f t="shared" si="19"/>
        <v>0.14488080257057001</v>
      </c>
      <c r="S39" s="368">
        <f>D39*R39</f>
        <v>0</v>
      </c>
      <c r="T39" s="340">
        <f>-'OECD other kero subsidies'!E80</f>
        <v>0</v>
      </c>
      <c r="U39" s="344">
        <f>T39*E39</f>
        <v>0</v>
      </c>
      <c r="V39" s="163">
        <f>S39+U39</f>
        <v>0</v>
      </c>
      <c r="W39" s="321">
        <f t="shared" si="23"/>
        <v>0.14488080257057001</v>
      </c>
      <c r="X39" s="344">
        <f>W39*D39+U39</f>
        <v>0</v>
      </c>
      <c r="AA39" s="1" t="s">
        <v>163</v>
      </c>
      <c r="AB39" s="1">
        <v>0</v>
      </c>
      <c r="AC39" s="1266">
        <v>7.0999999999999994E-2</v>
      </c>
    </row>
    <row r="40" spans="1:30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393"/>
      <c r="J40" s="394"/>
      <c r="K40" s="322"/>
      <c r="L40" s="329"/>
      <c r="M40" s="320"/>
      <c r="N40" s="320"/>
      <c r="O40" s="314"/>
      <c r="P40" s="1046"/>
      <c r="Q40" s="1047"/>
      <c r="R40" s="395"/>
      <c r="S40" s="396"/>
      <c r="T40" s="542"/>
      <c r="U40" s="543"/>
      <c r="V40" s="573"/>
      <c r="W40" s="571"/>
      <c r="X40" s="548"/>
      <c r="Z40" s="55"/>
      <c r="AA40" s="1" t="s">
        <v>185</v>
      </c>
      <c r="AB40" s="1">
        <v>0</v>
      </c>
      <c r="AC40" s="1266">
        <v>8.77E-2</v>
      </c>
    </row>
    <row r="41" spans="1:30" x14ac:dyDescent="0.6">
      <c r="A41" s="61">
        <f>A39+1</f>
        <v>34</v>
      </c>
      <c r="B41" s="44" t="s">
        <v>48</v>
      </c>
      <c r="C41" s="290">
        <v>0</v>
      </c>
      <c r="D41" s="348">
        <f>C41*Assumptions!$C$24</f>
        <v>0</v>
      </c>
      <c r="E41" s="399"/>
      <c r="F41" s="390">
        <f>Assumptions!$C$115</f>
        <v>3.7854100000000002</v>
      </c>
      <c r="G41" s="1128"/>
      <c r="H41" s="1163">
        <f>IF(C41=0,0,Assumptions!$C$96)</f>
        <v>0</v>
      </c>
      <c r="I41" s="382"/>
      <c r="J41" s="394"/>
      <c r="K41" s="322"/>
      <c r="L41" s="329"/>
      <c r="M41" s="320"/>
      <c r="N41" s="320"/>
      <c r="O41" s="314"/>
      <c r="P41" s="1046"/>
      <c r="Q41" s="1047"/>
      <c r="R41" s="395"/>
      <c r="S41" s="396"/>
      <c r="T41" s="336"/>
      <c r="U41" s="342"/>
      <c r="V41" s="574"/>
      <c r="W41" s="1043">
        <f t="shared" ref="W41:W65" si="30">H41</f>
        <v>0</v>
      </c>
      <c r="X41" s="342">
        <f t="shared" ref="X41:X65" si="31">W41*D41</f>
        <v>0</v>
      </c>
      <c r="AA41" s="1" t="s">
        <v>153</v>
      </c>
      <c r="AB41" s="1">
        <v>0</v>
      </c>
      <c r="AC41" s="1266">
        <v>0</v>
      </c>
    </row>
    <row r="42" spans="1:30" x14ac:dyDescent="0.6">
      <c r="A42" s="46">
        <f>A41+1</f>
        <v>35</v>
      </c>
      <c r="B42" s="44" t="s">
        <v>53</v>
      </c>
      <c r="C42" s="290">
        <v>0</v>
      </c>
      <c r="D42" s="348">
        <f>C42*Assumptions!$C$24</f>
        <v>0</v>
      </c>
      <c r="E42" s="391"/>
      <c r="F42" s="390">
        <f>Assumptions!$C$115</f>
        <v>3.7854100000000002</v>
      </c>
      <c r="G42" s="1128"/>
      <c r="H42" s="1163">
        <f>IF(C42=0,0,Assumptions!$C$96)</f>
        <v>0</v>
      </c>
      <c r="I42" s="382"/>
      <c r="J42" s="394"/>
      <c r="K42" s="322"/>
      <c r="L42" s="329"/>
      <c r="M42" s="320"/>
      <c r="N42" s="320"/>
      <c r="O42" s="314"/>
      <c r="P42" s="1046"/>
      <c r="Q42" s="1047"/>
      <c r="R42" s="395"/>
      <c r="S42" s="394"/>
      <c r="T42" s="336"/>
      <c r="U42" s="342"/>
      <c r="V42" s="574"/>
      <c r="W42" s="1043">
        <f t="shared" si="30"/>
        <v>0</v>
      </c>
      <c r="X42" s="342">
        <f t="shared" si="31"/>
        <v>0</v>
      </c>
      <c r="AA42" s="1" t="s">
        <v>138</v>
      </c>
      <c r="AB42" s="1">
        <v>0.1</v>
      </c>
      <c r="AC42" s="1266">
        <v>6.3399999999999998E-2</v>
      </c>
      <c r="AD42" s="28">
        <f>AC42*AB42</f>
        <v>6.3400000000000001E-3</v>
      </c>
    </row>
    <row r="43" spans="1:30" x14ac:dyDescent="0.6">
      <c r="A43" s="46">
        <f t="shared" ref="A43:A65" si="32">A42+1</f>
        <v>36</v>
      </c>
      <c r="B43" s="44" t="s">
        <v>54</v>
      </c>
      <c r="C43" s="290">
        <v>0</v>
      </c>
      <c r="D43" s="348">
        <f>C43*Assumptions!$C$24</f>
        <v>0</v>
      </c>
      <c r="E43" s="391"/>
      <c r="F43" s="390">
        <f>Assumptions!$C$115</f>
        <v>3.7854100000000002</v>
      </c>
      <c r="G43" s="1128"/>
      <c r="H43" s="1163">
        <f>IF(C43=0,0,Assumptions!$C$96)</f>
        <v>0</v>
      </c>
      <c r="I43" s="382"/>
      <c r="J43" s="394"/>
      <c r="K43" s="322"/>
      <c r="L43" s="329"/>
      <c r="M43" s="320"/>
      <c r="N43" s="320"/>
      <c r="O43" s="314"/>
      <c r="P43" s="1046"/>
      <c r="Q43" s="1047"/>
      <c r="R43" s="395"/>
      <c r="S43" s="396"/>
      <c r="T43" s="336"/>
      <c r="U43" s="342"/>
      <c r="V43" s="574"/>
      <c r="W43" s="1043">
        <f t="shared" si="30"/>
        <v>0</v>
      </c>
      <c r="X43" s="342">
        <f t="shared" si="31"/>
        <v>0</v>
      </c>
      <c r="AA43" s="1" t="s">
        <v>146</v>
      </c>
      <c r="AB43" s="1">
        <v>0</v>
      </c>
      <c r="AC43" s="1266">
        <v>7.0000000000000007E-2</v>
      </c>
    </row>
    <row r="44" spans="1:30" s="85" customFormat="1" x14ac:dyDescent="0.6">
      <c r="A44" s="61">
        <f t="shared" si="32"/>
        <v>37</v>
      </c>
      <c r="B44" s="86" t="s">
        <v>55</v>
      </c>
      <c r="C44" s="290">
        <v>1</v>
      </c>
      <c r="D44" s="348">
        <f>C44*Assumptions!$C$24</f>
        <v>324660</v>
      </c>
      <c r="E44" s="1005"/>
      <c r="F44" s="1006">
        <f>Assumptions!$C$115</f>
        <v>3.7854100000000002</v>
      </c>
      <c r="G44" s="1128"/>
      <c r="H44" s="1163">
        <f>IF(C44=0,0,Assumptions!$C$96)</f>
        <v>2.5</v>
      </c>
      <c r="I44" s="393"/>
      <c r="J44" s="394"/>
      <c r="K44" s="322"/>
      <c r="L44" s="329"/>
      <c r="M44" s="320"/>
      <c r="N44" s="320"/>
      <c r="O44" s="314"/>
      <c r="P44" s="1046"/>
      <c r="Q44" s="1047"/>
      <c r="R44" s="395"/>
      <c r="S44" s="396"/>
      <c r="T44" s="1007"/>
      <c r="U44" s="847"/>
      <c r="V44" s="1008"/>
      <c r="W44" s="1043">
        <f t="shared" si="30"/>
        <v>2.5</v>
      </c>
      <c r="X44" s="847">
        <f t="shared" si="31"/>
        <v>811650</v>
      </c>
      <c r="Y44" s="506"/>
      <c r="AA44" s="85" t="s">
        <v>186</v>
      </c>
      <c r="AB44" s="85">
        <v>0</v>
      </c>
      <c r="AC44" s="1267">
        <v>7.1300000000000002E-2</v>
      </c>
    </row>
    <row r="45" spans="1:30" s="85" customFormat="1" x14ac:dyDescent="0.6">
      <c r="A45" s="61">
        <f t="shared" si="32"/>
        <v>38</v>
      </c>
      <c r="B45" s="86" t="s">
        <v>56</v>
      </c>
      <c r="C45" s="290">
        <v>0</v>
      </c>
      <c r="D45" s="348">
        <f>C45*Assumptions!$C$24</f>
        <v>0</v>
      </c>
      <c r="E45" s="1005"/>
      <c r="F45" s="1006">
        <f>Assumptions!$C$115</f>
        <v>3.7854100000000002</v>
      </c>
      <c r="G45" s="1128"/>
      <c r="H45" s="1163">
        <f>IF(C45=0,0,Assumptions!$C$96)</f>
        <v>0</v>
      </c>
      <c r="I45" s="393"/>
      <c r="J45" s="394"/>
      <c r="K45" s="322"/>
      <c r="L45" s="329"/>
      <c r="M45" s="320"/>
      <c r="N45" s="320"/>
      <c r="O45" s="314"/>
      <c r="P45" s="1046"/>
      <c r="Q45" s="1047"/>
      <c r="R45" s="395"/>
      <c r="S45" s="396"/>
      <c r="T45" s="1007"/>
      <c r="U45" s="847"/>
      <c r="V45" s="1008"/>
      <c r="W45" s="1043">
        <f t="shared" si="30"/>
        <v>0</v>
      </c>
      <c r="X45" s="847">
        <f t="shared" si="31"/>
        <v>0</v>
      </c>
      <c r="Y45" s="506"/>
      <c r="AA45" s="85" t="s">
        <v>159</v>
      </c>
      <c r="AB45" s="85">
        <v>0</v>
      </c>
      <c r="AC45" s="1267">
        <v>5.8299999999999998E-2</v>
      </c>
    </row>
    <row r="46" spans="1:30" x14ac:dyDescent="0.6">
      <c r="A46" s="46">
        <f t="shared" si="32"/>
        <v>39</v>
      </c>
      <c r="B46" s="44" t="s">
        <v>57</v>
      </c>
      <c r="C46" s="290">
        <v>0</v>
      </c>
      <c r="D46" s="348">
        <f>C46*Assumptions!$C$24</f>
        <v>0</v>
      </c>
      <c r="E46" s="391"/>
      <c r="F46" s="390">
        <f>Assumptions!$C$115</f>
        <v>3.7854100000000002</v>
      </c>
      <c r="G46" s="1128"/>
      <c r="H46" s="1163">
        <f>IF(C46=0,0,Assumptions!$C$96)</f>
        <v>0</v>
      </c>
      <c r="I46" s="382"/>
      <c r="J46" s="400"/>
      <c r="K46" s="323"/>
      <c r="L46" s="329"/>
      <c r="M46" s="324"/>
      <c r="N46" s="324"/>
      <c r="O46" s="314"/>
      <c r="P46" s="1046"/>
      <c r="Q46" s="1047"/>
      <c r="R46" s="401"/>
      <c r="S46" s="396"/>
      <c r="T46" s="336"/>
      <c r="U46" s="342"/>
      <c r="V46" s="574"/>
      <c r="W46" s="1043">
        <f t="shared" si="30"/>
        <v>0</v>
      </c>
      <c r="X46" s="342">
        <f t="shared" si="31"/>
        <v>0</v>
      </c>
      <c r="AA46" s="1" t="s">
        <v>177</v>
      </c>
      <c r="AB46" s="1">
        <v>0</v>
      </c>
      <c r="AC46" s="1266">
        <v>9.4500000000000001E-2</v>
      </c>
    </row>
    <row r="47" spans="1:30" x14ac:dyDescent="0.6">
      <c r="A47" s="46">
        <f t="shared" si="32"/>
        <v>40</v>
      </c>
      <c r="B47" s="44" t="s">
        <v>58</v>
      </c>
      <c r="C47" s="290">
        <v>0</v>
      </c>
      <c r="D47" s="348">
        <f>C47*Assumptions!$C$24</f>
        <v>0</v>
      </c>
      <c r="E47" s="391"/>
      <c r="F47" s="390">
        <f>Assumptions!$C$115</f>
        <v>3.7854100000000002</v>
      </c>
      <c r="G47" s="1128"/>
      <c r="H47" s="1163">
        <f>IF(C47=0,0,Assumptions!$C$96)</f>
        <v>0</v>
      </c>
      <c r="I47" s="382"/>
      <c r="J47" s="392"/>
      <c r="K47" s="325"/>
      <c r="L47" s="329"/>
      <c r="M47" s="281"/>
      <c r="N47" s="281"/>
      <c r="O47" s="314"/>
      <c r="P47" s="1046"/>
      <c r="Q47" s="1047"/>
      <c r="R47" s="402"/>
      <c r="S47" s="403"/>
      <c r="T47" s="336"/>
      <c r="U47" s="342"/>
      <c r="V47" s="574"/>
      <c r="W47" s="1043">
        <f t="shared" si="30"/>
        <v>0</v>
      </c>
      <c r="X47" s="342">
        <f t="shared" si="31"/>
        <v>0</v>
      </c>
      <c r="AA47" s="1" t="s">
        <v>180</v>
      </c>
      <c r="AB47" s="1">
        <v>0</v>
      </c>
      <c r="AC47" s="1266">
        <v>8.0500000000000002E-2</v>
      </c>
    </row>
    <row r="48" spans="1:30" x14ac:dyDescent="0.6">
      <c r="A48" s="46">
        <f t="shared" si="32"/>
        <v>41</v>
      </c>
      <c r="B48" s="44" t="s">
        <v>59</v>
      </c>
      <c r="C48" s="290">
        <v>0</v>
      </c>
      <c r="D48" s="348">
        <f>C48*Assumptions!$C$24</f>
        <v>0</v>
      </c>
      <c r="E48" s="391"/>
      <c r="F48" s="390">
        <f>Assumptions!$C$115</f>
        <v>3.7854100000000002</v>
      </c>
      <c r="G48" s="1128"/>
      <c r="H48" s="1163">
        <f>IF(C48=0,0,Assumptions!$C$96)</f>
        <v>0</v>
      </c>
      <c r="I48" s="382"/>
      <c r="J48" s="392"/>
      <c r="K48" s="325"/>
      <c r="L48" s="329"/>
      <c r="M48" s="281"/>
      <c r="N48" s="281"/>
      <c r="O48" s="314"/>
      <c r="P48" s="1046"/>
      <c r="Q48" s="1047"/>
      <c r="R48" s="402"/>
      <c r="S48" s="396"/>
      <c r="T48" s="336"/>
      <c r="U48" s="342"/>
      <c r="V48" s="574"/>
      <c r="W48" s="1043">
        <f t="shared" si="30"/>
        <v>0</v>
      </c>
      <c r="X48" s="342">
        <f t="shared" si="31"/>
        <v>0</v>
      </c>
      <c r="AA48" s="1" t="s">
        <v>161</v>
      </c>
      <c r="AB48" s="1">
        <v>0</v>
      </c>
      <c r="AC48" s="1266">
        <v>6.6799999999999998E-2</v>
      </c>
    </row>
    <row r="49" spans="1:31" x14ac:dyDescent="0.6">
      <c r="A49" s="46">
        <f t="shared" si="32"/>
        <v>42</v>
      </c>
      <c r="B49" s="44" t="s">
        <v>60</v>
      </c>
      <c r="C49" s="290">
        <v>0</v>
      </c>
      <c r="D49" s="348">
        <f>C49*Assumptions!$C$24</f>
        <v>0</v>
      </c>
      <c r="E49" s="391"/>
      <c r="F49" s="390">
        <f>Assumptions!$C$115</f>
        <v>3.7854100000000002</v>
      </c>
      <c r="G49" s="1128"/>
      <c r="H49" s="1163">
        <f>IF(C49=0,0,Assumptions!$C$96)</f>
        <v>0</v>
      </c>
      <c r="I49" s="382"/>
      <c r="J49" s="392"/>
      <c r="K49" s="325"/>
      <c r="L49" s="329"/>
      <c r="M49" s="281"/>
      <c r="N49" s="281"/>
      <c r="O49" s="314"/>
      <c r="P49" s="1046"/>
      <c r="Q49" s="1047"/>
      <c r="R49" s="402"/>
      <c r="S49" s="396"/>
      <c r="T49" s="336"/>
      <c r="U49" s="342"/>
      <c r="V49" s="574"/>
      <c r="W49" s="1043">
        <f t="shared" si="30"/>
        <v>0</v>
      </c>
      <c r="X49" s="342">
        <f t="shared" si="31"/>
        <v>0</v>
      </c>
      <c r="AA49" s="1" t="s">
        <v>156</v>
      </c>
      <c r="AB49" s="1">
        <v>0</v>
      </c>
      <c r="AC49" s="1266">
        <v>6.1400000000000003E-2</v>
      </c>
    </row>
    <row r="50" spans="1:31" s="85" customFormat="1" x14ac:dyDescent="0.6">
      <c r="A50" s="61">
        <f t="shared" si="32"/>
        <v>43</v>
      </c>
      <c r="B50" s="86" t="s">
        <v>61</v>
      </c>
      <c r="C50" s="290">
        <v>30</v>
      </c>
      <c r="D50" s="348">
        <f>C50*Assumptions!$C$24</f>
        <v>9739800</v>
      </c>
      <c r="E50" s="1009"/>
      <c r="F50" s="1006">
        <f>Assumptions!$C$115</f>
        <v>3.7854100000000002</v>
      </c>
      <c r="G50" s="1128"/>
      <c r="H50" s="1163">
        <f>IF(C50=0,0,Assumptions!$C$96)</f>
        <v>2.5</v>
      </c>
      <c r="I50" s="393"/>
      <c r="J50" s="394"/>
      <c r="K50" s="322"/>
      <c r="L50" s="329"/>
      <c r="M50" s="320"/>
      <c r="N50" s="320"/>
      <c r="O50" s="314"/>
      <c r="P50" s="1046"/>
      <c r="Q50" s="1047"/>
      <c r="R50" s="395"/>
      <c r="S50" s="396"/>
      <c r="T50" s="1007"/>
      <c r="U50" s="847"/>
      <c r="V50" s="1008"/>
      <c r="W50" s="1043">
        <f t="shared" si="30"/>
        <v>2.5</v>
      </c>
      <c r="X50" s="847">
        <f t="shared" si="31"/>
        <v>24349500</v>
      </c>
      <c r="Y50" s="506"/>
      <c r="AA50" s="85" t="s">
        <v>174</v>
      </c>
      <c r="AB50" s="85">
        <v>0.1</v>
      </c>
      <c r="AC50" s="1267">
        <v>5.6300000000000003E-2</v>
      </c>
      <c r="AD50" s="28">
        <f>AC50*AB50</f>
        <v>5.6300000000000005E-3</v>
      </c>
    </row>
    <row r="51" spans="1:31" s="85" customFormat="1" x14ac:dyDescent="0.6">
      <c r="A51" s="61">
        <f t="shared" si="32"/>
        <v>44</v>
      </c>
      <c r="B51" s="86" t="s">
        <v>62</v>
      </c>
      <c r="C51" s="290">
        <v>0</v>
      </c>
      <c r="D51" s="348">
        <f>C51*Assumptions!$C$24</f>
        <v>0</v>
      </c>
      <c r="E51" s="1005"/>
      <c r="F51" s="1006">
        <f>Assumptions!$C$115</f>
        <v>3.7854100000000002</v>
      </c>
      <c r="G51" s="1128"/>
      <c r="H51" s="1163">
        <f>IF(C51=0,0,Assumptions!$C$96)</f>
        <v>0</v>
      </c>
      <c r="I51" s="393"/>
      <c r="J51" s="394"/>
      <c r="K51" s="322"/>
      <c r="L51" s="329"/>
      <c r="M51" s="320"/>
      <c r="N51" s="320"/>
      <c r="O51" s="314"/>
      <c r="P51" s="1046"/>
      <c r="Q51" s="1047"/>
      <c r="R51" s="395"/>
      <c r="S51" s="396"/>
      <c r="T51" s="1007"/>
      <c r="U51" s="847"/>
      <c r="V51" s="1008"/>
      <c r="W51" s="1043">
        <f t="shared" si="30"/>
        <v>0</v>
      </c>
      <c r="X51" s="847">
        <f t="shared" si="31"/>
        <v>0</v>
      </c>
      <c r="Y51" s="506"/>
      <c r="AA51" s="85" t="s">
        <v>139</v>
      </c>
      <c r="AB51" s="85">
        <v>0</v>
      </c>
      <c r="AC51" s="1267">
        <v>8.8900000000000007E-2</v>
      </c>
    </row>
    <row r="52" spans="1:31" s="85" customFormat="1" x14ac:dyDescent="0.6">
      <c r="A52" s="61">
        <f t="shared" si="32"/>
        <v>45</v>
      </c>
      <c r="B52" s="86" t="s">
        <v>63</v>
      </c>
      <c r="C52" s="290">
        <v>57</v>
      </c>
      <c r="D52" s="348">
        <f>C52*Assumptions!$C$24</f>
        <v>18505620</v>
      </c>
      <c r="E52" s="1005"/>
      <c r="F52" s="1006">
        <f>Assumptions!$C$115</f>
        <v>3.7854100000000002</v>
      </c>
      <c r="G52" s="1128"/>
      <c r="H52" s="1163">
        <f>IF(C52=0,0,Assumptions!$C$96)</f>
        <v>2.5</v>
      </c>
      <c r="I52" s="393"/>
      <c r="J52" s="394"/>
      <c r="K52" s="322"/>
      <c r="L52" s="329"/>
      <c r="M52" s="320"/>
      <c r="N52" s="320"/>
      <c r="O52" s="314"/>
      <c r="P52" s="1046"/>
      <c r="Q52" s="1047"/>
      <c r="R52" s="395"/>
      <c r="S52" s="396"/>
      <c r="T52" s="1007"/>
      <c r="U52" s="847"/>
      <c r="V52" s="1008"/>
      <c r="W52" s="1043">
        <f t="shared" si="30"/>
        <v>2.5</v>
      </c>
      <c r="X52" s="847">
        <f t="shared" si="31"/>
        <v>46264050</v>
      </c>
      <c r="Y52" s="70"/>
      <c r="AA52" s="85" t="s">
        <v>148</v>
      </c>
      <c r="AB52" s="85">
        <v>0</v>
      </c>
      <c r="AC52" s="1267">
        <v>6.0699999999999997E-2</v>
      </c>
    </row>
    <row r="53" spans="1:31" s="85" customFormat="1" x14ac:dyDescent="0.6">
      <c r="A53" s="61">
        <f t="shared" si="32"/>
        <v>46</v>
      </c>
      <c r="B53" s="86" t="s">
        <v>64</v>
      </c>
      <c r="C53" s="290">
        <v>0</v>
      </c>
      <c r="D53" s="348">
        <f>C53*Assumptions!$C$24</f>
        <v>0</v>
      </c>
      <c r="E53" s="1005"/>
      <c r="F53" s="1006">
        <f>Assumptions!$C$115</f>
        <v>3.7854100000000002</v>
      </c>
      <c r="G53" s="1128"/>
      <c r="H53" s="1163">
        <f>IF(C53=0,0,Assumptions!$C$96)</f>
        <v>0</v>
      </c>
      <c r="I53" s="393"/>
      <c r="J53" s="394"/>
      <c r="K53" s="322"/>
      <c r="L53" s="329"/>
      <c r="M53" s="320"/>
      <c r="N53" s="320"/>
      <c r="O53" s="314"/>
      <c r="P53" s="1046"/>
      <c r="Q53" s="1047"/>
      <c r="R53" s="395"/>
      <c r="S53" s="396"/>
      <c r="T53" s="1007"/>
      <c r="U53" s="847"/>
      <c r="V53" s="1008"/>
      <c r="W53" s="1043">
        <f t="shared" si="30"/>
        <v>0</v>
      </c>
      <c r="X53" s="847">
        <f t="shared" si="31"/>
        <v>0</v>
      </c>
      <c r="Y53" s="506"/>
      <c r="AA53" s="85" t="s">
        <v>149</v>
      </c>
      <c r="AB53" s="85">
        <v>0</v>
      </c>
      <c r="AC53" s="1267">
        <v>5.4300000000000001E-2</v>
      </c>
    </row>
    <row r="54" spans="1:31" s="85" customFormat="1" x14ac:dyDescent="0.6">
      <c r="A54" s="61">
        <f t="shared" si="32"/>
        <v>47</v>
      </c>
      <c r="B54" s="86" t="s">
        <v>65</v>
      </c>
      <c r="C54" s="290">
        <v>0</v>
      </c>
      <c r="D54" s="348">
        <f>C54*Assumptions!$C$24</f>
        <v>0</v>
      </c>
      <c r="E54" s="1005"/>
      <c r="F54" s="1006">
        <f>Assumptions!$C$115</f>
        <v>3.7854100000000002</v>
      </c>
      <c r="G54" s="1128"/>
      <c r="H54" s="1163">
        <f>IF(C54=0,0,Assumptions!$C$96)</f>
        <v>0</v>
      </c>
      <c r="I54" s="393"/>
      <c r="J54" s="394"/>
      <c r="K54" s="322"/>
      <c r="L54" s="329"/>
      <c r="M54" s="320"/>
      <c r="N54" s="320"/>
      <c r="O54" s="314"/>
      <c r="P54" s="1046"/>
      <c r="Q54" s="1047"/>
      <c r="R54" s="395"/>
      <c r="S54" s="396"/>
      <c r="T54" s="1007"/>
      <c r="U54" s="1010"/>
      <c r="V54" s="1011"/>
      <c r="W54" s="1043">
        <f t="shared" si="30"/>
        <v>0</v>
      </c>
      <c r="X54" s="847">
        <f t="shared" si="31"/>
        <v>0</v>
      </c>
      <c r="Y54" s="70"/>
      <c r="AA54" s="85" t="s">
        <v>169</v>
      </c>
      <c r="AB54" s="85">
        <v>0</v>
      </c>
      <c r="AC54" s="1267">
        <v>5.4699999999999999E-2</v>
      </c>
    </row>
    <row r="55" spans="1:31" s="85" customFormat="1" x14ac:dyDescent="0.6">
      <c r="A55" s="61">
        <f t="shared" si="32"/>
        <v>48</v>
      </c>
      <c r="B55" s="86" t="s">
        <v>66</v>
      </c>
      <c r="C55" s="290">
        <v>0</v>
      </c>
      <c r="D55" s="348">
        <f>C55*Assumptions!$C$24</f>
        <v>0</v>
      </c>
      <c r="E55" s="1005"/>
      <c r="F55" s="1006">
        <f>Assumptions!$C$115</f>
        <v>3.7854100000000002</v>
      </c>
      <c r="G55" s="1128"/>
      <c r="H55" s="1163">
        <f>IF(C55=0,0,Assumptions!$C$96)</f>
        <v>0</v>
      </c>
      <c r="I55" s="393"/>
      <c r="J55" s="394"/>
      <c r="K55" s="322"/>
      <c r="L55" s="329"/>
      <c r="M55" s="320"/>
      <c r="N55" s="320"/>
      <c r="O55" s="314"/>
      <c r="P55" s="1046"/>
      <c r="Q55" s="1047"/>
      <c r="R55" s="395"/>
      <c r="S55" s="396"/>
      <c r="T55" s="1007"/>
      <c r="U55" s="1010"/>
      <c r="V55" s="1011"/>
      <c r="W55" s="1043">
        <f t="shared" si="30"/>
        <v>0</v>
      </c>
      <c r="X55" s="847">
        <f t="shared" si="31"/>
        <v>0</v>
      </c>
      <c r="Y55" s="506"/>
      <c r="AB55" s="85">
        <f>SUM(AB4:AB54)</f>
        <v>0.9</v>
      </c>
      <c r="AC55" s="1267"/>
      <c r="AD55" s="360">
        <f>SUM(AD4:AD54)/AB55</f>
        <v>6.6755555555555554E-2</v>
      </c>
      <c r="AE55" s="1268" t="s">
        <v>1196</v>
      </c>
    </row>
    <row r="56" spans="1:31" s="85" customFormat="1" x14ac:dyDescent="0.6">
      <c r="A56" s="61">
        <f t="shared" si="32"/>
        <v>49</v>
      </c>
      <c r="B56" s="86" t="s">
        <v>67</v>
      </c>
      <c r="C56" s="290">
        <v>0</v>
      </c>
      <c r="D56" s="348">
        <f>C56*Assumptions!$C$24</f>
        <v>0</v>
      </c>
      <c r="E56" s="1005"/>
      <c r="F56" s="1006">
        <f>Assumptions!$C$115</f>
        <v>3.7854100000000002</v>
      </c>
      <c r="G56" s="1128"/>
      <c r="H56" s="1163">
        <f>IF(C56=0,0,Assumptions!$C$96)</f>
        <v>0</v>
      </c>
      <c r="I56" s="393"/>
      <c r="J56" s="394"/>
      <c r="K56" s="322"/>
      <c r="L56" s="329"/>
      <c r="M56" s="320"/>
      <c r="N56" s="320"/>
      <c r="O56" s="314"/>
      <c r="P56" s="1046"/>
      <c r="Q56" s="1047"/>
      <c r="R56" s="395"/>
      <c r="S56" s="396"/>
      <c r="T56" s="1007"/>
      <c r="U56" s="1010"/>
      <c r="V56" s="1011"/>
      <c r="W56" s="1043">
        <f t="shared" si="30"/>
        <v>0</v>
      </c>
      <c r="X56" s="847">
        <f t="shared" si="31"/>
        <v>0</v>
      </c>
      <c r="Y56" s="506"/>
      <c r="AC56" s="1267"/>
    </row>
    <row r="57" spans="1:31" s="85" customFormat="1" x14ac:dyDescent="0.6">
      <c r="A57" s="61">
        <f t="shared" si="32"/>
        <v>50</v>
      </c>
      <c r="B57" s="86" t="s">
        <v>68</v>
      </c>
      <c r="C57" s="290">
        <v>1</v>
      </c>
      <c r="D57" s="348">
        <f>C57*Assumptions!$C$24</f>
        <v>324660</v>
      </c>
      <c r="E57" s="1005"/>
      <c r="F57" s="1006">
        <f>Assumptions!$C$115</f>
        <v>3.7854100000000002</v>
      </c>
      <c r="G57" s="1128"/>
      <c r="H57" s="1163">
        <f>IF(C57=0,0,Assumptions!$C$96)</f>
        <v>2.5</v>
      </c>
      <c r="I57" s="393"/>
      <c r="J57" s="394"/>
      <c r="K57" s="322"/>
      <c r="L57" s="329"/>
      <c r="M57" s="320"/>
      <c r="N57" s="320"/>
      <c r="O57" s="314"/>
      <c r="P57" s="1046"/>
      <c r="Q57" s="1047"/>
      <c r="R57" s="395"/>
      <c r="S57" s="396"/>
      <c r="T57" s="1007"/>
      <c r="U57" s="1010"/>
      <c r="V57" s="1011"/>
      <c r="W57" s="1043">
        <f t="shared" si="30"/>
        <v>2.5</v>
      </c>
      <c r="X57" s="847">
        <f t="shared" si="31"/>
        <v>811650</v>
      </c>
      <c r="Y57" s="506"/>
      <c r="AC57" s="1267"/>
    </row>
    <row r="58" spans="1:31" s="85" customFormat="1" x14ac:dyDescent="0.6">
      <c r="A58" s="61">
        <f t="shared" si="32"/>
        <v>51</v>
      </c>
      <c r="B58" s="86" t="s">
        <v>695</v>
      </c>
      <c r="C58" s="290">
        <v>0</v>
      </c>
      <c r="D58" s="348">
        <f>C58*Assumptions!$C$24</f>
        <v>0</v>
      </c>
      <c r="E58" s="1005"/>
      <c r="F58" s="1006">
        <f>Assumptions!$C$115</f>
        <v>3.7854100000000002</v>
      </c>
      <c r="G58" s="1128"/>
      <c r="H58" s="1163">
        <f>IF(C58=0,0,Assumptions!$C$96)</f>
        <v>0</v>
      </c>
      <c r="I58" s="393"/>
      <c r="J58" s="394"/>
      <c r="K58" s="322"/>
      <c r="L58" s="329"/>
      <c r="M58" s="320"/>
      <c r="N58" s="320"/>
      <c r="O58" s="314"/>
      <c r="P58" s="1046"/>
      <c r="Q58" s="1047"/>
      <c r="R58" s="395"/>
      <c r="S58" s="396"/>
      <c r="T58" s="1007"/>
      <c r="U58" s="1010"/>
      <c r="V58" s="1011"/>
      <c r="W58" s="1043">
        <f t="shared" si="30"/>
        <v>0</v>
      </c>
      <c r="X58" s="847">
        <f t="shared" si="31"/>
        <v>0</v>
      </c>
      <c r="Y58" s="506"/>
      <c r="AC58" s="1267"/>
    </row>
    <row r="59" spans="1:31" s="85" customFormat="1" x14ac:dyDescent="0.6">
      <c r="A59" s="61">
        <f t="shared" si="32"/>
        <v>52</v>
      </c>
      <c r="B59" s="86" t="s">
        <v>69</v>
      </c>
      <c r="C59" s="290">
        <v>0</v>
      </c>
      <c r="D59" s="348">
        <f>C59*Assumptions!$C$24</f>
        <v>0</v>
      </c>
      <c r="E59" s="1005"/>
      <c r="F59" s="1006">
        <f>Assumptions!$C$115</f>
        <v>3.7854100000000002</v>
      </c>
      <c r="G59" s="1128"/>
      <c r="H59" s="1163">
        <f>IF(C59=0,0,Assumptions!$C$96)</f>
        <v>0</v>
      </c>
      <c r="I59" s="393"/>
      <c r="J59" s="394"/>
      <c r="K59" s="322"/>
      <c r="L59" s="329"/>
      <c r="M59" s="320"/>
      <c r="N59" s="320"/>
      <c r="O59" s="314"/>
      <c r="P59" s="1046"/>
      <c r="Q59" s="1047"/>
      <c r="R59" s="395"/>
      <c r="S59" s="396"/>
      <c r="T59" s="1007"/>
      <c r="U59" s="1010"/>
      <c r="V59" s="1011"/>
      <c r="W59" s="1043">
        <f t="shared" si="30"/>
        <v>0</v>
      </c>
      <c r="X59" s="847">
        <f t="shared" si="31"/>
        <v>0</v>
      </c>
      <c r="Y59" s="70"/>
      <c r="AC59" s="1267"/>
    </row>
    <row r="60" spans="1:31" s="85" customFormat="1" x14ac:dyDescent="0.6">
      <c r="A60" s="61">
        <f t="shared" si="32"/>
        <v>53</v>
      </c>
      <c r="B60" s="86" t="s">
        <v>70</v>
      </c>
      <c r="C60" s="290">
        <v>0</v>
      </c>
      <c r="D60" s="348">
        <f>C60*Assumptions!$C$24</f>
        <v>0</v>
      </c>
      <c r="E60" s="1005"/>
      <c r="F60" s="1006">
        <f>Assumptions!$C$115</f>
        <v>3.7854100000000002</v>
      </c>
      <c r="G60" s="1128"/>
      <c r="H60" s="1163">
        <f>IF(C60=0,0,Assumptions!$C$96)</f>
        <v>0</v>
      </c>
      <c r="I60" s="393"/>
      <c r="J60" s="394"/>
      <c r="K60" s="322"/>
      <c r="L60" s="329"/>
      <c r="M60" s="320"/>
      <c r="N60" s="320"/>
      <c r="O60" s="314"/>
      <c r="P60" s="1046"/>
      <c r="Q60" s="1047"/>
      <c r="R60" s="395"/>
      <c r="S60" s="396"/>
      <c r="T60" s="1007"/>
      <c r="U60" s="1010"/>
      <c r="V60" s="1011"/>
      <c r="W60" s="1043">
        <f t="shared" si="30"/>
        <v>0</v>
      </c>
      <c r="X60" s="847">
        <f t="shared" si="31"/>
        <v>0</v>
      </c>
      <c r="Y60" s="70"/>
      <c r="AC60" s="1267"/>
    </row>
    <row r="61" spans="1:31" s="85" customFormat="1" x14ac:dyDescent="0.6">
      <c r="A61" s="61">
        <f t="shared" si="32"/>
        <v>54</v>
      </c>
      <c r="B61" s="86" t="s">
        <v>71</v>
      </c>
      <c r="C61" s="290">
        <v>0</v>
      </c>
      <c r="D61" s="348">
        <f>C61*Assumptions!$C$24</f>
        <v>0</v>
      </c>
      <c r="E61" s="1005"/>
      <c r="F61" s="1006">
        <f>Assumptions!$C$115</f>
        <v>3.7854100000000002</v>
      </c>
      <c r="G61" s="1128"/>
      <c r="H61" s="1163">
        <f>IF(C61=0,0,Assumptions!$C$96)</f>
        <v>0</v>
      </c>
      <c r="I61" s="393"/>
      <c r="J61" s="394"/>
      <c r="K61" s="322"/>
      <c r="L61" s="329"/>
      <c r="M61" s="320"/>
      <c r="N61" s="320"/>
      <c r="O61" s="314"/>
      <c r="P61" s="1046"/>
      <c r="Q61" s="1047"/>
      <c r="R61" s="395"/>
      <c r="S61" s="396"/>
      <c r="T61" s="1007"/>
      <c r="U61" s="1010"/>
      <c r="V61" s="1011"/>
      <c r="W61" s="1043">
        <f t="shared" si="30"/>
        <v>0</v>
      </c>
      <c r="X61" s="847">
        <f t="shared" si="31"/>
        <v>0</v>
      </c>
      <c r="Y61" s="506"/>
      <c r="AC61" s="1267"/>
    </row>
    <row r="62" spans="1:31" s="85" customFormat="1" x14ac:dyDescent="0.6">
      <c r="A62" s="61">
        <f t="shared" si="32"/>
        <v>55</v>
      </c>
      <c r="B62" s="86" t="s">
        <v>72</v>
      </c>
      <c r="C62" s="290">
        <v>0</v>
      </c>
      <c r="D62" s="348">
        <f>C62*Assumptions!$C$24</f>
        <v>0</v>
      </c>
      <c r="E62" s="1005"/>
      <c r="F62" s="1006">
        <f>Assumptions!$C$115</f>
        <v>3.7854100000000002</v>
      </c>
      <c r="G62" s="1128"/>
      <c r="H62" s="1163">
        <f>IF(C62=0,0,Assumptions!$C$96)</f>
        <v>0</v>
      </c>
      <c r="I62" s="393"/>
      <c r="J62" s="394"/>
      <c r="K62" s="322"/>
      <c r="L62" s="329"/>
      <c r="M62" s="320"/>
      <c r="N62" s="320"/>
      <c r="O62" s="314"/>
      <c r="P62" s="1046"/>
      <c r="Q62" s="1047"/>
      <c r="R62" s="395"/>
      <c r="S62" s="396"/>
      <c r="T62" s="1007"/>
      <c r="U62" s="1010"/>
      <c r="V62" s="1011"/>
      <c r="W62" s="1043">
        <f t="shared" si="30"/>
        <v>0</v>
      </c>
      <c r="X62" s="847">
        <f t="shared" si="31"/>
        <v>0</v>
      </c>
      <c r="Y62" s="506"/>
      <c r="AC62" s="1267"/>
    </row>
    <row r="63" spans="1:31" s="85" customFormat="1" x14ac:dyDescent="0.6">
      <c r="A63" s="61">
        <f t="shared" si="32"/>
        <v>56</v>
      </c>
      <c r="B63" s="86" t="s">
        <v>73</v>
      </c>
      <c r="C63" s="290">
        <v>0</v>
      </c>
      <c r="D63" s="348">
        <f>C63*Assumptions!$C$24</f>
        <v>0</v>
      </c>
      <c r="E63" s="1005"/>
      <c r="F63" s="1006">
        <f>Assumptions!$C$115</f>
        <v>3.7854100000000002</v>
      </c>
      <c r="G63" s="1128"/>
      <c r="H63" s="1163">
        <f>IF(C63=0,0,Assumptions!$C$96)</f>
        <v>0</v>
      </c>
      <c r="I63" s="393"/>
      <c r="J63" s="394"/>
      <c r="K63" s="322"/>
      <c r="L63" s="329"/>
      <c r="M63" s="320"/>
      <c r="N63" s="320"/>
      <c r="O63" s="314"/>
      <c r="P63" s="1046"/>
      <c r="Q63" s="1047"/>
      <c r="R63" s="395"/>
      <c r="S63" s="396"/>
      <c r="T63" s="1007"/>
      <c r="U63" s="1010"/>
      <c r="V63" s="1011"/>
      <c r="W63" s="1043">
        <f t="shared" si="30"/>
        <v>0</v>
      </c>
      <c r="X63" s="847">
        <f t="shared" si="31"/>
        <v>0</v>
      </c>
      <c r="Y63" s="70"/>
      <c r="AC63" s="1267"/>
    </row>
    <row r="64" spans="1:31" s="85" customFormat="1" x14ac:dyDescent="0.6">
      <c r="A64" s="61">
        <f t="shared" si="32"/>
        <v>57</v>
      </c>
      <c r="B64" s="86" t="s">
        <v>74</v>
      </c>
      <c r="C64" s="290">
        <v>0</v>
      </c>
      <c r="D64" s="348">
        <f>C64*Assumptions!$C$24</f>
        <v>0</v>
      </c>
      <c r="E64" s="1005"/>
      <c r="F64" s="1006">
        <f>Assumptions!$C$115</f>
        <v>3.7854100000000002</v>
      </c>
      <c r="G64" s="1128"/>
      <c r="H64" s="1163">
        <f>IF(C64=0,0,Assumptions!$C$96)</f>
        <v>0</v>
      </c>
      <c r="I64" s="393"/>
      <c r="J64" s="394"/>
      <c r="K64" s="322"/>
      <c r="L64" s="329"/>
      <c r="M64" s="320"/>
      <c r="N64" s="320"/>
      <c r="O64" s="314"/>
      <c r="P64" s="1046"/>
      <c r="Q64" s="1047"/>
      <c r="R64" s="395"/>
      <c r="S64" s="396"/>
      <c r="T64" s="1007"/>
      <c r="U64" s="1010"/>
      <c r="V64" s="1011"/>
      <c r="W64" s="1043">
        <f t="shared" si="30"/>
        <v>0</v>
      </c>
      <c r="X64" s="847">
        <f t="shared" si="31"/>
        <v>0</v>
      </c>
      <c r="Y64" s="506"/>
      <c r="AC64" s="1267"/>
    </row>
    <row r="65" spans="1:29" s="85" customFormat="1" x14ac:dyDescent="0.6">
      <c r="A65" s="63">
        <f t="shared" si="32"/>
        <v>58</v>
      </c>
      <c r="B65" s="90" t="s">
        <v>75</v>
      </c>
      <c r="C65" s="292">
        <v>0</v>
      </c>
      <c r="D65" s="350">
        <f>C65*Assumptions!$C$24</f>
        <v>0</v>
      </c>
      <c r="E65" s="1012"/>
      <c r="F65" s="1013">
        <f>Assumptions!$C$115</f>
        <v>3.7854100000000002</v>
      </c>
      <c r="G65" s="1129"/>
      <c r="H65" s="1164">
        <f>IF(C65=0,0,Assumptions!$C$96)</f>
        <v>0</v>
      </c>
      <c r="I65" s="819"/>
      <c r="J65" s="858"/>
      <c r="K65" s="967"/>
      <c r="L65" s="335"/>
      <c r="M65" s="1014"/>
      <c r="N65" s="1014"/>
      <c r="O65" s="328"/>
      <c r="P65" s="1049"/>
      <c r="Q65" s="1050"/>
      <c r="R65" s="1015"/>
      <c r="S65" s="409"/>
      <c r="T65" s="1016"/>
      <c r="U65" s="1017"/>
      <c r="V65" s="1018"/>
      <c r="W65" s="1172">
        <f t="shared" si="30"/>
        <v>0</v>
      </c>
      <c r="X65" s="1019">
        <f t="shared" si="31"/>
        <v>0</v>
      </c>
      <c r="Y65" s="506"/>
      <c r="AC65" s="1267"/>
    </row>
    <row r="66" spans="1:29" x14ac:dyDescent="0.6">
      <c r="B66" s="1" t="s">
        <v>42</v>
      </c>
      <c r="D66" s="13">
        <f>SUM(D4:D65)</f>
        <v>2002178220</v>
      </c>
      <c r="E66" s="398"/>
      <c r="F66" s="410"/>
      <c r="G66" s="83"/>
      <c r="H66" s="278"/>
      <c r="I66" s="411"/>
      <c r="J66" s="278"/>
      <c r="K66" s="412"/>
      <c r="L66" s="413"/>
      <c r="M66" s="278"/>
      <c r="N66" s="278"/>
      <c r="O66" s="414"/>
      <c r="P66" s="414"/>
      <c r="Q66" s="414"/>
      <c r="R66" s="278"/>
      <c r="S66" s="415"/>
      <c r="T66" s="397"/>
      <c r="U66" s="83"/>
      <c r="V66" s="1"/>
    </row>
    <row r="67" spans="1:29" x14ac:dyDescent="0.6">
      <c r="B67" s="1" t="s">
        <v>357</v>
      </c>
      <c r="C67" s="13">
        <v>6544</v>
      </c>
      <c r="D67" s="13">
        <f>C67*Assumptions!$C$24</f>
        <v>2124575040</v>
      </c>
      <c r="E67" s="398"/>
      <c r="F67" s="410"/>
      <c r="G67" s="83"/>
      <c r="H67" s="278"/>
      <c r="I67" s="411"/>
      <c r="J67" s="278"/>
      <c r="K67" s="412"/>
      <c r="L67" s="413"/>
      <c r="M67" s="278"/>
      <c r="N67" s="278"/>
      <c r="O67" s="414"/>
      <c r="P67" s="414"/>
      <c r="Q67" s="414"/>
      <c r="R67" s="278"/>
      <c r="S67" s="415"/>
      <c r="T67" s="397"/>
      <c r="U67" s="83"/>
      <c r="V67" s="1"/>
    </row>
    <row r="68" spans="1:29" x14ac:dyDescent="0.6">
      <c r="C68" s="28"/>
      <c r="D68" s="28">
        <f>D66/D67</f>
        <v>0.94238997555012227</v>
      </c>
      <c r="E68" s="398"/>
      <c r="F68" s="410"/>
      <c r="G68" s="83"/>
      <c r="H68" s="278"/>
      <c r="I68" s="411"/>
      <c r="J68" s="278"/>
      <c r="K68" s="412"/>
      <c r="L68" s="413"/>
      <c r="M68" s="278"/>
      <c r="N68" s="278"/>
      <c r="O68" s="414"/>
      <c r="P68" s="414"/>
      <c r="Q68" s="414"/>
      <c r="R68" s="278"/>
      <c r="S68" s="415"/>
      <c r="T68" s="397"/>
      <c r="U68" s="83"/>
      <c r="V68" s="1"/>
    </row>
    <row r="69" spans="1:29" x14ac:dyDescent="0.6">
      <c r="A69" s="1"/>
      <c r="D69" s="1"/>
      <c r="E69" s="398"/>
      <c r="F69" s="83"/>
      <c r="G69" s="83"/>
      <c r="H69" s="278"/>
      <c r="I69" s="83"/>
      <c r="J69" s="83"/>
      <c r="K69" s="412"/>
      <c r="L69" s="413"/>
      <c r="M69" s="83"/>
      <c r="N69" s="83"/>
      <c r="O69" s="414"/>
      <c r="P69" s="414"/>
      <c r="Q69" s="414"/>
      <c r="R69" s="83"/>
      <c r="S69" s="416"/>
      <c r="T69" s="397"/>
      <c r="U69" s="83"/>
      <c r="V69" s="1"/>
    </row>
    <row r="70" spans="1:29" x14ac:dyDescent="0.6">
      <c r="D70" s="239"/>
      <c r="E70" s="398"/>
      <c r="F70" s="410"/>
      <c r="G70" s="83"/>
      <c r="H70" s="278"/>
      <c r="I70" s="411"/>
      <c r="J70" s="278"/>
      <c r="K70" s="412"/>
      <c r="L70" s="413"/>
      <c r="M70" s="278"/>
      <c r="N70" s="278"/>
      <c r="O70" s="414"/>
      <c r="P70" s="414"/>
      <c r="Q70" s="414"/>
      <c r="R70" s="278"/>
      <c r="S70" s="415"/>
      <c r="T70" s="397"/>
      <c r="U70" s="276"/>
    </row>
    <row r="71" spans="1:29" x14ac:dyDescent="0.6">
      <c r="E71" s="398"/>
      <c r="F71" s="410"/>
      <c r="G71" s="83"/>
      <c r="H71" s="278"/>
      <c r="I71" s="411"/>
      <c r="J71" s="278"/>
      <c r="K71" s="412"/>
      <c r="L71" s="413"/>
      <c r="M71" s="278"/>
      <c r="N71" s="278"/>
      <c r="O71" s="414"/>
      <c r="P71" s="414"/>
      <c r="Q71" s="414"/>
      <c r="R71" s="278"/>
      <c r="S71" s="415"/>
      <c r="T71" s="397"/>
      <c r="U71" s="276"/>
    </row>
    <row r="72" spans="1:29" x14ac:dyDescent="0.6">
      <c r="E72" s="398"/>
      <c r="F72" s="410"/>
      <c r="G72" s="83"/>
      <c r="H72" s="278"/>
      <c r="I72" s="411"/>
      <c r="J72" s="278"/>
      <c r="K72" s="412"/>
      <c r="L72" s="413"/>
      <c r="M72" s="278"/>
      <c r="N72" s="278"/>
      <c r="O72" s="414"/>
      <c r="P72" s="414"/>
      <c r="Q72" s="414"/>
      <c r="R72" s="278"/>
      <c r="S72" s="415"/>
      <c r="T72" s="397"/>
      <c r="U72" s="276"/>
    </row>
    <row r="73" spans="1:29" x14ac:dyDescent="0.6">
      <c r="E73" s="398"/>
      <c r="F73" s="410"/>
      <c r="G73" s="83"/>
      <c r="H73" s="278"/>
      <c r="I73" s="411"/>
      <c r="J73" s="278"/>
      <c r="K73" s="412"/>
      <c r="L73" s="413"/>
      <c r="M73" s="278"/>
      <c r="N73" s="278"/>
      <c r="O73" s="414"/>
      <c r="P73" s="414"/>
      <c r="Q73" s="414"/>
      <c r="R73" s="278"/>
      <c r="S73" s="415"/>
      <c r="T73" s="397"/>
      <c r="U73" s="276"/>
    </row>
    <row r="74" spans="1:29" x14ac:dyDescent="0.6">
      <c r="E74" s="398"/>
      <c r="F74" s="410"/>
      <c r="G74" s="83"/>
      <c r="H74" s="278"/>
      <c r="I74" s="411"/>
      <c r="J74" s="278"/>
      <c r="K74" s="412"/>
      <c r="L74" s="413"/>
      <c r="M74" s="278"/>
      <c r="N74" s="278"/>
      <c r="O74" s="414"/>
      <c r="P74" s="414"/>
      <c r="Q74" s="414"/>
      <c r="R74" s="278"/>
      <c r="S74" s="415"/>
      <c r="T74" s="397"/>
      <c r="U74" s="276"/>
    </row>
    <row r="75" spans="1:29" x14ac:dyDescent="0.6">
      <c r="E75" s="398"/>
      <c r="F75" s="410"/>
      <c r="G75" s="83"/>
      <c r="H75" s="278"/>
      <c r="I75" s="411"/>
      <c r="J75" s="278"/>
      <c r="K75" s="412"/>
      <c r="L75" s="413"/>
      <c r="M75" s="278"/>
      <c r="N75" s="278"/>
      <c r="O75" s="414"/>
      <c r="P75" s="414"/>
      <c r="Q75" s="414"/>
      <c r="R75" s="278"/>
      <c r="S75" s="415"/>
      <c r="T75" s="397"/>
      <c r="U75" s="276"/>
    </row>
    <row r="76" spans="1:29" x14ac:dyDescent="0.6">
      <c r="E76" s="398"/>
      <c r="F76" s="410"/>
      <c r="G76" s="83"/>
      <c r="H76" s="278"/>
      <c r="I76" s="411"/>
      <c r="J76" s="278"/>
      <c r="K76" s="412"/>
      <c r="L76" s="413"/>
      <c r="M76" s="278"/>
      <c r="N76" s="278"/>
      <c r="O76" s="414"/>
      <c r="P76" s="414"/>
      <c r="Q76" s="414"/>
      <c r="R76" s="278"/>
      <c r="S76" s="415"/>
      <c r="T76" s="397"/>
      <c r="U76" s="276"/>
    </row>
    <row r="77" spans="1:29" x14ac:dyDescent="0.6">
      <c r="E77" s="398"/>
      <c r="F77" s="410"/>
      <c r="G77" s="83"/>
      <c r="H77" s="278"/>
      <c r="I77" s="411"/>
      <c r="J77" s="278"/>
      <c r="K77" s="412"/>
      <c r="L77" s="413"/>
      <c r="M77" s="278"/>
      <c r="N77" s="278"/>
      <c r="O77" s="414"/>
      <c r="P77" s="414"/>
      <c r="Q77" s="414"/>
      <c r="R77" s="278"/>
      <c r="S77" s="415"/>
      <c r="T77" s="397"/>
      <c r="U77" s="276"/>
    </row>
    <row r="78" spans="1:29" x14ac:dyDescent="0.6">
      <c r="E78" s="398"/>
      <c r="F78" s="410"/>
      <c r="G78" s="83"/>
      <c r="H78" s="278"/>
      <c r="I78" s="411"/>
      <c r="J78" s="278"/>
      <c r="K78" s="412"/>
      <c r="L78" s="413"/>
      <c r="M78" s="278"/>
      <c r="N78" s="278"/>
      <c r="O78" s="414"/>
      <c r="P78" s="414"/>
      <c r="Q78" s="414"/>
      <c r="R78" s="278"/>
      <c r="S78" s="415"/>
      <c r="T78" s="397"/>
      <c r="U78" s="276"/>
    </row>
    <row r="79" spans="1:29" x14ac:dyDescent="0.6">
      <c r="E79" s="398"/>
      <c r="F79" s="410"/>
      <c r="G79" s="83"/>
      <c r="H79" s="278"/>
      <c r="I79" s="411"/>
      <c r="J79" s="278"/>
      <c r="K79" s="412"/>
      <c r="L79" s="413"/>
      <c r="M79" s="278"/>
      <c r="N79" s="278"/>
      <c r="O79" s="414"/>
      <c r="P79" s="414"/>
      <c r="Q79" s="414"/>
      <c r="R79" s="278"/>
      <c r="S79" s="415"/>
      <c r="T79" s="397"/>
      <c r="U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10.5" style="1160" bestFit="1" customWidth="1"/>
    <col min="4" max="4" width="11.34765625" style="13" bestFit="1" customWidth="1"/>
    <col min="5" max="5" width="18.59765625" style="13" bestFit="1" customWidth="1"/>
    <col min="6" max="6" width="10.5" style="55" customWidth="1"/>
    <col min="7" max="7" width="10.84765625" style="7" bestFit="1" customWidth="1"/>
    <col min="8" max="8" width="11.09765625" style="1" bestFit="1" customWidth="1"/>
    <col min="9" max="9" width="11.09765625" style="10" bestFit="1" customWidth="1"/>
    <col min="10" max="10" width="12.5" style="5" bestFit="1" customWidth="1"/>
    <col min="11" max="11" width="13" style="10" bestFit="1" customWidth="1"/>
    <col min="12" max="12" width="9.5" style="28" customWidth="1"/>
    <col min="13" max="13" width="9.5" style="331" customWidth="1"/>
    <col min="14" max="15" width="10.34765625" style="10" customWidth="1"/>
    <col min="16" max="16" width="15" style="271" customWidth="1"/>
    <col min="17" max="17" width="9.5" style="271" customWidth="1"/>
    <col min="18" max="18" width="15.84765625" style="271" customWidth="1"/>
    <col min="19" max="19" width="9.5" style="10" customWidth="1"/>
    <col min="20" max="20" width="16" style="70" customWidth="1"/>
    <col min="21" max="21" width="19.59765625" style="57" customWidth="1"/>
    <col min="22" max="22" width="15" style="17" bestFit="1" customWidth="1"/>
    <col min="23" max="23" width="17.5" style="17" bestFit="1" customWidth="1"/>
    <col min="24" max="24" width="10.59765625" style="10" bestFit="1" customWidth="1"/>
    <col min="25" max="25" width="18.5" style="17" bestFit="1" customWidth="1"/>
    <col min="26" max="26" width="17.5" style="10" bestFit="1" customWidth="1"/>
    <col min="27" max="16384" width="10.84765625" style="1"/>
  </cols>
  <sheetData>
    <row r="1" spans="1:26" x14ac:dyDescent="0.6">
      <c r="A1" s="24" t="s">
        <v>1185</v>
      </c>
      <c r="C1" s="1154" t="s">
        <v>855</v>
      </c>
      <c r="D1" s="19"/>
      <c r="E1" s="27"/>
      <c r="F1" s="107"/>
      <c r="K1" s="54">
        <f>LARGE(K6:K34,3)</f>
        <v>2.1648142237455521</v>
      </c>
    </row>
    <row r="2" spans="1:26" s="2" customFormat="1" x14ac:dyDescent="0.6">
      <c r="A2" s="24" t="s">
        <v>238</v>
      </c>
      <c r="C2" s="1155" t="s">
        <v>1197</v>
      </c>
      <c r="D2" s="14" t="s">
        <v>875</v>
      </c>
      <c r="E2" s="14"/>
      <c r="F2" s="56"/>
      <c r="G2" s="8" t="s">
        <v>87</v>
      </c>
      <c r="H2" s="11" t="s">
        <v>638</v>
      </c>
      <c r="I2" s="11" t="s">
        <v>638</v>
      </c>
      <c r="J2" s="6" t="s">
        <v>627</v>
      </c>
      <c r="K2" s="11" t="s">
        <v>627</v>
      </c>
      <c r="L2" s="71" t="s">
        <v>194</v>
      </c>
      <c r="M2" s="332" t="s">
        <v>194</v>
      </c>
      <c r="N2" s="11" t="s">
        <v>194</v>
      </c>
      <c r="O2" s="11" t="s">
        <v>650</v>
      </c>
      <c r="P2" s="272" t="s">
        <v>397</v>
      </c>
      <c r="Q2" s="272" t="s">
        <v>881</v>
      </c>
      <c r="R2" s="272" t="s">
        <v>1747</v>
      </c>
      <c r="S2" s="11" t="s">
        <v>881</v>
      </c>
      <c r="T2" s="114"/>
      <c r="U2" s="58" t="s">
        <v>622</v>
      </c>
      <c r="V2" s="18" t="s">
        <v>42</v>
      </c>
      <c r="W2" s="18"/>
      <c r="X2" s="11" t="s">
        <v>645</v>
      </c>
      <c r="Y2" s="18"/>
      <c r="Z2" s="11"/>
    </row>
    <row r="3" spans="1:26" s="2" customFormat="1" x14ac:dyDescent="0.6">
      <c r="C3" s="1155" t="s">
        <v>94</v>
      </c>
      <c r="D3" s="14" t="s">
        <v>1185</v>
      </c>
      <c r="E3" s="14" t="s">
        <v>25</v>
      </c>
      <c r="F3" s="56" t="s">
        <v>41</v>
      </c>
      <c r="G3" s="8" t="s">
        <v>22</v>
      </c>
      <c r="H3" s="11" t="s">
        <v>649</v>
      </c>
      <c r="I3" s="11" t="s">
        <v>639</v>
      </c>
      <c r="J3" s="6" t="s">
        <v>661</v>
      </c>
      <c r="K3" s="11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272" t="s">
        <v>79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707</v>
      </c>
      <c r="V3" s="18" t="s">
        <v>77</v>
      </c>
      <c r="W3" s="18" t="s">
        <v>34</v>
      </c>
      <c r="X3" s="11" t="s">
        <v>639</v>
      </c>
      <c r="Y3" s="18" t="s">
        <v>642</v>
      </c>
      <c r="Z3" s="11"/>
    </row>
    <row r="4" spans="1:26" x14ac:dyDescent="0.6">
      <c r="A4" s="61">
        <v>1</v>
      </c>
      <c r="B4" s="44" t="s">
        <v>37</v>
      </c>
      <c r="C4" s="1156">
        <v>194</v>
      </c>
      <c r="D4" s="961">
        <f>C4-'Kero-Res'!C4-'Kero-Comm'!C4</f>
        <v>0</v>
      </c>
      <c r="E4" s="345">
        <f>D4*Assumptions!$C$24</f>
        <v>0</v>
      </c>
      <c r="F4" s="399">
        <v>1</v>
      </c>
      <c r="G4" s="297">
        <f>Assumptions!$C$115</f>
        <v>3.7854100000000002</v>
      </c>
      <c r="H4" s="389"/>
      <c r="I4" s="301">
        <f>Assumptions!$C$96</f>
        <v>2.5</v>
      </c>
      <c r="J4" s="87"/>
      <c r="K4" s="306"/>
      <c r="L4" s="329"/>
      <c r="M4" s="329"/>
      <c r="N4" s="329"/>
      <c r="O4" s="313"/>
      <c r="P4" s="314"/>
      <c r="Q4" s="1053">
        <f>'State LPG - Ind'!Q60</f>
        <v>0</v>
      </c>
      <c r="R4" s="1047">
        <f>Q4*E4</f>
        <v>0</v>
      </c>
      <c r="S4" s="310">
        <f>'State LPG - Ind'!Q62</f>
        <v>0</v>
      </c>
      <c r="T4" s="366">
        <f>S4*E4</f>
        <v>0</v>
      </c>
      <c r="U4" s="336">
        <f>-'OECD other kero subsidies'!F2</f>
        <v>-9654</v>
      </c>
      <c r="V4" s="342">
        <f>U4*F4</f>
        <v>-9654</v>
      </c>
      <c r="W4" s="111">
        <f>T4+V4</f>
        <v>-9654</v>
      </c>
      <c r="X4" s="320"/>
      <c r="Y4" s="342">
        <f>X4*E4+V4</f>
        <v>-9654</v>
      </c>
    </row>
    <row r="5" spans="1:26" s="2" customFormat="1" x14ac:dyDescent="0.6">
      <c r="A5" s="40" t="s">
        <v>640</v>
      </c>
      <c r="B5" s="40"/>
      <c r="C5" s="1157"/>
      <c r="D5" s="1153"/>
      <c r="E5" s="346"/>
      <c r="F5" s="418"/>
      <c r="G5" s="298"/>
      <c r="H5" s="385"/>
      <c r="I5" s="302"/>
      <c r="J5" s="426"/>
      <c r="K5" s="307"/>
      <c r="L5" s="358"/>
      <c r="M5" s="333"/>
      <c r="N5" s="316"/>
      <c r="O5" s="316"/>
      <c r="P5" s="317"/>
      <c r="Q5" s="1051"/>
      <c r="R5" s="1052"/>
      <c r="S5" s="311"/>
      <c r="T5" s="367"/>
      <c r="U5" s="338"/>
      <c r="V5" s="343"/>
      <c r="W5" s="165"/>
      <c r="X5" s="316"/>
      <c r="Y5" s="343"/>
      <c r="Z5" s="11"/>
    </row>
    <row r="6" spans="1:26" x14ac:dyDescent="0.6">
      <c r="A6" s="46">
        <f>A4+1</f>
        <v>2</v>
      </c>
      <c r="B6" s="44" t="s">
        <v>0</v>
      </c>
      <c r="C6" s="1156">
        <v>59</v>
      </c>
      <c r="D6" s="961">
        <f>C6-'Kero-Res'!C6-'Kero-Comm'!C6</f>
        <v>20</v>
      </c>
      <c r="E6" s="345">
        <f>D6*Assumptions!$C$24</f>
        <v>6493200</v>
      </c>
      <c r="F6" s="391">
        <f>Assumptions!$H$3</f>
        <v>1.1863330000000001</v>
      </c>
      <c r="G6" s="297">
        <f>Assumptions!$C$115</f>
        <v>3.7854100000000002</v>
      </c>
      <c r="H6" s="422"/>
      <c r="I6" s="1077">
        <f>IF(D6=0,0,Assumptions!$C$96)</f>
        <v>2.5</v>
      </c>
      <c r="J6" s="427">
        <f>22.7412/1000</f>
        <v>2.27412E-2</v>
      </c>
      <c r="K6" s="286">
        <f>J6*G6*F6</f>
        <v>0.10212519857495406</v>
      </c>
      <c r="L6" s="322"/>
      <c r="M6" s="329"/>
      <c r="N6" s="281"/>
      <c r="O6" s="281"/>
      <c r="P6" s="314">
        <f t="shared" ref="P6:P26" si="0">M6*E6</f>
        <v>0</v>
      </c>
      <c r="Q6" s="1053">
        <f t="shared" ref="Q6:Q39" si="1">K6+O6</f>
        <v>0.10212519857495406</v>
      </c>
      <c r="R6" s="1047">
        <f t="shared" ref="R6:R26" si="2">Q6*E6</f>
        <v>663119.33938689169</v>
      </c>
      <c r="S6" s="268">
        <f t="shared" ref="S6:S26" si="3">N6+K6</f>
        <v>0.10212519857495406</v>
      </c>
      <c r="T6" s="366">
        <f t="shared" ref="T6:T26" si="4">E6*S6</f>
        <v>663119.33938689169</v>
      </c>
      <c r="U6" s="336">
        <f>-'OECD other kero subsidies'!F9</f>
        <v>-2794905.25</v>
      </c>
      <c r="V6" s="342">
        <f t="shared" ref="V6:V26" si="5">U6*F6</f>
        <v>-3315688.3299482502</v>
      </c>
      <c r="W6" s="111">
        <f t="shared" ref="W6:W26" si="6">T6+V6</f>
        <v>-2652568.9905613586</v>
      </c>
      <c r="X6" s="281">
        <f t="shared" ref="X6:X26" si="7">(I6+K6)*(1+L6)</f>
        <v>2.6021251985749538</v>
      </c>
      <c r="Y6" s="342">
        <f t="shared" ref="Y6:Y26" si="8">X6*E6+V6</f>
        <v>13580431.009438641</v>
      </c>
    </row>
    <row r="7" spans="1:26" x14ac:dyDescent="0.6">
      <c r="A7" s="46">
        <f t="shared" ref="A7:A26" si="9">A6+1</f>
        <v>3</v>
      </c>
      <c r="B7" s="44" t="s">
        <v>1</v>
      </c>
      <c r="C7" s="1156">
        <v>3</v>
      </c>
      <c r="D7" s="961">
        <f>C7-'Kero-Res'!C7-'Kero-Comm'!C7</f>
        <v>3</v>
      </c>
      <c r="E7" s="345">
        <f>D7*Assumptions!$C$24</f>
        <v>973980</v>
      </c>
      <c r="F7" s="391">
        <f>Assumptions!$H$15</f>
        <v>4.5997000000000003E-2</v>
      </c>
      <c r="G7" s="297">
        <f>Assumptions!$C$115</f>
        <v>3.7854100000000002</v>
      </c>
      <c r="H7" s="386"/>
      <c r="I7" s="1077">
        <f>IF(D7=0,0,Assumptions!$C$96)</f>
        <v>2.5</v>
      </c>
      <c r="J7" s="428">
        <v>10.95</v>
      </c>
      <c r="K7" s="286">
        <f t="shared" ref="K7:K39" si="10">J7*G7*F7</f>
        <v>1.9065866662815003</v>
      </c>
      <c r="L7" s="322"/>
      <c r="M7" s="329"/>
      <c r="N7" s="281"/>
      <c r="O7" s="281"/>
      <c r="P7" s="314">
        <f t="shared" si="0"/>
        <v>0</v>
      </c>
      <c r="Q7" s="1053">
        <f t="shared" si="1"/>
        <v>1.9065866662815003</v>
      </c>
      <c r="R7" s="1047">
        <f t="shared" si="2"/>
        <v>1856977.2812248557</v>
      </c>
      <c r="S7" s="268">
        <f t="shared" si="3"/>
        <v>1.9065866662815003</v>
      </c>
      <c r="T7" s="366">
        <f t="shared" si="4"/>
        <v>1856977.2812248557</v>
      </c>
      <c r="U7" s="336">
        <f>-'OECD other kero subsidies'!F14</f>
        <v>0</v>
      </c>
      <c r="V7" s="342">
        <f t="shared" si="5"/>
        <v>0</v>
      </c>
      <c r="W7" s="111">
        <f t="shared" si="6"/>
        <v>1856977.2812248557</v>
      </c>
      <c r="X7" s="281">
        <f t="shared" si="7"/>
        <v>4.4065866662815001</v>
      </c>
      <c r="Y7" s="342">
        <f t="shared" si="8"/>
        <v>4291927.2812248552</v>
      </c>
    </row>
    <row r="8" spans="1:26" x14ac:dyDescent="0.6">
      <c r="A8" s="46">
        <f t="shared" si="9"/>
        <v>4</v>
      </c>
      <c r="B8" s="44" t="s">
        <v>2</v>
      </c>
      <c r="C8" s="1156">
        <v>0</v>
      </c>
      <c r="D8" s="961">
        <f>C8-'Kero-Res'!C8-'Kero-Comm'!C8</f>
        <v>0</v>
      </c>
      <c r="E8" s="345">
        <f>D8*Assumptions!$C$24</f>
        <v>0</v>
      </c>
      <c r="F8" s="391">
        <f>Assumptions!$H$16</f>
        <v>0.15934999999999999</v>
      </c>
      <c r="G8" s="297">
        <f>Assumptions!$C$115</f>
        <v>3.7854100000000002</v>
      </c>
      <c r="H8" s="423"/>
      <c r="I8" s="1077">
        <f>IF(D8=0,0,Assumptions!$C$96)</f>
        <v>0</v>
      </c>
      <c r="J8" s="437">
        <f>608.5/1000</f>
        <v>0.60850000000000004</v>
      </c>
      <c r="K8" s="286">
        <f t="shared" si="10"/>
        <v>0.36705029330975003</v>
      </c>
      <c r="L8" s="322"/>
      <c r="M8" s="329"/>
      <c r="N8" s="281"/>
      <c r="O8" s="281"/>
      <c r="P8" s="314">
        <f t="shared" si="0"/>
        <v>0</v>
      </c>
      <c r="Q8" s="1053">
        <f t="shared" si="1"/>
        <v>0.36705029330975003</v>
      </c>
      <c r="R8" s="1047">
        <f t="shared" si="2"/>
        <v>0</v>
      </c>
      <c r="S8" s="268">
        <f t="shared" si="3"/>
        <v>0.36705029330975003</v>
      </c>
      <c r="T8" s="366">
        <f t="shared" si="4"/>
        <v>0</v>
      </c>
      <c r="U8" s="336">
        <f>-'OECD other kero subsidies'!F16</f>
        <v>0</v>
      </c>
      <c r="V8" s="342">
        <f t="shared" si="5"/>
        <v>0</v>
      </c>
      <c r="W8" s="111">
        <f t="shared" si="6"/>
        <v>0</v>
      </c>
      <c r="X8" s="281">
        <f t="shared" si="7"/>
        <v>0.36705029330975003</v>
      </c>
      <c r="Y8" s="342">
        <f t="shared" si="8"/>
        <v>0</v>
      </c>
    </row>
    <row r="9" spans="1:26" x14ac:dyDescent="0.6">
      <c r="A9" s="46">
        <f t="shared" si="9"/>
        <v>5</v>
      </c>
      <c r="B9" s="44" t="s">
        <v>3</v>
      </c>
      <c r="C9" s="1156">
        <v>9</v>
      </c>
      <c r="D9" s="961">
        <f>C9-'Kero-Res'!C9-'Kero-Comm'!C9</f>
        <v>6</v>
      </c>
      <c r="E9" s="345">
        <f>D9*Assumptions!$C$24</f>
        <v>1947960</v>
      </c>
      <c r="F9" s="391">
        <f>Assumptions!$H$3</f>
        <v>1.1863330000000001</v>
      </c>
      <c r="G9" s="297">
        <f>Assumptions!$C$115</f>
        <v>3.7854100000000002</v>
      </c>
      <c r="H9" s="422"/>
      <c r="I9" s="1077">
        <f>IF(D9=0,0,Assumptions!$C$96)</f>
        <v>2.5</v>
      </c>
      <c r="J9" s="434">
        <f>654.5/1000</f>
        <v>0.65449999999999997</v>
      </c>
      <c r="K9" s="286">
        <f t="shared" si="10"/>
        <v>2.9392003266013855</v>
      </c>
      <c r="L9" s="322"/>
      <c r="M9" s="329"/>
      <c r="N9" s="281"/>
      <c r="O9" s="281"/>
      <c r="P9" s="314">
        <f t="shared" si="0"/>
        <v>0</v>
      </c>
      <c r="Q9" s="1053">
        <f t="shared" si="1"/>
        <v>2.9392003266013855</v>
      </c>
      <c r="R9" s="1047">
        <f t="shared" si="2"/>
        <v>5725444.6682064347</v>
      </c>
      <c r="S9" s="268">
        <f t="shared" si="3"/>
        <v>2.9392003266013855</v>
      </c>
      <c r="T9" s="366">
        <f t="shared" si="4"/>
        <v>5725444.6682064347</v>
      </c>
      <c r="U9" s="336">
        <f>-'OECD other kero subsidies'!F18</f>
        <v>0</v>
      </c>
      <c r="V9" s="342">
        <f t="shared" si="5"/>
        <v>0</v>
      </c>
      <c r="W9" s="111">
        <f t="shared" si="6"/>
        <v>5725444.6682064347</v>
      </c>
      <c r="X9" s="281">
        <f t="shared" si="7"/>
        <v>5.4392003266013855</v>
      </c>
      <c r="Y9" s="342">
        <f t="shared" si="8"/>
        <v>10595344.668206435</v>
      </c>
    </row>
    <row r="10" spans="1:26" x14ac:dyDescent="0.6">
      <c r="A10" s="46">
        <f t="shared" si="9"/>
        <v>6</v>
      </c>
      <c r="B10" s="44" t="s">
        <v>4</v>
      </c>
      <c r="C10" s="1156">
        <v>0</v>
      </c>
      <c r="D10" s="961">
        <f>C10-'Kero-Res'!C10-'Kero-Comm'!C10</f>
        <v>0</v>
      </c>
      <c r="E10" s="345">
        <f>D10*Assumptions!$C$24</f>
        <v>0</v>
      </c>
      <c r="F10" s="391">
        <f>Assumptions!$H$3</f>
        <v>1.1863330000000001</v>
      </c>
      <c r="G10" s="297">
        <f>Assumptions!$C$115</f>
        <v>3.7854100000000002</v>
      </c>
      <c r="H10" s="422"/>
      <c r="I10" s="1077">
        <f>IF(D10=0,0,Assumptions!$C$96)</f>
        <v>0</v>
      </c>
      <c r="J10" s="434">
        <f>330.1/1000</f>
        <v>0.3301</v>
      </c>
      <c r="K10" s="286">
        <f t="shared" si="10"/>
        <v>1.4823988201850531</v>
      </c>
      <c r="L10" s="322"/>
      <c r="M10" s="329"/>
      <c r="N10" s="281"/>
      <c r="O10" s="281"/>
      <c r="P10" s="314">
        <f t="shared" si="0"/>
        <v>0</v>
      </c>
      <c r="Q10" s="1053">
        <f t="shared" si="1"/>
        <v>1.4823988201850531</v>
      </c>
      <c r="R10" s="1047">
        <f t="shared" si="2"/>
        <v>0</v>
      </c>
      <c r="S10" s="268">
        <f t="shared" si="3"/>
        <v>1.4823988201850531</v>
      </c>
      <c r="T10" s="366">
        <f t="shared" si="4"/>
        <v>0</v>
      </c>
      <c r="U10" s="336">
        <f>-'OECD other kero subsidies'!F20</f>
        <v>0</v>
      </c>
      <c r="V10" s="342">
        <f t="shared" si="5"/>
        <v>0</v>
      </c>
      <c r="W10" s="111">
        <f t="shared" si="6"/>
        <v>0</v>
      </c>
      <c r="X10" s="281">
        <f t="shared" si="7"/>
        <v>1.4823988201850531</v>
      </c>
      <c r="Y10" s="342">
        <f t="shared" si="8"/>
        <v>0</v>
      </c>
    </row>
    <row r="11" spans="1:26" x14ac:dyDescent="0.6">
      <c r="A11" s="46">
        <f t="shared" si="9"/>
        <v>7</v>
      </c>
      <c r="B11" s="44" t="s">
        <v>5</v>
      </c>
      <c r="C11" s="1156">
        <v>4</v>
      </c>
      <c r="D11" s="961">
        <f>C11-'Kero-Res'!C11-'Kero-Comm'!C11</f>
        <v>0</v>
      </c>
      <c r="E11" s="345">
        <f>D11*Assumptions!$C$24</f>
        <v>0</v>
      </c>
      <c r="F11" s="391">
        <f>Assumptions!$H$3</f>
        <v>1.1863330000000001</v>
      </c>
      <c r="G11" s="297">
        <f>Assumptions!$C$115</f>
        <v>3.7854100000000002</v>
      </c>
      <c r="H11" s="422"/>
      <c r="I11" s="1077">
        <f>IF(D11=0,0,Assumptions!$C$96)</f>
        <v>0</v>
      </c>
      <c r="J11" s="434">
        <f>330/1000</f>
        <v>0.33</v>
      </c>
      <c r="K11" s="286">
        <f t="shared" si="10"/>
        <v>1.4819497445049004</v>
      </c>
      <c r="L11" s="322"/>
      <c r="M11" s="329"/>
      <c r="N11" s="281"/>
      <c r="O11" s="281"/>
      <c r="P11" s="314">
        <f t="shared" si="0"/>
        <v>0</v>
      </c>
      <c r="Q11" s="1053">
        <f t="shared" si="1"/>
        <v>1.4819497445049004</v>
      </c>
      <c r="R11" s="1047">
        <f t="shared" si="2"/>
        <v>0</v>
      </c>
      <c r="S11" s="268">
        <f t="shared" si="3"/>
        <v>1.4819497445049004</v>
      </c>
      <c r="T11" s="366">
        <f t="shared" si="4"/>
        <v>0</v>
      </c>
      <c r="U11" s="336">
        <f>-'OECD other kero subsidies'!F22</f>
        <v>0</v>
      </c>
      <c r="V11" s="342">
        <f t="shared" si="5"/>
        <v>0</v>
      </c>
      <c r="W11" s="111">
        <f t="shared" si="6"/>
        <v>0</v>
      </c>
      <c r="X11" s="281">
        <f t="shared" si="7"/>
        <v>1.4819497445049004</v>
      </c>
      <c r="Y11" s="342">
        <f t="shared" si="8"/>
        <v>0</v>
      </c>
    </row>
    <row r="12" spans="1:26" x14ac:dyDescent="0.6">
      <c r="A12" s="46">
        <f t="shared" si="9"/>
        <v>8</v>
      </c>
      <c r="B12" s="44" t="s">
        <v>6</v>
      </c>
      <c r="C12" s="1156">
        <v>0</v>
      </c>
      <c r="D12" s="961">
        <f>C12-'Kero-Res'!C12-'Kero-Comm'!C12</f>
        <v>0</v>
      </c>
      <c r="E12" s="345">
        <f>D12*Assumptions!$C$24</f>
        <v>0</v>
      </c>
      <c r="F12" s="391">
        <f>Assumptions!$H$3</f>
        <v>1.1863330000000001</v>
      </c>
      <c r="G12" s="297">
        <f>Assumptions!$C$115</f>
        <v>3.7854100000000002</v>
      </c>
      <c r="H12" s="422"/>
      <c r="I12" s="1077">
        <f>IF(D12=0,0,Assumptions!$C$96)</f>
        <v>0</v>
      </c>
      <c r="J12" s="434">
        <f>330/1000</f>
        <v>0.33</v>
      </c>
      <c r="K12" s="286">
        <f t="shared" si="10"/>
        <v>1.4819497445049004</v>
      </c>
      <c r="L12" s="322"/>
      <c r="M12" s="329"/>
      <c r="N12" s="281"/>
      <c r="O12" s="281"/>
      <c r="P12" s="314">
        <f t="shared" si="0"/>
        <v>0</v>
      </c>
      <c r="Q12" s="1053">
        <f t="shared" si="1"/>
        <v>1.4819497445049004</v>
      </c>
      <c r="R12" s="1047">
        <f t="shared" si="2"/>
        <v>0</v>
      </c>
      <c r="S12" s="268">
        <f t="shared" si="3"/>
        <v>1.4819497445049004</v>
      </c>
      <c r="T12" s="366">
        <f t="shared" si="4"/>
        <v>0</v>
      </c>
      <c r="U12" s="336">
        <f>-'OECD other kero subsidies'!F24</f>
        <v>0</v>
      </c>
      <c r="V12" s="342">
        <f t="shared" si="5"/>
        <v>0</v>
      </c>
      <c r="W12" s="111">
        <f t="shared" si="6"/>
        <v>0</v>
      </c>
      <c r="X12" s="281">
        <f t="shared" si="7"/>
        <v>1.4819497445049004</v>
      </c>
      <c r="Y12" s="342">
        <f t="shared" si="8"/>
        <v>0</v>
      </c>
    </row>
    <row r="13" spans="1:26" x14ac:dyDescent="0.6">
      <c r="A13" s="46">
        <f t="shared" si="9"/>
        <v>9</v>
      </c>
      <c r="B13" s="44" t="s">
        <v>7</v>
      </c>
      <c r="C13" s="1156">
        <v>153</v>
      </c>
      <c r="D13" s="961">
        <f>C13-'Kero-Res'!C13-'Kero-Comm'!C13</f>
        <v>0</v>
      </c>
      <c r="E13" s="345">
        <f>D13*Assumptions!$C$24</f>
        <v>0</v>
      </c>
      <c r="F13" s="391">
        <f>Assumptions!$H$3</f>
        <v>1.1863330000000001</v>
      </c>
      <c r="G13" s="297">
        <f>Assumptions!$C$115</f>
        <v>3.7854100000000002</v>
      </c>
      <c r="H13" s="422"/>
      <c r="I13" s="1077">
        <f>IF(D13=0,0,Assumptions!$C$96)</f>
        <v>0</v>
      </c>
      <c r="J13" s="434">
        <f>436/1000</f>
        <v>0.436</v>
      </c>
      <c r="K13" s="286">
        <f t="shared" si="10"/>
        <v>1.9579699654670804</v>
      </c>
      <c r="L13" s="322"/>
      <c r="M13" s="329"/>
      <c r="N13" s="281"/>
      <c r="O13" s="281"/>
      <c r="P13" s="314">
        <f t="shared" si="0"/>
        <v>0</v>
      </c>
      <c r="Q13" s="1053">
        <f t="shared" si="1"/>
        <v>1.9579699654670804</v>
      </c>
      <c r="R13" s="1047">
        <f t="shared" si="2"/>
        <v>0</v>
      </c>
      <c r="S13" s="268">
        <f t="shared" si="3"/>
        <v>1.9579699654670804</v>
      </c>
      <c r="T13" s="366">
        <f t="shared" si="4"/>
        <v>0</v>
      </c>
      <c r="U13" s="336">
        <f>-'OECD other kero subsidies'!F26</f>
        <v>0</v>
      </c>
      <c r="V13" s="342">
        <f t="shared" si="5"/>
        <v>0</v>
      </c>
      <c r="W13" s="111">
        <f t="shared" si="6"/>
        <v>0</v>
      </c>
      <c r="X13" s="281">
        <f t="shared" si="7"/>
        <v>1.9579699654670804</v>
      </c>
      <c r="Y13" s="342">
        <f t="shared" si="8"/>
        <v>0</v>
      </c>
    </row>
    <row r="14" spans="1:26" x14ac:dyDescent="0.6">
      <c r="A14" s="46">
        <f t="shared" si="9"/>
        <v>10</v>
      </c>
      <c r="B14" s="44" t="s">
        <v>8</v>
      </c>
      <c r="C14" s="1156">
        <v>819</v>
      </c>
      <c r="D14" s="961">
        <f>C14-'Kero-Res'!C14-'Kero-Comm'!C14</f>
        <v>84</v>
      </c>
      <c r="E14" s="345">
        <f>D14*Assumptions!$C$24</f>
        <v>27271440</v>
      </c>
      <c r="F14" s="391">
        <f>Assumptions!$H$3</f>
        <v>1.1863330000000001</v>
      </c>
      <c r="G14" s="297">
        <f>Assumptions!$C$115</f>
        <v>3.7854100000000002</v>
      </c>
      <c r="H14" s="422"/>
      <c r="I14" s="1077">
        <f>IF(D14=0,0,Assumptions!$C$96)</f>
        <v>2.5</v>
      </c>
      <c r="J14" s="434">
        <f>50.73/1000</f>
        <v>5.0729999999999997E-2</v>
      </c>
      <c r="K14" s="286">
        <f t="shared" si="10"/>
        <v>0.22781609254161692</v>
      </c>
      <c r="L14" s="322"/>
      <c r="M14" s="329"/>
      <c r="N14" s="281"/>
      <c r="O14" s="281"/>
      <c r="P14" s="314">
        <f t="shared" si="0"/>
        <v>0</v>
      </c>
      <c r="Q14" s="1053">
        <f t="shared" si="1"/>
        <v>0.22781609254161692</v>
      </c>
      <c r="R14" s="1047">
        <f t="shared" si="2"/>
        <v>6212872.8987831529</v>
      </c>
      <c r="S14" s="268">
        <f t="shared" si="3"/>
        <v>0.22781609254161692</v>
      </c>
      <c r="T14" s="366">
        <f t="shared" si="4"/>
        <v>6212872.8987831529</v>
      </c>
      <c r="U14" s="336">
        <f>-'OECD other kero subsidies'!F28</f>
        <v>0</v>
      </c>
      <c r="V14" s="342">
        <f t="shared" si="5"/>
        <v>0</v>
      </c>
      <c r="W14" s="111">
        <f t="shared" si="6"/>
        <v>6212872.8987831529</v>
      </c>
      <c r="X14" s="281">
        <f t="shared" si="7"/>
        <v>2.7278160925416168</v>
      </c>
      <c r="Y14" s="342">
        <f t="shared" si="8"/>
        <v>74391472.898783147</v>
      </c>
    </row>
    <row r="15" spans="1:26" x14ac:dyDescent="0.6">
      <c r="A15" s="46">
        <f t="shared" si="9"/>
        <v>11</v>
      </c>
      <c r="B15" s="44" t="s">
        <v>9</v>
      </c>
      <c r="C15" s="1156">
        <v>141</v>
      </c>
      <c r="D15" s="961">
        <f>C15-'Kero-Res'!C15-'Kero-Comm'!C15</f>
        <v>140</v>
      </c>
      <c r="E15" s="345">
        <f>D15*Assumptions!$C$24</f>
        <v>45452400</v>
      </c>
      <c r="F15" s="391">
        <f>Assumptions!$H$3</f>
        <v>1.1863330000000001</v>
      </c>
      <c r="G15" s="297">
        <f>Assumptions!$C$115</f>
        <v>3.7854100000000002</v>
      </c>
      <c r="H15" s="422"/>
      <c r="I15" s="1077">
        <f>IF(D15=0,0,Assumptions!$C$96)</f>
        <v>2.5</v>
      </c>
      <c r="J15" s="434">
        <f>101.25/1000</f>
        <v>0.10125000000000001</v>
      </c>
      <c r="K15" s="286">
        <f t="shared" si="10"/>
        <v>0.45468912615491258</v>
      </c>
      <c r="L15" s="322"/>
      <c r="M15" s="329"/>
      <c r="N15" s="281"/>
      <c r="O15" s="281"/>
      <c r="P15" s="314">
        <f t="shared" si="0"/>
        <v>0</v>
      </c>
      <c r="Q15" s="1053">
        <f t="shared" si="1"/>
        <v>0.45468912615491258</v>
      </c>
      <c r="R15" s="1047">
        <f t="shared" si="2"/>
        <v>20666712.037643548</v>
      </c>
      <c r="S15" s="268">
        <f t="shared" si="3"/>
        <v>0.45468912615491258</v>
      </c>
      <c r="T15" s="366">
        <f t="shared" si="4"/>
        <v>20666712.037643548</v>
      </c>
      <c r="U15" s="336">
        <f>-'OECD other kero subsidies'!F30</f>
        <v>-61847.333333333336</v>
      </c>
      <c r="V15" s="342">
        <f t="shared" si="5"/>
        <v>-73371.532495333347</v>
      </c>
      <c r="W15" s="111">
        <f t="shared" si="6"/>
        <v>20593340.505148213</v>
      </c>
      <c r="X15" s="281">
        <f t="shared" si="7"/>
        <v>2.9546891261549124</v>
      </c>
      <c r="Y15" s="342">
        <f t="shared" si="8"/>
        <v>134224340.50514823</v>
      </c>
    </row>
    <row r="16" spans="1:26" x14ac:dyDescent="0.6">
      <c r="A16" s="46">
        <f t="shared" si="9"/>
        <v>12</v>
      </c>
      <c r="B16" s="44" t="s">
        <v>10</v>
      </c>
      <c r="C16" s="1156">
        <v>1</v>
      </c>
      <c r="D16" s="961">
        <f>C16-'Kero-Res'!C16-'Kero-Comm'!C16</f>
        <v>0</v>
      </c>
      <c r="E16" s="345">
        <f>D16*Assumptions!$C$24</f>
        <v>0</v>
      </c>
      <c r="F16" s="391">
        <f>Assumptions!$H$3</f>
        <v>1.1863330000000001</v>
      </c>
      <c r="G16" s="297">
        <f>Assumptions!$C$115</f>
        <v>3.7854100000000002</v>
      </c>
      <c r="H16" s="422"/>
      <c r="I16" s="1077">
        <f>IF(D16=0,0,Assumptions!$C$96)</f>
        <v>0</v>
      </c>
      <c r="J16" s="434">
        <f>21/1000</f>
        <v>2.1000000000000001E-2</v>
      </c>
      <c r="K16" s="286">
        <f t="shared" si="10"/>
        <v>9.430589283213002E-2</v>
      </c>
      <c r="L16" s="322"/>
      <c r="M16" s="329"/>
      <c r="N16" s="281"/>
      <c r="O16" s="281"/>
      <c r="P16" s="314">
        <f t="shared" si="0"/>
        <v>0</v>
      </c>
      <c r="Q16" s="1053">
        <f t="shared" si="1"/>
        <v>9.430589283213002E-2</v>
      </c>
      <c r="R16" s="1047">
        <f t="shared" si="2"/>
        <v>0</v>
      </c>
      <c r="S16" s="268">
        <f t="shared" si="3"/>
        <v>9.430589283213002E-2</v>
      </c>
      <c r="T16" s="366">
        <f t="shared" si="4"/>
        <v>0</v>
      </c>
      <c r="U16" s="336">
        <f>-'OECD other kero subsidies'!F33</f>
        <v>0</v>
      </c>
      <c r="V16" s="342">
        <f t="shared" si="5"/>
        <v>0</v>
      </c>
      <c r="W16" s="111">
        <f t="shared" si="6"/>
        <v>0</v>
      </c>
      <c r="X16" s="281">
        <f t="shared" si="7"/>
        <v>9.430589283213002E-2</v>
      </c>
      <c r="Y16" s="342">
        <f t="shared" si="8"/>
        <v>0</v>
      </c>
    </row>
    <row r="17" spans="1:26" x14ac:dyDescent="0.6">
      <c r="A17" s="46">
        <f t="shared" si="9"/>
        <v>13</v>
      </c>
      <c r="B17" s="44" t="s">
        <v>11</v>
      </c>
      <c r="C17" s="1156">
        <v>0</v>
      </c>
      <c r="D17" s="961">
        <f>C17-'Kero-Res'!C17-'Kero-Comm'!C17</f>
        <v>0</v>
      </c>
      <c r="E17" s="345">
        <f>D17*Assumptions!$C$24</f>
        <v>0</v>
      </c>
      <c r="F17" s="391">
        <f>Assumptions!$H$17</f>
        <v>3.8049999999999998E-3</v>
      </c>
      <c r="G17" s="297">
        <f>Assumptions!$C$115</f>
        <v>3.7854100000000002</v>
      </c>
      <c r="H17" s="459"/>
      <c r="I17" s="1077">
        <f>IF(D17=0,0,Assumptions!$C$96)</f>
        <v>0</v>
      </c>
      <c r="J17" s="430">
        <f>124200/1000</f>
        <v>124.2</v>
      </c>
      <c r="K17" s="286">
        <f t="shared" si="10"/>
        <v>1.7889128432100001</v>
      </c>
      <c r="L17" s="322"/>
      <c r="M17" s="329"/>
      <c r="N17" s="281"/>
      <c r="O17" s="281"/>
      <c r="P17" s="314">
        <f t="shared" si="0"/>
        <v>0</v>
      </c>
      <c r="Q17" s="1053">
        <f t="shared" si="1"/>
        <v>1.7889128432100001</v>
      </c>
      <c r="R17" s="1047">
        <f t="shared" si="2"/>
        <v>0</v>
      </c>
      <c r="S17" s="268">
        <f t="shared" si="3"/>
        <v>1.7889128432100001</v>
      </c>
      <c r="T17" s="366">
        <f t="shared" si="4"/>
        <v>0</v>
      </c>
      <c r="U17" s="336">
        <f>-'OECD other kero subsidies'!F36</f>
        <v>0</v>
      </c>
      <c r="V17" s="342">
        <f t="shared" si="5"/>
        <v>0</v>
      </c>
      <c r="W17" s="111">
        <f t="shared" si="6"/>
        <v>0</v>
      </c>
      <c r="X17" s="281">
        <f t="shared" si="7"/>
        <v>1.7889128432100001</v>
      </c>
      <c r="Y17" s="342">
        <f t="shared" si="8"/>
        <v>0</v>
      </c>
      <c r="Z17" s="1"/>
    </row>
    <row r="18" spans="1:26" x14ac:dyDescent="0.6">
      <c r="A18" s="46">
        <f t="shared" si="9"/>
        <v>14</v>
      </c>
      <c r="B18" s="44" t="s">
        <v>12</v>
      </c>
      <c r="C18" s="1156">
        <v>77</v>
      </c>
      <c r="D18" s="961">
        <f>C18-'Kero-Res'!C18-'Kero-Comm'!C18</f>
        <v>71</v>
      </c>
      <c r="E18" s="345">
        <f>D18*Assumptions!$C$24</f>
        <v>23050860</v>
      </c>
      <c r="F18" s="391">
        <f>Assumptions!$H$3</f>
        <v>1.1863330000000001</v>
      </c>
      <c r="G18" s="297">
        <f>Assumptions!$C$115</f>
        <v>3.7854100000000002</v>
      </c>
      <c r="H18" s="422"/>
      <c r="I18" s="1077">
        <f>IF(D18=0,0,Assumptions!$C$96)</f>
        <v>2.5</v>
      </c>
      <c r="J18" s="434">
        <f>482.06/1000</f>
        <v>0.48205999999999999</v>
      </c>
      <c r="K18" s="286">
        <f t="shared" si="10"/>
        <v>2.1648142237455521</v>
      </c>
      <c r="L18" s="322"/>
      <c r="M18" s="329"/>
      <c r="N18" s="281"/>
      <c r="O18" s="281"/>
      <c r="P18" s="314">
        <f t="shared" si="0"/>
        <v>0</v>
      </c>
      <c r="Q18" s="1053">
        <f t="shared" si="1"/>
        <v>2.1648142237455521</v>
      </c>
      <c r="R18" s="1047">
        <f t="shared" si="2"/>
        <v>49900829.597567394</v>
      </c>
      <c r="S18" s="268">
        <f t="shared" si="3"/>
        <v>2.1648142237455521</v>
      </c>
      <c r="T18" s="366">
        <f t="shared" si="4"/>
        <v>49900829.597567394</v>
      </c>
      <c r="U18" s="336">
        <f>-'OECD other kero subsidies'!F38</f>
        <v>0</v>
      </c>
      <c r="V18" s="342">
        <f t="shared" si="5"/>
        <v>0</v>
      </c>
      <c r="W18" s="111">
        <f t="shared" si="6"/>
        <v>49900829.597567394</v>
      </c>
      <c r="X18" s="281">
        <f t="shared" si="7"/>
        <v>4.6648142237455517</v>
      </c>
      <c r="Y18" s="342">
        <f t="shared" si="8"/>
        <v>107527979.59756738</v>
      </c>
      <c r="Z18" s="1"/>
    </row>
    <row r="19" spans="1:26" x14ac:dyDescent="0.6">
      <c r="A19" s="46">
        <f t="shared" si="9"/>
        <v>15</v>
      </c>
      <c r="B19" s="44" t="s">
        <v>13</v>
      </c>
      <c r="C19" s="1156">
        <v>1</v>
      </c>
      <c r="D19" s="961">
        <f>C19-'Kero-Res'!C19-'Kero-Comm'!C19</f>
        <v>0</v>
      </c>
      <c r="E19" s="345">
        <f>D19*Assumptions!$C$24</f>
        <v>0</v>
      </c>
      <c r="F19" s="391">
        <f>Assumptions!$H$3</f>
        <v>1.1863330000000001</v>
      </c>
      <c r="G19" s="297">
        <f>Assumptions!$C$115</f>
        <v>3.7854100000000002</v>
      </c>
      <c r="H19" s="422"/>
      <c r="I19" s="1077">
        <f>IF(D19=0,0,Assumptions!$C$96)</f>
        <v>0</v>
      </c>
      <c r="J19" s="434">
        <f>397/1000</f>
        <v>0.39700000000000002</v>
      </c>
      <c r="K19" s="286">
        <f t="shared" si="10"/>
        <v>1.7828304502074104</v>
      </c>
      <c r="L19" s="322"/>
      <c r="M19" s="329"/>
      <c r="N19" s="281"/>
      <c r="O19" s="281"/>
      <c r="P19" s="314">
        <f t="shared" si="0"/>
        <v>0</v>
      </c>
      <c r="Q19" s="1053">
        <f t="shared" si="1"/>
        <v>1.7828304502074104</v>
      </c>
      <c r="R19" s="1047">
        <f t="shared" si="2"/>
        <v>0</v>
      </c>
      <c r="S19" s="268">
        <f t="shared" si="3"/>
        <v>1.7828304502074104</v>
      </c>
      <c r="T19" s="366">
        <f t="shared" si="4"/>
        <v>0</v>
      </c>
      <c r="U19" s="336">
        <f>-'OECD other kero subsidies'!F40</f>
        <v>0</v>
      </c>
      <c r="V19" s="342">
        <f t="shared" si="5"/>
        <v>0</v>
      </c>
      <c r="W19" s="111">
        <f t="shared" si="6"/>
        <v>0</v>
      </c>
      <c r="X19" s="281">
        <f t="shared" si="7"/>
        <v>1.7828304502074104</v>
      </c>
      <c r="Y19" s="342">
        <f t="shared" si="8"/>
        <v>0</v>
      </c>
      <c r="Z19" s="1"/>
    </row>
    <row r="20" spans="1:26" x14ac:dyDescent="0.6">
      <c r="A20" s="46">
        <f t="shared" si="9"/>
        <v>16</v>
      </c>
      <c r="B20" s="44" t="s">
        <v>14</v>
      </c>
      <c r="C20" s="1156">
        <v>0</v>
      </c>
      <c r="D20" s="961">
        <f>C20-'Kero-Res'!C20-'Kero-Comm'!C20</f>
        <v>0</v>
      </c>
      <c r="E20" s="345">
        <f>D20*Assumptions!$C$24</f>
        <v>0</v>
      </c>
      <c r="F20" s="391">
        <f>Assumptions!$H$18</f>
        <v>0.28262100000000001</v>
      </c>
      <c r="G20" s="297">
        <f>Assumptions!$C$115</f>
        <v>3.7854100000000002</v>
      </c>
      <c r="H20" s="424"/>
      <c r="I20" s="1077">
        <f>IF(D20=0,0,Assumptions!$C$96)</f>
        <v>0</v>
      </c>
      <c r="J20" s="431">
        <f>1822/1000</f>
        <v>1.8220000000000001</v>
      </c>
      <c r="K20" s="286">
        <f t="shared" si="10"/>
        <v>1.9492418472094202</v>
      </c>
      <c r="L20" s="322"/>
      <c r="M20" s="329"/>
      <c r="N20" s="281"/>
      <c r="O20" s="281"/>
      <c r="P20" s="314">
        <f t="shared" si="0"/>
        <v>0</v>
      </c>
      <c r="Q20" s="1053">
        <f t="shared" si="1"/>
        <v>1.9492418472094202</v>
      </c>
      <c r="R20" s="1047">
        <f t="shared" si="2"/>
        <v>0</v>
      </c>
      <c r="S20" s="268">
        <f t="shared" si="3"/>
        <v>1.9492418472094202</v>
      </c>
      <c r="T20" s="366">
        <f t="shared" si="4"/>
        <v>0</v>
      </c>
      <c r="U20" s="336">
        <f>-'OECD other kero subsidies'!F42</f>
        <v>0</v>
      </c>
      <c r="V20" s="342">
        <f t="shared" si="5"/>
        <v>0</v>
      </c>
      <c r="W20" s="111">
        <f t="shared" si="6"/>
        <v>0</v>
      </c>
      <c r="X20" s="281">
        <f t="shared" si="7"/>
        <v>1.9492418472094202</v>
      </c>
      <c r="Y20" s="342">
        <f t="shared" si="8"/>
        <v>0</v>
      </c>
      <c r="Z20" s="1"/>
    </row>
    <row r="21" spans="1:26" x14ac:dyDescent="0.6">
      <c r="A21" s="46">
        <f t="shared" si="9"/>
        <v>17</v>
      </c>
      <c r="B21" s="44" t="s">
        <v>15</v>
      </c>
      <c r="C21" s="1156">
        <v>1</v>
      </c>
      <c r="D21" s="961">
        <f>C21-'Kero-Res'!C21-'Kero-Comm'!C21</f>
        <v>1</v>
      </c>
      <c r="E21" s="345">
        <f>D21*Assumptions!$C$24</f>
        <v>324660</v>
      </c>
      <c r="F21" s="391">
        <f>Assumptions!$H$3</f>
        <v>1.1863330000000001</v>
      </c>
      <c r="G21" s="297">
        <f>Assumptions!$C$115</f>
        <v>3.7854100000000002</v>
      </c>
      <c r="H21" s="422"/>
      <c r="I21" s="1077">
        <f>IF(D21=0,0,Assumptions!$C$96)</f>
        <v>2.5</v>
      </c>
      <c r="J21" s="434">
        <f>350.08/1000</f>
        <v>0.35008</v>
      </c>
      <c r="K21" s="286">
        <f t="shared" si="10"/>
        <v>1.5721241410796225</v>
      </c>
      <c r="L21" s="322"/>
      <c r="M21" s="329"/>
      <c r="N21" s="281"/>
      <c r="O21" s="281"/>
      <c r="P21" s="314">
        <f t="shared" si="0"/>
        <v>0</v>
      </c>
      <c r="Q21" s="1053">
        <f t="shared" si="1"/>
        <v>1.5721241410796225</v>
      </c>
      <c r="R21" s="1047">
        <f t="shared" si="2"/>
        <v>510405.82364291023</v>
      </c>
      <c r="S21" s="268">
        <f t="shared" si="3"/>
        <v>1.5721241410796225</v>
      </c>
      <c r="T21" s="366">
        <f t="shared" si="4"/>
        <v>510405.82364291023</v>
      </c>
      <c r="U21" s="336">
        <f>-'OECD other kero subsidies'!F44</f>
        <v>0</v>
      </c>
      <c r="V21" s="342">
        <f t="shared" si="5"/>
        <v>0</v>
      </c>
      <c r="W21" s="111">
        <f t="shared" si="6"/>
        <v>510405.82364291023</v>
      </c>
      <c r="X21" s="281">
        <f t="shared" si="7"/>
        <v>4.0721241410796223</v>
      </c>
      <c r="Y21" s="342">
        <f t="shared" si="8"/>
        <v>1322055.8236429102</v>
      </c>
      <c r="Z21" s="1"/>
    </row>
    <row r="22" spans="1:26" x14ac:dyDescent="0.6">
      <c r="A22" s="46">
        <f t="shared" si="9"/>
        <v>18</v>
      </c>
      <c r="B22" s="44" t="s">
        <v>16</v>
      </c>
      <c r="C22" s="1156">
        <v>0</v>
      </c>
      <c r="D22" s="961">
        <f>C22-'Kero-Res'!C22-'Kero-Comm'!C22</f>
        <v>0</v>
      </c>
      <c r="E22" s="345">
        <f>D22*Assumptions!$C$24</f>
        <v>0</v>
      </c>
      <c r="F22" s="391">
        <f>Assumptions!$H$3</f>
        <v>1.1863330000000001</v>
      </c>
      <c r="G22" s="297">
        <f>Assumptions!$C$115</f>
        <v>3.7854100000000002</v>
      </c>
      <c r="H22" s="422"/>
      <c r="I22" s="1077">
        <f>IF(D22=0,0,Assumptions!$C$96)</f>
        <v>0</v>
      </c>
      <c r="J22" s="434">
        <f>165/1000</f>
        <v>0.16500000000000001</v>
      </c>
      <c r="K22" s="286">
        <f t="shared" si="10"/>
        <v>0.74097487225245018</v>
      </c>
      <c r="L22" s="322"/>
      <c r="M22" s="329"/>
      <c r="N22" s="281"/>
      <c r="O22" s="281"/>
      <c r="P22" s="314">
        <f t="shared" si="0"/>
        <v>0</v>
      </c>
      <c r="Q22" s="1053">
        <f t="shared" si="1"/>
        <v>0.74097487225245018</v>
      </c>
      <c r="R22" s="1047">
        <f t="shared" si="2"/>
        <v>0</v>
      </c>
      <c r="S22" s="268">
        <f t="shared" si="3"/>
        <v>0.74097487225245018</v>
      </c>
      <c r="T22" s="366">
        <f t="shared" si="4"/>
        <v>0</v>
      </c>
      <c r="U22" s="336">
        <f>-'OECD other kero subsidies'!F46</f>
        <v>-5302448</v>
      </c>
      <c r="V22" s="342">
        <f t="shared" si="5"/>
        <v>-6290469.0431840001</v>
      </c>
      <c r="W22" s="111">
        <f t="shared" si="6"/>
        <v>-6290469.0431840001</v>
      </c>
      <c r="X22" s="281">
        <f t="shared" si="7"/>
        <v>0.74097487225245018</v>
      </c>
      <c r="Y22" s="342">
        <f t="shared" si="8"/>
        <v>-6290469.0431840001</v>
      </c>
      <c r="Z22" s="1"/>
    </row>
    <row r="23" spans="1:26" x14ac:dyDescent="0.6">
      <c r="A23" s="46">
        <f t="shared" si="9"/>
        <v>19</v>
      </c>
      <c r="B23" s="44" t="s">
        <v>17</v>
      </c>
      <c r="C23" s="1156">
        <v>1</v>
      </c>
      <c r="D23" s="961">
        <f>C23-'Kero-Res'!C23-'Kero-Comm'!C23</f>
        <v>1</v>
      </c>
      <c r="E23" s="345">
        <f>D23*Assumptions!$C$24</f>
        <v>324660</v>
      </c>
      <c r="F23" s="391">
        <f>Assumptions!$H$3</f>
        <v>1.1863330000000001</v>
      </c>
      <c r="G23" s="297">
        <f>Assumptions!$C$115</f>
        <v>3.7854100000000002</v>
      </c>
      <c r="H23" s="422"/>
      <c r="I23" s="1077">
        <f>IF(D23=0,0,Assumptions!$C$96)</f>
        <v>2.5</v>
      </c>
      <c r="J23" s="434">
        <f>481.31/1000</f>
        <v>0.48131000000000002</v>
      </c>
      <c r="K23" s="286">
        <f t="shared" si="10"/>
        <v>2.1614461561444047</v>
      </c>
      <c r="L23" s="322"/>
      <c r="M23" s="329"/>
      <c r="N23" s="281"/>
      <c r="O23" s="281"/>
      <c r="P23" s="314">
        <f t="shared" si="0"/>
        <v>0</v>
      </c>
      <c r="Q23" s="1053">
        <f t="shared" si="1"/>
        <v>2.1614461561444047</v>
      </c>
      <c r="R23" s="1047">
        <f t="shared" si="2"/>
        <v>701735.10905384249</v>
      </c>
      <c r="S23" s="268">
        <f t="shared" si="3"/>
        <v>2.1614461561444047</v>
      </c>
      <c r="T23" s="366">
        <f t="shared" si="4"/>
        <v>701735.10905384249</v>
      </c>
      <c r="U23" s="336">
        <f>-'OECD other kero subsidies'!F48</f>
        <v>0</v>
      </c>
      <c r="V23" s="342">
        <f t="shared" si="5"/>
        <v>0</v>
      </c>
      <c r="W23" s="111">
        <f t="shared" si="6"/>
        <v>701735.10905384249</v>
      </c>
      <c r="X23" s="281">
        <f t="shared" si="7"/>
        <v>4.6614461561444047</v>
      </c>
      <c r="Y23" s="342">
        <f t="shared" si="8"/>
        <v>1513385.1090538425</v>
      </c>
      <c r="Z23" s="1"/>
    </row>
    <row r="24" spans="1:26" x14ac:dyDescent="0.6">
      <c r="A24" s="46">
        <f t="shared" si="9"/>
        <v>20</v>
      </c>
      <c r="B24" s="44" t="s">
        <v>18</v>
      </c>
      <c r="C24" s="1156">
        <v>0</v>
      </c>
      <c r="D24" s="961">
        <f>C24-'Kero-Res'!C24-'Kero-Comm'!C24</f>
        <v>0</v>
      </c>
      <c r="E24" s="345">
        <f>D24*Assumptions!$C$24</f>
        <v>0</v>
      </c>
      <c r="F24" s="391">
        <f>Assumptions!$H$3</f>
        <v>1.1863330000000001</v>
      </c>
      <c r="G24" s="297">
        <f>Assumptions!$C$115</f>
        <v>3.7854100000000002</v>
      </c>
      <c r="H24" s="422"/>
      <c r="I24" s="1077">
        <f>IF(D24=0,0,Assumptions!$C$96)</f>
        <v>0</v>
      </c>
      <c r="J24" s="427">
        <f>740.2/1000</f>
        <v>0.74020000000000008</v>
      </c>
      <c r="K24" s="286">
        <f t="shared" si="10"/>
        <v>3.324058184492507</v>
      </c>
      <c r="L24" s="322"/>
      <c r="M24" s="329"/>
      <c r="N24" s="281"/>
      <c r="O24" s="281"/>
      <c r="P24" s="314">
        <f t="shared" si="0"/>
        <v>0</v>
      </c>
      <c r="Q24" s="1053">
        <f t="shared" si="1"/>
        <v>3.324058184492507</v>
      </c>
      <c r="R24" s="1047">
        <f t="shared" si="2"/>
        <v>0</v>
      </c>
      <c r="S24" s="268">
        <f t="shared" si="3"/>
        <v>3.324058184492507</v>
      </c>
      <c r="T24" s="366">
        <f t="shared" si="4"/>
        <v>0</v>
      </c>
      <c r="U24" s="336">
        <f>-'OECD other kero subsidies'!F50</f>
        <v>0</v>
      </c>
      <c r="V24" s="342">
        <f t="shared" si="5"/>
        <v>0</v>
      </c>
      <c r="W24" s="111">
        <f t="shared" si="6"/>
        <v>0</v>
      </c>
      <c r="X24" s="281">
        <f t="shared" si="7"/>
        <v>3.324058184492507</v>
      </c>
      <c r="Y24" s="342">
        <f t="shared" si="8"/>
        <v>0</v>
      </c>
      <c r="Z24" s="1"/>
    </row>
    <row r="25" spans="1:26" x14ac:dyDescent="0.6">
      <c r="A25" s="46">
        <f t="shared" si="9"/>
        <v>21</v>
      </c>
      <c r="B25" s="44" t="s">
        <v>19</v>
      </c>
      <c r="C25" s="1156">
        <v>0</v>
      </c>
      <c r="D25" s="961">
        <f>C25-'Kero-Res'!C25-'Kero-Comm'!C25</f>
        <v>0</v>
      </c>
      <c r="E25" s="345">
        <f>D25*Assumptions!$C$24</f>
        <v>0</v>
      </c>
      <c r="F25" s="391">
        <f>Assumptions!$H$19</f>
        <v>0.119739</v>
      </c>
      <c r="G25" s="297">
        <f>Assumptions!$C$115</f>
        <v>3.7854100000000002</v>
      </c>
      <c r="H25" s="425"/>
      <c r="I25" s="1077">
        <f>IF(D25=0,0,Assumptions!$C$96)</f>
        <v>0</v>
      </c>
      <c r="J25" s="1184">
        <f>2185.8/1000</f>
        <v>2.1858</v>
      </c>
      <c r="K25" s="286">
        <f t="shared" si="10"/>
        <v>0.990738348424542</v>
      </c>
      <c r="L25" s="322"/>
      <c r="M25" s="329"/>
      <c r="N25" s="281"/>
      <c r="O25" s="281"/>
      <c r="P25" s="314">
        <f t="shared" si="0"/>
        <v>0</v>
      </c>
      <c r="Q25" s="1053">
        <f t="shared" si="1"/>
        <v>0.990738348424542</v>
      </c>
      <c r="R25" s="1047">
        <f t="shared" si="2"/>
        <v>0</v>
      </c>
      <c r="S25" s="268">
        <f t="shared" si="3"/>
        <v>0.990738348424542</v>
      </c>
      <c r="T25" s="366">
        <f t="shared" si="4"/>
        <v>0</v>
      </c>
      <c r="U25" s="336">
        <f>-'OECD other kero subsidies'!F52</f>
        <v>0</v>
      </c>
      <c r="V25" s="342">
        <f t="shared" si="5"/>
        <v>0</v>
      </c>
      <c r="W25" s="111">
        <f t="shared" si="6"/>
        <v>0</v>
      </c>
      <c r="X25" s="281">
        <f t="shared" si="7"/>
        <v>0.990738348424542</v>
      </c>
      <c r="Y25" s="342">
        <f t="shared" si="8"/>
        <v>0</v>
      </c>
      <c r="Z25" s="1"/>
    </row>
    <row r="26" spans="1:26" ht="15.9" thickBot="1" x14ac:dyDescent="0.65">
      <c r="A26" s="15">
        <f t="shared" si="9"/>
        <v>22</v>
      </c>
      <c r="B26" s="47" t="s">
        <v>20</v>
      </c>
      <c r="C26" s="1158">
        <v>3111</v>
      </c>
      <c r="D26" s="962">
        <f>C26-'Kero-Res'!C26-'Kero-Comm'!C26</f>
        <v>1236</v>
      </c>
      <c r="E26" s="347">
        <f>D26*Assumptions!$C$24</f>
        <v>401279760</v>
      </c>
      <c r="F26" s="419">
        <f>Assumptions!$H$20</f>
        <v>1.337591</v>
      </c>
      <c r="G26" s="299">
        <f>Assumptions!$C$115</f>
        <v>3.7854100000000002</v>
      </c>
      <c r="H26" s="421"/>
      <c r="I26" s="1055">
        <f>IF(D26=0,0,Assumptions!$C$96)</f>
        <v>2.5</v>
      </c>
      <c r="J26" s="433">
        <f>111.4/1000</f>
        <v>0.1114</v>
      </c>
      <c r="K26" s="308">
        <f t="shared" si="10"/>
        <v>0.56405500069033399</v>
      </c>
      <c r="L26" s="359"/>
      <c r="M26" s="334"/>
      <c r="N26" s="318"/>
      <c r="O26" s="318"/>
      <c r="P26" s="319">
        <f t="shared" si="0"/>
        <v>0</v>
      </c>
      <c r="Q26" s="1054">
        <f t="shared" si="1"/>
        <v>0.56405500069033399</v>
      </c>
      <c r="R26" s="1048">
        <f t="shared" si="2"/>
        <v>226343855.30381706</v>
      </c>
      <c r="S26" s="269">
        <f t="shared" si="3"/>
        <v>0.56405500069033399</v>
      </c>
      <c r="T26" s="368">
        <f t="shared" si="4"/>
        <v>226343855.30381706</v>
      </c>
      <c r="U26" s="340">
        <f>-'OECD other kero subsidies'!F54</f>
        <v>0</v>
      </c>
      <c r="V26" s="344">
        <f t="shared" si="5"/>
        <v>0</v>
      </c>
      <c r="W26" s="163">
        <f t="shared" si="6"/>
        <v>226343855.30381706</v>
      </c>
      <c r="X26" s="318">
        <f t="shared" si="7"/>
        <v>3.0640550006903338</v>
      </c>
      <c r="Y26" s="344">
        <f t="shared" si="8"/>
        <v>1229543255.303817</v>
      </c>
      <c r="Z26" s="1"/>
    </row>
    <row r="27" spans="1:26" ht="15.9" thickTop="1" x14ac:dyDescent="0.6">
      <c r="A27" s="48" t="s">
        <v>882</v>
      </c>
      <c r="B27" s="44"/>
      <c r="C27" s="1156"/>
      <c r="D27" s="961"/>
      <c r="E27" s="345"/>
      <c r="F27" s="399"/>
      <c r="G27" s="297"/>
      <c r="H27" s="383"/>
      <c r="I27" s="1077"/>
      <c r="J27" s="393"/>
      <c r="K27" s="306"/>
      <c r="L27" s="322"/>
      <c r="M27" s="329"/>
      <c r="N27" s="320"/>
      <c r="O27" s="320"/>
      <c r="P27" s="314"/>
      <c r="Q27" s="1053"/>
      <c r="R27" s="1047"/>
      <c r="S27" s="310"/>
      <c r="T27" s="366"/>
      <c r="U27" s="336"/>
      <c r="V27" s="342"/>
      <c r="W27" s="111"/>
      <c r="X27" s="320"/>
      <c r="Y27" s="342"/>
      <c r="Z27" s="1"/>
    </row>
    <row r="28" spans="1:26" x14ac:dyDescent="0.6">
      <c r="A28" s="61">
        <f>A26+1</f>
        <v>23</v>
      </c>
      <c r="B28" s="44" t="s">
        <v>38</v>
      </c>
      <c r="C28" s="1156">
        <v>423</v>
      </c>
      <c r="D28" s="961">
        <f>C28-'Kero-Res'!C28-'Kero-Comm'!C28</f>
        <v>116</v>
      </c>
      <c r="E28" s="345">
        <f>D28*Assumptions!$C$24</f>
        <v>37660560</v>
      </c>
      <c r="F28" s="399">
        <f>Assumptions!$H$4</f>
        <v>0.78824099999999997</v>
      </c>
      <c r="G28" s="297">
        <f>Assumptions!$C$115</f>
        <v>3.7854100000000002</v>
      </c>
      <c r="H28" s="441"/>
      <c r="I28" s="1077">
        <f>IF(D28=0,0,Assumptions!$C$96)</f>
        <v>2.5</v>
      </c>
      <c r="J28" s="447">
        <f>'Kero-Comm'!I28</f>
        <v>0</v>
      </c>
      <c r="K28" s="306">
        <f t="shared" si="10"/>
        <v>0</v>
      </c>
      <c r="L28" s="322"/>
      <c r="M28" s="329"/>
      <c r="N28" s="320"/>
      <c r="O28" s="320"/>
      <c r="P28" s="314">
        <f t="shared" ref="P28:P34" si="11">M28*E28</f>
        <v>0</v>
      </c>
      <c r="Q28" s="1053">
        <f t="shared" si="1"/>
        <v>0</v>
      </c>
      <c r="R28" s="1047">
        <f t="shared" ref="R28:R34" si="12">Q28*E28</f>
        <v>0</v>
      </c>
      <c r="S28" s="310">
        <f t="shared" ref="S28:S34" si="13">N28+K28</f>
        <v>0</v>
      </c>
      <c r="T28" s="366">
        <f t="shared" ref="T28:T34" si="14">E28*S28</f>
        <v>0</v>
      </c>
      <c r="U28" s="336">
        <f>-'OECD other kero subsidies'!F56</f>
        <v>0</v>
      </c>
      <c r="V28" s="342">
        <f t="shared" ref="V28:V34" si="15">U28*F28</f>
        <v>0</v>
      </c>
      <c r="W28" s="111">
        <f t="shared" ref="W28:W34" si="16">T28+V28</f>
        <v>0</v>
      </c>
      <c r="X28" s="320">
        <f t="shared" ref="X28:X38" si="17">(I28+K28)*(1+L28)</f>
        <v>2.5</v>
      </c>
      <c r="Y28" s="342">
        <f t="shared" ref="Y28:Y34" si="18">X28*E28+V28</f>
        <v>94151400</v>
      </c>
      <c r="Z28" s="1"/>
    </row>
    <row r="29" spans="1:26" x14ac:dyDescent="0.6">
      <c r="A29" s="61">
        <f t="shared" ref="A29:A34" si="19">A28+1</f>
        <v>24</v>
      </c>
      <c r="B29" s="44" t="s">
        <v>39</v>
      </c>
      <c r="C29" s="1156">
        <v>28</v>
      </c>
      <c r="D29" s="961">
        <f>C29-'Kero-Res'!C29-'Kero-Comm'!C29</f>
        <v>0</v>
      </c>
      <c r="E29" s="345">
        <f>D29*Assumptions!$C$24</f>
        <v>0</v>
      </c>
      <c r="F29" s="399">
        <f>Assumptions!$H$5</f>
        <v>0.12035</v>
      </c>
      <c r="G29" s="297">
        <f>Assumptions!$C$115</f>
        <v>3.7854100000000002</v>
      </c>
      <c r="H29" s="442"/>
      <c r="I29" s="1077">
        <f>IF(D29=0,0,Assumptions!$C$96)</f>
        <v>0</v>
      </c>
      <c r="J29" s="448">
        <f>'Kero-Comm'!I29</f>
        <v>2.4900000000000002</v>
      </c>
      <c r="K29" s="306">
        <f t="shared" si="10"/>
        <v>1.1343794928150002</v>
      </c>
      <c r="L29" s="322"/>
      <c r="M29" s="329"/>
      <c r="N29" s="320"/>
      <c r="O29" s="320"/>
      <c r="P29" s="314">
        <f t="shared" si="11"/>
        <v>0</v>
      </c>
      <c r="Q29" s="1053">
        <f t="shared" si="1"/>
        <v>1.1343794928150002</v>
      </c>
      <c r="R29" s="1047">
        <f t="shared" si="12"/>
        <v>0</v>
      </c>
      <c r="S29" s="310">
        <f t="shared" si="13"/>
        <v>1.1343794928150002</v>
      </c>
      <c r="T29" s="366">
        <f t="shared" si="14"/>
        <v>0</v>
      </c>
      <c r="U29" s="336">
        <f>-'OECD other kero subsidies'!F58</f>
        <v>-807916.33333333337</v>
      </c>
      <c r="V29" s="342">
        <f t="shared" si="15"/>
        <v>-97232.730716666672</v>
      </c>
      <c r="W29" s="111">
        <f t="shared" si="16"/>
        <v>-97232.730716666672</v>
      </c>
      <c r="X29" s="320">
        <f t="shared" si="17"/>
        <v>1.1343794928150002</v>
      </c>
      <c r="Y29" s="342">
        <f t="shared" si="18"/>
        <v>-97232.730716666672</v>
      </c>
      <c r="Z29" s="1"/>
    </row>
    <row r="30" spans="1:26" x14ac:dyDescent="0.6">
      <c r="A30" s="61">
        <f t="shared" si="19"/>
        <v>25</v>
      </c>
      <c r="B30" s="44" t="s">
        <v>40</v>
      </c>
      <c r="C30" s="1156">
        <v>2</v>
      </c>
      <c r="D30" s="961">
        <f>C30-'Kero-Res'!C30-'Kero-Comm'!C30</f>
        <v>2</v>
      </c>
      <c r="E30" s="345">
        <f>D30*Assumptions!$C$24</f>
        <v>649320</v>
      </c>
      <c r="F30" s="399">
        <f>Assumptions!$H$6</f>
        <v>1.010632</v>
      </c>
      <c r="G30" s="297">
        <f>Assumptions!$C$115</f>
        <v>3.7854100000000002</v>
      </c>
      <c r="H30" s="443"/>
      <c r="I30" s="1077">
        <f>IF(D30=0,0,Assumptions!$C$96)</f>
        <v>2.5</v>
      </c>
      <c r="J30" s="449">
        <f>'Kero-Comm'!I30</f>
        <v>0</v>
      </c>
      <c r="K30" s="306">
        <f t="shared" si="10"/>
        <v>0</v>
      </c>
      <c r="L30" s="322"/>
      <c r="M30" s="329"/>
      <c r="N30" s="320"/>
      <c r="O30" s="320"/>
      <c r="P30" s="314">
        <f t="shared" si="11"/>
        <v>0</v>
      </c>
      <c r="Q30" s="1053">
        <f t="shared" si="1"/>
        <v>0</v>
      </c>
      <c r="R30" s="1047">
        <f t="shared" si="12"/>
        <v>0</v>
      </c>
      <c r="S30" s="310">
        <f t="shared" si="13"/>
        <v>0</v>
      </c>
      <c r="T30" s="366">
        <f t="shared" si="14"/>
        <v>0</v>
      </c>
      <c r="U30" s="336">
        <f>-'OECD other kero subsidies'!F62</f>
        <v>0</v>
      </c>
      <c r="V30" s="342">
        <f t="shared" si="15"/>
        <v>0</v>
      </c>
      <c r="W30" s="111">
        <f t="shared" si="16"/>
        <v>0</v>
      </c>
      <c r="X30" s="320">
        <f t="shared" si="17"/>
        <v>2.5</v>
      </c>
      <c r="Y30" s="342">
        <f t="shared" si="18"/>
        <v>1623300</v>
      </c>
      <c r="Z30" s="1"/>
    </row>
    <row r="31" spans="1:26" x14ac:dyDescent="0.6">
      <c r="A31" s="46">
        <f t="shared" si="19"/>
        <v>26</v>
      </c>
      <c r="B31" s="44" t="s">
        <v>31</v>
      </c>
      <c r="C31" s="1156">
        <v>12630</v>
      </c>
      <c r="D31" s="961">
        <f>C31-'Kero-Res'!C31-'Kero-Comm'!C31</f>
        <v>1712</v>
      </c>
      <c r="E31" s="345">
        <f>D31*Assumptions!$C$24</f>
        <v>555817920</v>
      </c>
      <c r="F31" s="399">
        <f>Assumptions!$H$7</f>
        <v>8.829E-3</v>
      </c>
      <c r="G31" s="297">
        <f>Assumptions!$C$115</f>
        <v>3.7854100000000002</v>
      </c>
      <c r="H31" s="484"/>
      <c r="I31" s="1077">
        <f>IF(D31=0,0,Assumptions!$C$96)</f>
        <v>2.5</v>
      </c>
      <c r="J31" s="469">
        <f>'Kero-Comm'!I31</f>
        <v>0</v>
      </c>
      <c r="K31" s="842">
        <f t="shared" si="10"/>
        <v>0</v>
      </c>
      <c r="L31" s="322"/>
      <c r="M31" s="329"/>
      <c r="N31" s="320"/>
      <c r="O31" s="320"/>
      <c r="P31" s="314">
        <f t="shared" si="11"/>
        <v>0</v>
      </c>
      <c r="Q31" s="1053">
        <f t="shared" si="1"/>
        <v>0</v>
      </c>
      <c r="R31" s="1047">
        <f t="shared" si="12"/>
        <v>0</v>
      </c>
      <c r="S31" s="310">
        <f t="shared" si="13"/>
        <v>0</v>
      </c>
      <c r="T31" s="366">
        <f t="shared" si="14"/>
        <v>0</v>
      </c>
      <c r="U31" s="336">
        <f>-'OECD other kero subsidies'!F64</f>
        <v>0</v>
      </c>
      <c r="V31" s="342">
        <f t="shared" si="15"/>
        <v>0</v>
      </c>
      <c r="W31" s="111">
        <f t="shared" si="16"/>
        <v>0</v>
      </c>
      <c r="X31" s="320">
        <f t="shared" si="17"/>
        <v>2.5</v>
      </c>
      <c r="Y31" s="342">
        <f t="shared" si="18"/>
        <v>1389544800</v>
      </c>
      <c r="Z31" s="1"/>
    </row>
    <row r="32" spans="1:26" x14ac:dyDescent="0.6">
      <c r="A32" s="46">
        <f t="shared" si="19"/>
        <v>27</v>
      </c>
      <c r="B32" s="44" t="s">
        <v>47</v>
      </c>
      <c r="C32" s="1156">
        <v>2178</v>
      </c>
      <c r="D32" s="961">
        <f>C32-'Kero-Res'!C32-'Kero-Comm'!C32</f>
        <v>336</v>
      </c>
      <c r="E32" s="345">
        <f>D32*Assumptions!$C$24</f>
        <v>109085760</v>
      </c>
      <c r="F32" s="399">
        <f>Assumptions!$H$8</f>
        <v>9.3000000000000005E-4</v>
      </c>
      <c r="G32" s="297">
        <f>Assumptions!$C$115</f>
        <v>3.7854100000000002</v>
      </c>
      <c r="H32" s="446"/>
      <c r="I32" s="1077">
        <f>IF(D32=0,0,Assumptions!$C$96)</f>
        <v>2.5</v>
      </c>
      <c r="J32" s="470">
        <f>'Kero-Comm'!I32</f>
        <v>126.49999999999999</v>
      </c>
      <c r="K32" s="306">
        <f t="shared" si="10"/>
        <v>0.44533455945</v>
      </c>
      <c r="L32" s="322"/>
      <c r="M32" s="329"/>
      <c r="N32" s="320"/>
      <c r="O32" s="320"/>
      <c r="P32" s="314">
        <f t="shared" si="11"/>
        <v>0</v>
      </c>
      <c r="Q32" s="1053">
        <f t="shared" si="1"/>
        <v>0.44533455945</v>
      </c>
      <c r="R32" s="1047">
        <f t="shared" si="12"/>
        <v>48579658.871868432</v>
      </c>
      <c r="S32" s="310">
        <f t="shared" si="13"/>
        <v>0.44533455945</v>
      </c>
      <c r="T32" s="366">
        <f t="shared" si="14"/>
        <v>48579658.871868432</v>
      </c>
      <c r="U32" s="336">
        <f>-'OECD other kero subsidies'!F66</f>
        <v>-42302000000</v>
      </c>
      <c r="V32" s="342">
        <f t="shared" si="15"/>
        <v>-39340860</v>
      </c>
      <c r="W32" s="111">
        <f t="shared" si="16"/>
        <v>9238798.8718684316</v>
      </c>
      <c r="X32" s="320">
        <f t="shared" si="17"/>
        <v>2.94533455945</v>
      </c>
      <c r="Y32" s="342">
        <f t="shared" si="18"/>
        <v>281953198.87186843</v>
      </c>
      <c r="Z32" s="1"/>
    </row>
    <row r="33" spans="1:27" x14ac:dyDescent="0.6">
      <c r="A33" s="46">
        <f t="shared" si="19"/>
        <v>28</v>
      </c>
      <c r="B33" s="44" t="s">
        <v>32</v>
      </c>
      <c r="C33" s="1156">
        <v>30</v>
      </c>
      <c r="D33" s="961">
        <f>C33-'Kero-Res'!C33-'Kero-Comm'!C33</f>
        <v>22</v>
      </c>
      <c r="E33" s="345">
        <f>D33*Assumptions!$C$24</f>
        <v>7142520</v>
      </c>
      <c r="F33" s="399">
        <f>Assumptions!$H$9</f>
        <v>0.77382200000000001</v>
      </c>
      <c r="G33" s="297">
        <f>Assumptions!$C$115</f>
        <v>3.7854100000000002</v>
      </c>
      <c r="H33" s="389"/>
      <c r="I33" s="1077">
        <f>IF(D33=0,0,Assumptions!$C$96)</f>
        <v>2.5</v>
      </c>
      <c r="J33" s="452">
        <f>'Kero-Comm'!I33</f>
        <v>0</v>
      </c>
      <c r="K33" s="306">
        <f t="shared" si="10"/>
        <v>0</v>
      </c>
      <c r="L33" s="322"/>
      <c r="M33" s="329"/>
      <c r="N33" s="320"/>
      <c r="O33" s="320"/>
      <c r="P33" s="314">
        <f t="shared" si="11"/>
        <v>0</v>
      </c>
      <c r="Q33" s="1053">
        <f t="shared" si="1"/>
        <v>0</v>
      </c>
      <c r="R33" s="1047">
        <f t="shared" si="12"/>
        <v>0</v>
      </c>
      <c r="S33" s="310">
        <f t="shared" si="13"/>
        <v>0</v>
      </c>
      <c r="T33" s="366">
        <f t="shared" si="14"/>
        <v>0</v>
      </c>
      <c r="U33" s="336">
        <f>-'OECD other kero subsidies'!F68</f>
        <v>0</v>
      </c>
      <c r="V33" s="342">
        <f t="shared" si="15"/>
        <v>0</v>
      </c>
      <c r="W33" s="111">
        <f t="shared" si="16"/>
        <v>0</v>
      </c>
      <c r="X33" s="320">
        <f t="shared" si="17"/>
        <v>2.5</v>
      </c>
      <c r="Y33" s="342">
        <f t="shared" si="18"/>
        <v>17856300</v>
      </c>
    </row>
    <row r="34" spans="1:27" ht="15.9" thickBot="1" x14ac:dyDescent="0.65">
      <c r="A34" s="15">
        <f t="shared" si="19"/>
        <v>29</v>
      </c>
      <c r="B34" s="47" t="s">
        <v>33</v>
      </c>
      <c r="C34" s="1158">
        <v>0</v>
      </c>
      <c r="D34" s="962">
        <f>C34-'Kero-Res'!C34-'Kero-Comm'!C34</f>
        <v>0</v>
      </c>
      <c r="E34" s="347">
        <f>D34*Assumptions!$C$24</f>
        <v>0</v>
      </c>
      <c r="F34" s="417">
        <f>Assumptions!$H$10</f>
        <v>0.70460400000000001</v>
      </c>
      <c r="G34" s="299">
        <f>Assumptions!$C$115</f>
        <v>3.7854100000000002</v>
      </c>
      <c r="H34" s="445"/>
      <c r="I34" s="1055">
        <f>IF(D34=0,0,Assumptions!$C$96)</f>
        <v>0</v>
      </c>
      <c r="J34" s="453">
        <f>'Kero-Comm'!I34</f>
        <v>0</v>
      </c>
      <c r="K34" s="309">
        <f t="shared" si="10"/>
        <v>0</v>
      </c>
      <c r="L34" s="359"/>
      <c r="M34" s="334"/>
      <c r="N34" s="321"/>
      <c r="O34" s="321"/>
      <c r="P34" s="319">
        <f t="shared" si="11"/>
        <v>0</v>
      </c>
      <c r="Q34" s="1054">
        <f t="shared" si="1"/>
        <v>0</v>
      </c>
      <c r="R34" s="1048">
        <f t="shared" si="12"/>
        <v>0</v>
      </c>
      <c r="S34" s="312">
        <f t="shared" si="13"/>
        <v>0</v>
      </c>
      <c r="T34" s="368">
        <f t="shared" si="14"/>
        <v>0</v>
      </c>
      <c r="U34" s="340">
        <f>-'OECD other kero subsidies'!F70</f>
        <v>0</v>
      </c>
      <c r="V34" s="344">
        <f t="shared" si="15"/>
        <v>0</v>
      </c>
      <c r="W34" s="163">
        <f t="shared" si="16"/>
        <v>0</v>
      </c>
      <c r="X34" s="321">
        <f t="shared" si="17"/>
        <v>0</v>
      </c>
      <c r="Y34" s="344">
        <f t="shared" si="18"/>
        <v>0</v>
      </c>
    </row>
    <row r="35" spans="1:27" ht="15.9" thickTop="1" x14ac:dyDescent="0.6">
      <c r="A35" s="49" t="s">
        <v>883</v>
      </c>
      <c r="B35" s="50"/>
      <c r="C35" s="1156"/>
      <c r="D35" s="961"/>
      <c r="E35" s="345"/>
      <c r="F35" s="391"/>
      <c r="G35" s="297"/>
      <c r="H35" s="295"/>
      <c r="I35" s="304"/>
      <c r="J35" s="393"/>
      <c r="K35" s="306"/>
      <c r="L35" s="322"/>
      <c r="M35" s="329"/>
      <c r="N35" s="320"/>
      <c r="O35" s="320"/>
      <c r="P35" s="314"/>
      <c r="Q35" s="1053"/>
      <c r="R35" s="1047"/>
      <c r="S35" s="310"/>
      <c r="T35" s="366"/>
      <c r="U35" s="336"/>
      <c r="V35" s="342"/>
      <c r="W35" s="111"/>
      <c r="X35" s="320"/>
      <c r="Y35" s="342"/>
    </row>
    <row r="36" spans="1:27" x14ac:dyDescent="0.6">
      <c r="A36" s="72">
        <f>A34+1</f>
        <v>30</v>
      </c>
      <c r="B36" s="50" t="s">
        <v>46</v>
      </c>
      <c r="C36" s="1156">
        <v>1569</v>
      </c>
      <c r="D36" s="961">
        <f>C36-'Kero-Res'!C36-'Kero-Comm'!C36</f>
        <v>323</v>
      </c>
      <c r="E36" s="348">
        <f>D36*Assumptions!$C$24</f>
        <v>104865180</v>
      </c>
      <c r="F36" s="399">
        <f>Assumptions!$H$11</f>
        <v>0.152529</v>
      </c>
      <c r="G36" s="297">
        <f>Assumptions!$C$115</f>
        <v>3.7854100000000002</v>
      </c>
      <c r="H36" s="295"/>
      <c r="I36" s="1163">
        <f>IF(D36=0,0,Assumptions!$C$96)</f>
        <v>2.5</v>
      </c>
      <c r="J36" s="1058">
        <f>'Kero-Comm'!I36</f>
        <v>1.2</v>
      </c>
      <c r="K36" s="306">
        <f t="shared" si="10"/>
        <v>0.692861762268</v>
      </c>
      <c r="L36" s="322"/>
      <c r="M36" s="329"/>
      <c r="N36" s="320"/>
      <c r="O36" s="320"/>
      <c r="P36" s="314">
        <f>M36*E36</f>
        <v>0</v>
      </c>
      <c r="Q36" s="1053">
        <f t="shared" si="1"/>
        <v>0.692861762268</v>
      </c>
      <c r="R36" s="1047">
        <f>Q36*E36</f>
        <v>72657073.415351033</v>
      </c>
      <c r="S36" s="310">
        <f t="shared" ref="S36:S39" si="20">N36+K36</f>
        <v>0.692861762268</v>
      </c>
      <c r="T36" s="366">
        <f>E36*S36</f>
        <v>72657073.415351033</v>
      </c>
      <c r="U36" s="336">
        <f>-'OECD other kero subsidies'!F72</f>
        <v>0</v>
      </c>
      <c r="V36" s="342">
        <f>U36*F36</f>
        <v>0</v>
      </c>
      <c r="W36" s="111">
        <f>T36+V36</f>
        <v>72657073.415351033</v>
      </c>
      <c r="X36" s="320">
        <f t="shared" si="17"/>
        <v>3.192861762268</v>
      </c>
      <c r="Y36" s="342">
        <f>X36*E36+V36</f>
        <v>334820023.41535103</v>
      </c>
    </row>
    <row r="37" spans="1:27" x14ac:dyDescent="0.6">
      <c r="A37" s="46">
        <f>A36+1</f>
        <v>31</v>
      </c>
      <c r="B37" s="50" t="s">
        <v>49</v>
      </c>
      <c r="C37" s="1156">
        <v>6826</v>
      </c>
      <c r="D37" s="961">
        <f>C37-'Kero-Res'!C37-'Kero-Comm'!C37</f>
        <v>113</v>
      </c>
      <c r="E37" s="348">
        <f>D37*Assumptions!$C$24</f>
        <v>36686580</v>
      </c>
      <c r="F37" s="399">
        <f>Assumptions!$H$12</f>
        <v>1.5587E-2</v>
      </c>
      <c r="G37" s="297">
        <f>Assumptions!$C$115</f>
        <v>3.7854100000000002</v>
      </c>
      <c r="H37" s="1057"/>
      <c r="I37" s="1163">
        <f>IF(D37=0,0,Assumptions!$C$96)</f>
        <v>2.5</v>
      </c>
      <c r="J37" s="1056">
        <f>'Kero-Comm'!I37</f>
        <v>0</v>
      </c>
      <c r="K37" s="306">
        <f t="shared" si="10"/>
        <v>0</v>
      </c>
      <c r="L37" s="322"/>
      <c r="M37" s="329"/>
      <c r="N37" s="320"/>
      <c r="O37" s="320"/>
      <c r="P37" s="314">
        <f>M37*E37</f>
        <v>0</v>
      </c>
      <c r="Q37" s="1053">
        <f t="shared" si="1"/>
        <v>0</v>
      </c>
      <c r="R37" s="1047">
        <f>Q37*E37</f>
        <v>0</v>
      </c>
      <c r="S37" s="310">
        <f t="shared" si="20"/>
        <v>0</v>
      </c>
      <c r="T37" s="366">
        <f>E37*S37</f>
        <v>0</v>
      </c>
      <c r="U37" s="336">
        <f>-'OECD other kero subsidies'!F74</f>
        <v>0</v>
      </c>
      <c r="V37" s="342">
        <f>U37*F37</f>
        <v>0</v>
      </c>
      <c r="W37" s="111">
        <f>T37+V37</f>
        <v>0</v>
      </c>
      <c r="X37" s="320">
        <f t="shared" si="17"/>
        <v>2.5</v>
      </c>
      <c r="Y37" s="342">
        <f>X37*E37+V37</f>
        <v>91716450</v>
      </c>
    </row>
    <row r="38" spans="1:27" x14ac:dyDescent="0.6">
      <c r="A38" s="46">
        <f>A37+1</f>
        <v>32</v>
      </c>
      <c r="B38" s="44" t="s">
        <v>50</v>
      </c>
      <c r="C38" s="1156">
        <v>6</v>
      </c>
      <c r="D38" s="961">
        <f>C38-'Kero-Res'!C38-'Kero-Comm'!C38</f>
        <v>4</v>
      </c>
      <c r="E38" s="348">
        <f>D38*Assumptions!$C$24</f>
        <v>1298640</v>
      </c>
      <c r="F38" s="399">
        <f>Assumptions!$H$13</f>
        <v>0.30204900000000001</v>
      </c>
      <c r="G38" s="297">
        <f>Assumptions!$C$115</f>
        <v>3.7854100000000002</v>
      </c>
      <c r="H38" s="1045"/>
      <c r="I38" s="1077">
        <f>IF(D38=0,0,Assumptions!$C$96)</f>
        <v>2.5</v>
      </c>
      <c r="J38" s="1044">
        <f>'Kero-Comm'!I38</f>
        <v>0</v>
      </c>
      <c r="K38" s="306">
        <f t="shared" si="10"/>
        <v>0</v>
      </c>
      <c r="L38" s="322"/>
      <c r="M38" s="329"/>
      <c r="N38" s="320"/>
      <c r="O38" s="320"/>
      <c r="P38" s="314">
        <f>M38*E38</f>
        <v>0</v>
      </c>
      <c r="Q38" s="1053">
        <f t="shared" si="1"/>
        <v>0</v>
      </c>
      <c r="R38" s="1047">
        <f>Q38*E38</f>
        <v>0</v>
      </c>
      <c r="S38" s="310">
        <f t="shared" si="20"/>
        <v>0</v>
      </c>
      <c r="T38" s="366">
        <f>E38*S38</f>
        <v>0</v>
      </c>
      <c r="U38" s="336">
        <f>-'OECD other kero subsidies'!F78</f>
        <v>0</v>
      </c>
      <c r="V38" s="342">
        <f>U38*F38</f>
        <v>0</v>
      </c>
      <c r="W38" s="111">
        <f t="shared" ref="W38" si="21">T38+V38</f>
        <v>0</v>
      </c>
      <c r="X38" s="320">
        <f t="shared" si="17"/>
        <v>2.5</v>
      </c>
      <c r="Y38" s="342">
        <f>X38*E38+V38</f>
        <v>3246600</v>
      </c>
    </row>
    <row r="39" spans="1:27" ht="15.9" thickBot="1" x14ac:dyDescent="0.65">
      <c r="A39" s="15">
        <f>A38+1</f>
        <v>33</v>
      </c>
      <c r="B39" s="47" t="s">
        <v>51</v>
      </c>
      <c r="C39" s="1158">
        <v>0</v>
      </c>
      <c r="D39" s="962">
        <f>C39-'Kero-Res'!C39-'Kero-Comm'!C39</f>
        <v>0</v>
      </c>
      <c r="E39" s="349">
        <f>D39*Assumptions!$C$24</f>
        <v>0</v>
      </c>
      <c r="F39" s="417">
        <f>Assumptions!$H$14</f>
        <v>1.7344999999999999E-2</v>
      </c>
      <c r="G39" s="299">
        <f>Assumptions!$C$115</f>
        <v>3.7854100000000002</v>
      </c>
      <c r="H39" s="296"/>
      <c r="I39" s="1055">
        <f>IF(D39=0,0,Assumptions!$C$96)</f>
        <v>0</v>
      </c>
      <c r="J39" s="1076">
        <v>1.87</v>
      </c>
      <c r="K39" s="309">
        <f t="shared" si="10"/>
        <v>0.12278034116150001</v>
      </c>
      <c r="L39" s="359"/>
      <c r="M39" s="334"/>
      <c r="N39" s="321"/>
      <c r="O39" s="321"/>
      <c r="P39" s="319">
        <f>M39*E39</f>
        <v>0</v>
      </c>
      <c r="Q39" s="1054">
        <f t="shared" si="1"/>
        <v>0.12278034116150001</v>
      </c>
      <c r="R39" s="1048">
        <f>Q39*E39</f>
        <v>0</v>
      </c>
      <c r="S39" s="312">
        <f t="shared" si="20"/>
        <v>0.12278034116150001</v>
      </c>
      <c r="T39" s="368">
        <f>E39*S39</f>
        <v>0</v>
      </c>
      <c r="U39" s="340">
        <f>-'OECD other kero subsidies'!F80</f>
        <v>0</v>
      </c>
      <c r="V39" s="344">
        <f>U39*F39</f>
        <v>0</v>
      </c>
      <c r="W39" s="163">
        <f>T39+V39</f>
        <v>0</v>
      </c>
      <c r="X39" s="321">
        <f>I39</f>
        <v>0</v>
      </c>
      <c r="Y39" s="344">
        <f>X39*E39+V39</f>
        <v>0</v>
      </c>
    </row>
    <row r="40" spans="1:27" ht="15.9" thickTop="1" x14ac:dyDescent="0.6">
      <c r="A40" s="48" t="s">
        <v>52</v>
      </c>
      <c r="B40" s="44"/>
      <c r="C40" s="1156"/>
      <c r="D40" s="961"/>
      <c r="E40" s="348"/>
      <c r="F40" s="391"/>
      <c r="G40" s="390"/>
      <c r="H40" s="293"/>
      <c r="I40" s="301"/>
      <c r="J40" s="393"/>
      <c r="K40" s="394"/>
      <c r="L40" s="322"/>
      <c r="M40" s="329"/>
      <c r="N40" s="320"/>
      <c r="O40" s="320"/>
      <c r="P40" s="314"/>
      <c r="Q40" s="1046"/>
      <c r="R40" s="1047"/>
      <c r="S40" s="395"/>
      <c r="T40" s="396"/>
      <c r="U40" s="542"/>
      <c r="V40" s="543"/>
      <c r="W40" s="573"/>
      <c r="X40" s="571"/>
      <c r="Y40" s="548"/>
      <c r="AA40" s="55"/>
    </row>
    <row r="41" spans="1:27" x14ac:dyDescent="0.6">
      <c r="A41" s="61">
        <f>A39+1</f>
        <v>34</v>
      </c>
      <c r="B41" s="44" t="s">
        <v>48</v>
      </c>
      <c r="C41" s="1156">
        <v>56</v>
      </c>
      <c r="D41" s="961">
        <f>C41-'Kero-Res'!C41-'Kero-Comm'!C41</f>
        <v>0</v>
      </c>
      <c r="E41" s="348">
        <f>D41*Assumptions!$C$24</f>
        <v>0</v>
      </c>
      <c r="F41" s="399"/>
      <c r="G41" s="390">
        <f>Assumptions!$C$115</f>
        <v>3.7854100000000002</v>
      </c>
      <c r="H41" s="1128"/>
      <c r="I41" s="1163">
        <f>IF(D41=0,0,Assumptions!$C$96)</f>
        <v>0</v>
      </c>
      <c r="J41" s="382"/>
      <c r="K41" s="394"/>
      <c r="L41" s="322"/>
      <c r="M41" s="329"/>
      <c r="N41" s="320"/>
      <c r="O41" s="320"/>
      <c r="P41" s="314"/>
      <c r="Q41" s="1046"/>
      <c r="R41" s="1047"/>
      <c r="S41" s="395"/>
      <c r="T41" s="396"/>
      <c r="U41" s="336"/>
      <c r="V41" s="342"/>
      <c r="W41" s="574"/>
      <c r="X41" s="1043">
        <f t="shared" ref="X41:X45" si="22">I41</f>
        <v>0</v>
      </c>
      <c r="Y41" s="342">
        <f t="shared" ref="Y41:Y65" si="23">X41*E41</f>
        <v>0</v>
      </c>
    </row>
    <row r="42" spans="1:27" x14ac:dyDescent="0.6">
      <c r="A42" s="46">
        <f>A41+1</f>
        <v>35</v>
      </c>
      <c r="B42" s="44" t="s">
        <v>53</v>
      </c>
      <c r="C42" s="1156">
        <v>0</v>
      </c>
      <c r="D42" s="961">
        <f>C42-'Kero-Res'!C42-'Kero-Comm'!C42</f>
        <v>0</v>
      </c>
      <c r="E42" s="348">
        <f>D42*Assumptions!$C$24</f>
        <v>0</v>
      </c>
      <c r="F42" s="391"/>
      <c r="G42" s="390">
        <f>Assumptions!$C$115</f>
        <v>3.7854100000000002</v>
      </c>
      <c r="H42" s="1128"/>
      <c r="I42" s="1163">
        <f>IF(D42=0,0,Assumptions!$C$96)</f>
        <v>0</v>
      </c>
      <c r="J42" s="382"/>
      <c r="K42" s="394"/>
      <c r="L42" s="322"/>
      <c r="M42" s="329"/>
      <c r="N42" s="320"/>
      <c r="O42" s="320"/>
      <c r="P42" s="314"/>
      <c r="Q42" s="1046"/>
      <c r="R42" s="1047"/>
      <c r="S42" s="395"/>
      <c r="T42" s="394"/>
      <c r="U42" s="336"/>
      <c r="V42" s="342"/>
      <c r="W42" s="574"/>
      <c r="X42" s="1043">
        <f t="shared" si="22"/>
        <v>0</v>
      </c>
      <c r="Y42" s="342">
        <f t="shared" si="23"/>
        <v>0</v>
      </c>
    </row>
    <row r="43" spans="1:27" x14ac:dyDescent="0.6">
      <c r="A43" s="46">
        <f t="shared" ref="A43:A65" si="24">A42+1</f>
        <v>36</v>
      </c>
      <c r="B43" s="44" t="s">
        <v>54</v>
      </c>
      <c r="C43" s="1156">
        <v>40</v>
      </c>
      <c r="D43" s="961">
        <f>C43-'Kero-Res'!C43-'Kero-Comm'!C43</f>
        <v>40</v>
      </c>
      <c r="E43" s="348">
        <f>D43*Assumptions!$C$24</f>
        <v>12986400</v>
      </c>
      <c r="F43" s="391"/>
      <c r="G43" s="390">
        <f>Assumptions!$C$115</f>
        <v>3.7854100000000002</v>
      </c>
      <c r="H43" s="1128"/>
      <c r="I43" s="1163">
        <f>IF(D43=0,0,Assumptions!$C$96)</f>
        <v>2.5</v>
      </c>
      <c r="J43" s="382"/>
      <c r="K43" s="394"/>
      <c r="L43" s="322"/>
      <c r="M43" s="329"/>
      <c r="N43" s="320"/>
      <c r="O43" s="320"/>
      <c r="P43" s="314"/>
      <c r="Q43" s="1046"/>
      <c r="R43" s="1047"/>
      <c r="S43" s="395"/>
      <c r="T43" s="396"/>
      <c r="U43" s="336"/>
      <c r="V43" s="342"/>
      <c r="W43" s="574"/>
      <c r="X43" s="1043">
        <f t="shared" si="22"/>
        <v>2.5</v>
      </c>
      <c r="Y43" s="342">
        <f t="shared" si="23"/>
        <v>32466000</v>
      </c>
    </row>
    <row r="44" spans="1:27" s="85" customFormat="1" x14ac:dyDescent="0.6">
      <c r="A44" s="61">
        <f t="shared" si="24"/>
        <v>37</v>
      </c>
      <c r="B44" s="86" t="s">
        <v>55</v>
      </c>
      <c r="C44" s="1156">
        <v>12</v>
      </c>
      <c r="D44" s="961">
        <f>C44-'Kero-Res'!C44-'Kero-Comm'!C44</f>
        <v>10</v>
      </c>
      <c r="E44" s="348">
        <f>D44*Assumptions!$C$24</f>
        <v>3246600</v>
      </c>
      <c r="F44" s="1005"/>
      <c r="G44" s="1006">
        <f>Assumptions!$C$115</f>
        <v>3.7854100000000002</v>
      </c>
      <c r="H44" s="1128"/>
      <c r="I44" s="1163">
        <f>IF(D44=0,0,Assumptions!$C$96)</f>
        <v>2.5</v>
      </c>
      <c r="J44" s="393"/>
      <c r="K44" s="394"/>
      <c r="L44" s="322"/>
      <c r="M44" s="329"/>
      <c r="N44" s="320"/>
      <c r="O44" s="320"/>
      <c r="P44" s="314"/>
      <c r="Q44" s="1046"/>
      <c r="R44" s="1047"/>
      <c r="S44" s="395"/>
      <c r="T44" s="396"/>
      <c r="U44" s="1007"/>
      <c r="V44" s="847"/>
      <c r="W44" s="1008"/>
      <c r="X44" s="1043">
        <f t="shared" si="22"/>
        <v>2.5</v>
      </c>
      <c r="Y44" s="847">
        <f t="shared" si="23"/>
        <v>8116500</v>
      </c>
      <c r="Z44" s="506"/>
    </row>
    <row r="45" spans="1:27" s="85" customFormat="1" x14ac:dyDescent="0.6">
      <c r="A45" s="61">
        <f t="shared" si="24"/>
        <v>38</v>
      </c>
      <c r="B45" s="86" t="s">
        <v>56</v>
      </c>
      <c r="C45" s="1156">
        <v>28</v>
      </c>
      <c r="D45" s="961">
        <f>C45-'Kero-Res'!C45-'Kero-Comm'!C45</f>
        <v>0</v>
      </c>
      <c r="E45" s="348">
        <f>D45*Assumptions!$C$24</f>
        <v>0</v>
      </c>
      <c r="F45" s="1005"/>
      <c r="G45" s="1006">
        <f>Assumptions!$C$115</f>
        <v>3.7854100000000002</v>
      </c>
      <c r="H45" s="1128"/>
      <c r="I45" s="1163">
        <f>IF(D45=0,0,Assumptions!$C$96)</f>
        <v>0</v>
      </c>
      <c r="J45" s="393"/>
      <c r="K45" s="394"/>
      <c r="L45" s="322"/>
      <c r="M45" s="329"/>
      <c r="N45" s="320"/>
      <c r="O45" s="320"/>
      <c r="P45" s="314"/>
      <c r="Q45" s="1046"/>
      <c r="R45" s="1047"/>
      <c r="S45" s="395"/>
      <c r="T45" s="396"/>
      <c r="U45" s="1007"/>
      <c r="V45" s="847"/>
      <c r="W45" s="1008"/>
      <c r="X45" s="1043">
        <f t="shared" si="22"/>
        <v>0</v>
      </c>
      <c r="Y45" s="847">
        <f t="shared" si="23"/>
        <v>0</v>
      </c>
      <c r="Z45" s="506"/>
    </row>
    <row r="46" spans="1:27" x14ac:dyDescent="0.6">
      <c r="A46" s="46">
        <f t="shared" si="24"/>
        <v>39</v>
      </c>
      <c r="B46" s="44" t="s">
        <v>57</v>
      </c>
      <c r="C46" s="1156">
        <v>6</v>
      </c>
      <c r="D46" s="961">
        <f>C46-'Kero-Res'!C46-'Kero-Comm'!C46</f>
        <v>6</v>
      </c>
      <c r="E46" s="348">
        <f>D46*Assumptions!$C$24</f>
        <v>1947960</v>
      </c>
      <c r="F46" s="391"/>
      <c r="G46" s="390">
        <f>Assumptions!$C$115</f>
        <v>3.7854100000000002</v>
      </c>
      <c r="H46" s="1128"/>
      <c r="I46" s="1163">
        <f>IF(D46=0,0,Assumptions!$C$96)</f>
        <v>2.5</v>
      </c>
      <c r="J46" s="382"/>
      <c r="K46" s="400"/>
      <c r="L46" s="323"/>
      <c r="M46" s="329"/>
      <c r="N46" s="324"/>
      <c r="O46" s="324"/>
      <c r="P46" s="314"/>
      <c r="Q46" s="1046"/>
      <c r="R46" s="1047"/>
      <c r="S46" s="401"/>
      <c r="T46" s="396"/>
      <c r="U46" s="336"/>
      <c r="V46" s="342"/>
      <c r="W46" s="574"/>
      <c r="X46" s="1043">
        <f t="shared" ref="X46:X65" si="25">I46</f>
        <v>2.5</v>
      </c>
      <c r="Y46" s="342">
        <f t="shared" si="23"/>
        <v>4869900</v>
      </c>
    </row>
    <row r="47" spans="1:27" x14ac:dyDescent="0.6">
      <c r="A47" s="46">
        <f t="shared" si="24"/>
        <v>40</v>
      </c>
      <c r="B47" s="44" t="s">
        <v>58</v>
      </c>
      <c r="C47" s="1156">
        <v>0</v>
      </c>
      <c r="D47" s="961">
        <f>C47-'Kero-Res'!C47-'Kero-Comm'!C47</f>
        <v>0</v>
      </c>
      <c r="E47" s="348">
        <f>D47*Assumptions!$C$24</f>
        <v>0</v>
      </c>
      <c r="F47" s="391"/>
      <c r="G47" s="390">
        <f>Assumptions!$C$115</f>
        <v>3.7854100000000002</v>
      </c>
      <c r="H47" s="1128"/>
      <c r="I47" s="1163">
        <f>IF(D47=0,0,Assumptions!$C$96)</f>
        <v>0</v>
      </c>
      <c r="J47" s="382"/>
      <c r="K47" s="392"/>
      <c r="L47" s="325"/>
      <c r="M47" s="329"/>
      <c r="N47" s="281"/>
      <c r="O47" s="281"/>
      <c r="P47" s="314"/>
      <c r="Q47" s="1046"/>
      <c r="R47" s="1047"/>
      <c r="S47" s="402"/>
      <c r="T47" s="403"/>
      <c r="U47" s="336"/>
      <c r="V47" s="342"/>
      <c r="W47" s="574"/>
      <c r="X47" s="1043">
        <f t="shared" si="25"/>
        <v>0</v>
      </c>
      <c r="Y47" s="342">
        <f t="shared" si="23"/>
        <v>0</v>
      </c>
    </row>
    <row r="48" spans="1:27" x14ac:dyDescent="0.6">
      <c r="A48" s="46">
        <f t="shared" si="24"/>
        <v>41</v>
      </c>
      <c r="B48" s="44" t="s">
        <v>59</v>
      </c>
      <c r="C48" s="1156">
        <v>6</v>
      </c>
      <c r="D48" s="961">
        <f>C48-'Kero-Res'!C48-'Kero-Comm'!C48</f>
        <v>6</v>
      </c>
      <c r="E48" s="348">
        <f>D48*Assumptions!$C$24</f>
        <v>1947960</v>
      </c>
      <c r="F48" s="391"/>
      <c r="G48" s="390">
        <f>Assumptions!$C$115</f>
        <v>3.7854100000000002</v>
      </c>
      <c r="H48" s="1128"/>
      <c r="I48" s="1163">
        <f>IF(D48=0,0,Assumptions!$C$96)</f>
        <v>2.5</v>
      </c>
      <c r="J48" s="382"/>
      <c r="K48" s="392"/>
      <c r="L48" s="325"/>
      <c r="M48" s="329"/>
      <c r="N48" s="281"/>
      <c r="O48" s="281"/>
      <c r="P48" s="314"/>
      <c r="Q48" s="1046"/>
      <c r="R48" s="1047"/>
      <c r="S48" s="402"/>
      <c r="T48" s="396"/>
      <c r="U48" s="336"/>
      <c r="V48" s="342"/>
      <c r="W48" s="574"/>
      <c r="X48" s="1043">
        <f t="shared" si="25"/>
        <v>2.5</v>
      </c>
      <c r="Y48" s="342">
        <f t="shared" si="23"/>
        <v>4869900</v>
      </c>
    </row>
    <row r="49" spans="1:26" x14ac:dyDescent="0.6">
      <c r="A49" s="46">
        <f t="shared" si="24"/>
        <v>42</v>
      </c>
      <c r="B49" s="44" t="s">
        <v>60</v>
      </c>
      <c r="C49" s="1156">
        <v>36</v>
      </c>
      <c r="D49" s="961">
        <f>C49-'Kero-Res'!C49-'Kero-Comm'!C49</f>
        <v>13</v>
      </c>
      <c r="E49" s="348">
        <f>D49*Assumptions!$C$24</f>
        <v>4220580</v>
      </c>
      <c r="F49" s="391"/>
      <c r="G49" s="390">
        <f>Assumptions!$C$115</f>
        <v>3.7854100000000002</v>
      </c>
      <c r="H49" s="1128"/>
      <c r="I49" s="1163">
        <f>IF(D49=0,0,Assumptions!$C$96)</f>
        <v>2.5</v>
      </c>
      <c r="J49" s="382"/>
      <c r="K49" s="392"/>
      <c r="L49" s="325"/>
      <c r="M49" s="329"/>
      <c r="N49" s="281"/>
      <c r="O49" s="281"/>
      <c r="P49" s="314"/>
      <c r="Q49" s="1046"/>
      <c r="R49" s="1047"/>
      <c r="S49" s="402"/>
      <c r="T49" s="396"/>
      <c r="U49" s="336"/>
      <c r="V49" s="342"/>
      <c r="W49" s="574"/>
      <c r="X49" s="1043">
        <f t="shared" si="25"/>
        <v>2.5</v>
      </c>
      <c r="Y49" s="342">
        <f t="shared" si="23"/>
        <v>10551450</v>
      </c>
    </row>
    <row r="50" spans="1:26" s="85" customFormat="1" x14ac:dyDescent="0.6">
      <c r="A50" s="61">
        <f t="shared" si="24"/>
        <v>43</v>
      </c>
      <c r="B50" s="86" t="s">
        <v>61</v>
      </c>
      <c r="C50" s="1156">
        <v>625</v>
      </c>
      <c r="D50" s="961">
        <f>C50-'Kero-Res'!C50-'Kero-Comm'!C50</f>
        <v>60</v>
      </c>
      <c r="E50" s="348">
        <f>D50*Assumptions!$C$24</f>
        <v>19479600</v>
      </c>
      <c r="F50" s="1009"/>
      <c r="G50" s="1006">
        <f>Assumptions!$C$115</f>
        <v>3.7854100000000002</v>
      </c>
      <c r="H50" s="1128"/>
      <c r="I50" s="1163">
        <f>IF(D50=0,0,Assumptions!$C$96)</f>
        <v>2.5</v>
      </c>
      <c r="J50" s="393"/>
      <c r="K50" s="394"/>
      <c r="L50" s="322"/>
      <c r="M50" s="329"/>
      <c r="N50" s="320"/>
      <c r="O50" s="320"/>
      <c r="P50" s="314"/>
      <c r="Q50" s="1046"/>
      <c r="R50" s="1047"/>
      <c r="S50" s="395"/>
      <c r="T50" s="396"/>
      <c r="U50" s="1007"/>
      <c r="V50" s="847"/>
      <c r="W50" s="1008"/>
      <c r="X50" s="1043">
        <f t="shared" si="25"/>
        <v>2.5</v>
      </c>
      <c r="Y50" s="847">
        <f t="shared" si="23"/>
        <v>48699000</v>
      </c>
      <c r="Z50" s="506"/>
    </row>
    <row r="51" spans="1:26" s="85" customFormat="1" x14ac:dyDescent="0.6">
      <c r="A51" s="61">
        <f t="shared" si="24"/>
        <v>44</v>
      </c>
      <c r="B51" s="86" t="s">
        <v>62</v>
      </c>
      <c r="C51" s="1156">
        <v>1226</v>
      </c>
      <c r="D51" s="961">
        <f>C51-'Kero-Res'!C51-'Kero-Comm'!C51</f>
        <v>0</v>
      </c>
      <c r="E51" s="348">
        <f>D51*Assumptions!$C$24</f>
        <v>0</v>
      </c>
      <c r="F51" s="1005"/>
      <c r="G51" s="1006">
        <f>Assumptions!$C$115</f>
        <v>3.7854100000000002</v>
      </c>
      <c r="H51" s="1128"/>
      <c r="I51" s="1163">
        <f>IF(D51=0,0,Assumptions!$C$96)</f>
        <v>0</v>
      </c>
      <c r="J51" s="393"/>
      <c r="K51" s="394"/>
      <c r="L51" s="322"/>
      <c r="M51" s="329"/>
      <c r="N51" s="320"/>
      <c r="O51" s="320"/>
      <c r="P51" s="314"/>
      <c r="Q51" s="1046"/>
      <c r="R51" s="1047"/>
      <c r="S51" s="395"/>
      <c r="T51" s="396"/>
      <c r="U51" s="1007"/>
      <c r="V51" s="847"/>
      <c r="W51" s="1008"/>
      <c r="X51" s="1043">
        <f t="shared" si="25"/>
        <v>0</v>
      </c>
      <c r="Y51" s="847">
        <f t="shared" si="23"/>
        <v>0</v>
      </c>
      <c r="Z51" s="506"/>
    </row>
    <row r="52" spans="1:26" s="85" customFormat="1" x14ac:dyDescent="0.6">
      <c r="A52" s="61">
        <f t="shared" si="24"/>
        <v>45</v>
      </c>
      <c r="B52" s="86" t="s">
        <v>63</v>
      </c>
      <c r="C52" s="1156">
        <v>2866</v>
      </c>
      <c r="D52" s="961">
        <f>C52-'Kero-Res'!C52-'Kero-Comm'!C52</f>
        <v>239</v>
      </c>
      <c r="E52" s="348">
        <f>D52*Assumptions!$C$24</f>
        <v>77593740</v>
      </c>
      <c r="F52" s="1005"/>
      <c r="G52" s="1006">
        <f>Assumptions!$C$115</f>
        <v>3.7854100000000002</v>
      </c>
      <c r="H52" s="1128"/>
      <c r="I52" s="1163">
        <f>IF(D52=0,0,Assumptions!$C$96)</f>
        <v>2.5</v>
      </c>
      <c r="J52" s="393"/>
      <c r="K52" s="394"/>
      <c r="L52" s="322"/>
      <c r="M52" s="329"/>
      <c r="N52" s="320"/>
      <c r="O52" s="320"/>
      <c r="P52" s="314"/>
      <c r="Q52" s="1046"/>
      <c r="R52" s="1047"/>
      <c r="S52" s="395"/>
      <c r="T52" s="396"/>
      <c r="U52" s="1007"/>
      <c r="V52" s="847"/>
      <c r="W52" s="1008"/>
      <c r="X52" s="1043">
        <f t="shared" si="25"/>
        <v>2.5</v>
      </c>
      <c r="Y52" s="847">
        <f t="shared" si="23"/>
        <v>193984350</v>
      </c>
      <c r="Z52" s="70"/>
    </row>
    <row r="53" spans="1:26" s="85" customFormat="1" x14ac:dyDescent="0.6">
      <c r="A53" s="61">
        <f t="shared" si="24"/>
        <v>46</v>
      </c>
      <c r="B53" s="86" t="s">
        <v>64</v>
      </c>
      <c r="C53" s="1156">
        <v>58</v>
      </c>
      <c r="D53" s="961">
        <f>C53-'Kero-Res'!C53-'Kero-Comm'!C53</f>
        <v>58</v>
      </c>
      <c r="E53" s="348">
        <f>D53*Assumptions!$C$24</f>
        <v>18830280</v>
      </c>
      <c r="F53" s="1005"/>
      <c r="G53" s="1006">
        <f>Assumptions!$C$115</f>
        <v>3.7854100000000002</v>
      </c>
      <c r="H53" s="1128"/>
      <c r="I53" s="1163">
        <f>IF(D53=0,0,Assumptions!$C$96)</f>
        <v>2.5</v>
      </c>
      <c r="J53" s="393"/>
      <c r="K53" s="394"/>
      <c r="L53" s="322"/>
      <c r="M53" s="329"/>
      <c r="N53" s="320"/>
      <c r="O53" s="320"/>
      <c r="P53" s="314"/>
      <c r="Q53" s="1046"/>
      <c r="R53" s="1047"/>
      <c r="S53" s="395"/>
      <c r="T53" s="396"/>
      <c r="U53" s="1007"/>
      <c r="V53" s="847"/>
      <c r="W53" s="1008"/>
      <c r="X53" s="1043">
        <f t="shared" si="25"/>
        <v>2.5</v>
      </c>
      <c r="Y53" s="847">
        <f t="shared" si="23"/>
        <v>47075700</v>
      </c>
      <c r="Z53" s="506"/>
    </row>
    <row r="54" spans="1:26" s="85" customFormat="1" x14ac:dyDescent="0.6">
      <c r="A54" s="61">
        <f t="shared" si="24"/>
        <v>47</v>
      </c>
      <c r="B54" s="86" t="s">
        <v>65</v>
      </c>
      <c r="C54" s="1156">
        <v>42</v>
      </c>
      <c r="D54" s="961">
        <f>C54-'Kero-Res'!C54-'Kero-Comm'!C54</f>
        <v>0</v>
      </c>
      <c r="E54" s="348">
        <f>D54*Assumptions!$C$24</f>
        <v>0</v>
      </c>
      <c r="F54" s="1005"/>
      <c r="G54" s="1006">
        <f>Assumptions!$C$115</f>
        <v>3.7854100000000002</v>
      </c>
      <c r="H54" s="1128"/>
      <c r="I54" s="1163">
        <f>IF(D54=0,0,Assumptions!$C$96)</f>
        <v>0</v>
      </c>
      <c r="J54" s="393"/>
      <c r="K54" s="394"/>
      <c r="L54" s="322"/>
      <c r="M54" s="329"/>
      <c r="N54" s="320"/>
      <c r="O54" s="320"/>
      <c r="P54" s="314"/>
      <c r="Q54" s="1046"/>
      <c r="R54" s="1047"/>
      <c r="S54" s="395"/>
      <c r="T54" s="396"/>
      <c r="U54" s="1007"/>
      <c r="V54" s="1010"/>
      <c r="W54" s="1011"/>
      <c r="X54" s="1043">
        <f t="shared" si="25"/>
        <v>0</v>
      </c>
      <c r="Y54" s="847">
        <f t="shared" si="23"/>
        <v>0</v>
      </c>
      <c r="Z54" s="70"/>
    </row>
    <row r="55" spans="1:26" s="85" customFormat="1" x14ac:dyDescent="0.6">
      <c r="A55" s="61">
        <f t="shared" si="24"/>
        <v>48</v>
      </c>
      <c r="B55" s="86" t="s">
        <v>66</v>
      </c>
      <c r="C55" s="1156">
        <v>119</v>
      </c>
      <c r="D55" s="961">
        <f>C55-'Kero-Res'!C55-'Kero-Comm'!C55</f>
        <v>0</v>
      </c>
      <c r="E55" s="348">
        <f>D55*Assumptions!$C$24</f>
        <v>0</v>
      </c>
      <c r="F55" s="1005"/>
      <c r="G55" s="1006">
        <f>Assumptions!$C$115</f>
        <v>3.7854100000000002</v>
      </c>
      <c r="H55" s="1128"/>
      <c r="I55" s="1163">
        <f>IF(D55=0,0,Assumptions!$C$96)</f>
        <v>0</v>
      </c>
      <c r="J55" s="393"/>
      <c r="K55" s="394"/>
      <c r="L55" s="322"/>
      <c r="M55" s="329"/>
      <c r="N55" s="320"/>
      <c r="O55" s="320"/>
      <c r="P55" s="314"/>
      <c r="Q55" s="1046"/>
      <c r="R55" s="1047"/>
      <c r="S55" s="395"/>
      <c r="T55" s="396"/>
      <c r="U55" s="1007"/>
      <c r="V55" s="1010"/>
      <c r="W55" s="1011"/>
      <c r="X55" s="1043">
        <f t="shared" si="25"/>
        <v>0</v>
      </c>
      <c r="Y55" s="847">
        <f t="shared" si="23"/>
        <v>0</v>
      </c>
      <c r="Z55" s="506"/>
    </row>
    <row r="56" spans="1:26" s="85" customFormat="1" x14ac:dyDescent="0.6">
      <c r="A56" s="61">
        <f t="shared" si="24"/>
        <v>49</v>
      </c>
      <c r="B56" s="86" t="s">
        <v>67</v>
      </c>
      <c r="C56" s="1156">
        <v>4</v>
      </c>
      <c r="D56" s="961">
        <f>C56-'Kero-Res'!C56-'Kero-Comm'!C56</f>
        <v>4</v>
      </c>
      <c r="E56" s="348">
        <f>D56*Assumptions!$C$24</f>
        <v>1298640</v>
      </c>
      <c r="F56" s="1005"/>
      <c r="G56" s="1006">
        <f>Assumptions!$C$115</f>
        <v>3.7854100000000002</v>
      </c>
      <c r="H56" s="1128"/>
      <c r="I56" s="1163">
        <f>IF(D56=0,0,Assumptions!$C$96)</f>
        <v>2.5</v>
      </c>
      <c r="J56" s="393"/>
      <c r="K56" s="394"/>
      <c r="L56" s="322"/>
      <c r="M56" s="329"/>
      <c r="N56" s="320"/>
      <c r="O56" s="320"/>
      <c r="P56" s="314"/>
      <c r="Q56" s="1046"/>
      <c r="R56" s="1047"/>
      <c r="S56" s="395"/>
      <c r="T56" s="396"/>
      <c r="U56" s="1007"/>
      <c r="V56" s="1010"/>
      <c r="W56" s="1011"/>
      <c r="X56" s="1043">
        <f t="shared" si="25"/>
        <v>2.5</v>
      </c>
      <c r="Y56" s="847">
        <f t="shared" si="23"/>
        <v>3246600</v>
      </c>
      <c r="Z56" s="506"/>
    </row>
    <row r="57" spans="1:26" s="85" customFormat="1" x14ac:dyDescent="0.6">
      <c r="A57" s="61">
        <f t="shared" si="24"/>
        <v>50</v>
      </c>
      <c r="B57" s="86" t="s">
        <v>68</v>
      </c>
      <c r="C57" s="1156">
        <v>2558</v>
      </c>
      <c r="D57" s="961">
        <f>C57-'Kero-Res'!C57-'Kero-Comm'!C57</f>
        <v>2064</v>
      </c>
      <c r="E57" s="348">
        <f>D57*Assumptions!$C$24</f>
        <v>670098240</v>
      </c>
      <c r="F57" s="1005"/>
      <c r="G57" s="1006">
        <f>Assumptions!$C$115</f>
        <v>3.7854100000000002</v>
      </c>
      <c r="H57" s="1128"/>
      <c r="I57" s="1163">
        <f>IF(D57=0,0,Assumptions!$C$96)</f>
        <v>2.5</v>
      </c>
      <c r="J57" s="393"/>
      <c r="K57" s="394"/>
      <c r="L57" s="322"/>
      <c r="M57" s="329"/>
      <c r="N57" s="320"/>
      <c r="O57" s="320"/>
      <c r="P57" s="314"/>
      <c r="Q57" s="1046"/>
      <c r="R57" s="1047"/>
      <c r="S57" s="395"/>
      <c r="T57" s="396"/>
      <c r="U57" s="1007"/>
      <c r="V57" s="1010"/>
      <c r="W57" s="1011"/>
      <c r="X57" s="1043">
        <f t="shared" si="25"/>
        <v>2.5</v>
      </c>
      <c r="Y57" s="847">
        <f t="shared" si="23"/>
        <v>1675245600</v>
      </c>
      <c r="Z57" s="506"/>
    </row>
    <row r="58" spans="1:26" s="85" customFormat="1" x14ac:dyDescent="0.6">
      <c r="A58" s="61">
        <f t="shared" si="24"/>
        <v>51</v>
      </c>
      <c r="B58" s="86" t="s">
        <v>695</v>
      </c>
      <c r="C58" s="1156">
        <v>0</v>
      </c>
      <c r="D58" s="961">
        <f>C58-'Kero-Res'!C58-'Kero-Comm'!C58</f>
        <v>0</v>
      </c>
      <c r="E58" s="348">
        <f>D58*Assumptions!$C$24</f>
        <v>0</v>
      </c>
      <c r="F58" s="1005"/>
      <c r="G58" s="1006">
        <f>Assumptions!$C$115</f>
        <v>3.7854100000000002</v>
      </c>
      <c r="H58" s="1128"/>
      <c r="I58" s="1163">
        <f>IF(D58=0,0,Assumptions!$C$96)</f>
        <v>0</v>
      </c>
      <c r="J58" s="393"/>
      <c r="K58" s="394"/>
      <c r="L58" s="322"/>
      <c r="M58" s="329"/>
      <c r="N58" s="320"/>
      <c r="O58" s="320"/>
      <c r="P58" s="314"/>
      <c r="Q58" s="1046"/>
      <c r="R58" s="1047"/>
      <c r="S58" s="395"/>
      <c r="T58" s="396"/>
      <c r="U58" s="1007"/>
      <c r="V58" s="1010"/>
      <c r="W58" s="1011"/>
      <c r="X58" s="1043">
        <f t="shared" si="25"/>
        <v>0</v>
      </c>
      <c r="Y58" s="847">
        <f t="shared" si="23"/>
        <v>0</v>
      </c>
      <c r="Z58" s="506"/>
    </row>
    <row r="59" spans="1:26" s="85" customFormat="1" x14ac:dyDescent="0.6">
      <c r="A59" s="61">
        <f t="shared" si="24"/>
        <v>52</v>
      </c>
      <c r="B59" s="86" t="s">
        <v>69</v>
      </c>
      <c r="C59" s="1156">
        <v>0</v>
      </c>
      <c r="D59" s="961">
        <f>C59-'Kero-Res'!C59-'Kero-Comm'!C59</f>
        <v>0</v>
      </c>
      <c r="E59" s="348">
        <f>D59*Assumptions!$C$24</f>
        <v>0</v>
      </c>
      <c r="F59" s="1005"/>
      <c r="G59" s="1006">
        <f>Assumptions!$C$115</f>
        <v>3.7854100000000002</v>
      </c>
      <c r="H59" s="1128"/>
      <c r="I59" s="1163">
        <f>IF(D59=0,0,Assumptions!$C$96)</f>
        <v>0</v>
      </c>
      <c r="J59" s="393"/>
      <c r="K59" s="394"/>
      <c r="L59" s="322"/>
      <c r="M59" s="329"/>
      <c r="N59" s="320"/>
      <c r="O59" s="320"/>
      <c r="P59" s="314"/>
      <c r="Q59" s="1046"/>
      <c r="R59" s="1047"/>
      <c r="S59" s="395"/>
      <c r="T59" s="396"/>
      <c r="U59" s="1007"/>
      <c r="V59" s="1010"/>
      <c r="W59" s="1011"/>
      <c r="X59" s="1043">
        <f t="shared" si="25"/>
        <v>0</v>
      </c>
      <c r="Y59" s="847">
        <f t="shared" si="23"/>
        <v>0</v>
      </c>
      <c r="Z59" s="70"/>
    </row>
    <row r="60" spans="1:26" s="85" customFormat="1" x14ac:dyDescent="0.6">
      <c r="A60" s="61">
        <f t="shared" si="24"/>
        <v>53</v>
      </c>
      <c r="B60" s="86" t="s">
        <v>70</v>
      </c>
      <c r="C60" s="1156">
        <v>439</v>
      </c>
      <c r="D60" s="961">
        <f>C60-'Kero-Res'!C60-'Kero-Comm'!C60</f>
        <v>0</v>
      </c>
      <c r="E60" s="348">
        <f>D60*Assumptions!$C$24</f>
        <v>0</v>
      </c>
      <c r="F60" s="1005"/>
      <c r="G60" s="1006">
        <f>Assumptions!$C$115</f>
        <v>3.7854100000000002</v>
      </c>
      <c r="H60" s="1128"/>
      <c r="I60" s="1163">
        <f>IF(D60=0,0,Assumptions!$C$96)</f>
        <v>0</v>
      </c>
      <c r="J60" s="393"/>
      <c r="K60" s="394"/>
      <c r="L60" s="322"/>
      <c r="M60" s="329"/>
      <c r="N60" s="320"/>
      <c r="O60" s="320"/>
      <c r="P60" s="314"/>
      <c r="Q60" s="1046"/>
      <c r="R60" s="1047"/>
      <c r="S60" s="395"/>
      <c r="T60" s="396"/>
      <c r="U60" s="1007"/>
      <c r="V60" s="1010"/>
      <c r="W60" s="1011"/>
      <c r="X60" s="1043">
        <f t="shared" si="25"/>
        <v>0</v>
      </c>
      <c r="Y60" s="847">
        <f t="shared" si="23"/>
        <v>0</v>
      </c>
      <c r="Z60" s="70"/>
    </row>
    <row r="61" spans="1:26" s="85" customFormat="1" x14ac:dyDescent="0.6">
      <c r="A61" s="61">
        <f t="shared" si="24"/>
        <v>54</v>
      </c>
      <c r="B61" s="86" t="s">
        <v>71</v>
      </c>
      <c r="C61" s="1156">
        <v>34</v>
      </c>
      <c r="D61" s="961">
        <f>C61-'Kero-Res'!C61-'Kero-Comm'!C61</f>
        <v>24</v>
      </c>
      <c r="E61" s="348">
        <f>D61*Assumptions!$C$24</f>
        <v>7791840</v>
      </c>
      <c r="F61" s="1005"/>
      <c r="G61" s="1006">
        <f>Assumptions!$C$115</f>
        <v>3.7854100000000002</v>
      </c>
      <c r="H61" s="1128"/>
      <c r="I61" s="1163">
        <f>IF(D61=0,0,Assumptions!$C$96)</f>
        <v>2.5</v>
      </c>
      <c r="J61" s="393"/>
      <c r="K61" s="394"/>
      <c r="L61" s="322"/>
      <c r="M61" s="329"/>
      <c r="N61" s="320"/>
      <c r="O61" s="320"/>
      <c r="P61" s="314"/>
      <c r="Q61" s="1046"/>
      <c r="R61" s="1047"/>
      <c r="S61" s="395"/>
      <c r="T61" s="396"/>
      <c r="U61" s="1007"/>
      <c r="V61" s="1010"/>
      <c r="W61" s="1011"/>
      <c r="X61" s="1043">
        <f t="shared" si="25"/>
        <v>2.5</v>
      </c>
      <c r="Y61" s="847">
        <f t="shared" si="23"/>
        <v>19479600</v>
      </c>
      <c r="Z61" s="506"/>
    </row>
    <row r="62" spans="1:26" s="85" customFormat="1" x14ac:dyDescent="0.6">
      <c r="A62" s="61">
        <f t="shared" si="24"/>
        <v>55</v>
      </c>
      <c r="B62" s="86" t="s">
        <v>72</v>
      </c>
      <c r="C62" s="1156">
        <v>150</v>
      </c>
      <c r="D62" s="961">
        <f>C62-'Kero-Res'!C62-'Kero-Comm'!C62</f>
        <v>0</v>
      </c>
      <c r="E62" s="348">
        <f>D62*Assumptions!$C$24</f>
        <v>0</v>
      </c>
      <c r="F62" s="1005"/>
      <c r="G62" s="1006">
        <f>Assumptions!$C$115</f>
        <v>3.7854100000000002</v>
      </c>
      <c r="H62" s="1128"/>
      <c r="I62" s="1163">
        <f>IF(D62=0,0,Assumptions!$C$96)</f>
        <v>0</v>
      </c>
      <c r="J62" s="393"/>
      <c r="K62" s="394"/>
      <c r="L62" s="322"/>
      <c r="M62" s="329"/>
      <c r="N62" s="320"/>
      <c r="O62" s="320"/>
      <c r="P62" s="314"/>
      <c r="Q62" s="1046"/>
      <c r="R62" s="1047"/>
      <c r="S62" s="395"/>
      <c r="T62" s="396"/>
      <c r="U62" s="1007"/>
      <c r="V62" s="1010"/>
      <c r="W62" s="1011"/>
      <c r="X62" s="1043">
        <f t="shared" si="25"/>
        <v>0</v>
      </c>
      <c r="Y62" s="847">
        <f t="shared" si="23"/>
        <v>0</v>
      </c>
      <c r="Z62" s="506"/>
    </row>
    <row r="63" spans="1:26" s="85" customFormat="1" x14ac:dyDescent="0.6">
      <c r="A63" s="61">
        <f t="shared" si="24"/>
        <v>56</v>
      </c>
      <c r="B63" s="86" t="s">
        <v>73</v>
      </c>
      <c r="C63" s="1156">
        <v>0</v>
      </c>
      <c r="D63" s="961">
        <f>C63-'Kero-Res'!C63-'Kero-Comm'!C63</f>
        <v>0</v>
      </c>
      <c r="E63" s="348">
        <f>D63*Assumptions!$C$24</f>
        <v>0</v>
      </c>
      <c r="F63" s="1005"/>
      <c r="G63" s="1006">
        <f>Assumptions!$C$115</f>
        <v>3.7854100000000002</v>
      </c>
      <c r="H63" s="1128"/>
      <c r="I63" s="1163">
        <f>IF(D63=0,0,Assumptions!$C$96)</f>
        <v>0</v>
      </c>
      <c r="J63" s="393"/>
      <c r="K63" s="394"/>
      <c r="L63" s="322"/>
      <c r="M63" s="329"/>
      <c r="N63" s="320"/>
      <c r="O63" s="320"/>
      <c r="P63" s="314"/>
      <c r="Q63" s="1046"/>
      <c r="R63" s="1047"/>
      <c r="S63" s="395"/>
      <c r="T63" s="396"/>
      <c r="U63" s="1007"/>
      <c r="V63" s="1010"/>
      <c r="W63" s="1011"/>
      <c r="X63" s="1043">
        <f t="shared" si="25"/>
        <v>0</v>
      </c>
      <c r="Y63" s="847">
        <f t="shared" si="23"/>
        <v>0</v>
      </c>
      <c r="Z63" s="70"/>
    </row>
    <row r="64" spans="1:26" s="85" customFormat="1" x14ac:dyDescent="0.6">
      <c r="A64" s="61">
        <f t="shared" si="24"/>
        <v>57</v>
      </c>
      <c r="B64" s="86" t="s">
        <v>74</v>
      </c>
      <c r="C64" s="1156">
        <v>43</v>
      </c>
      <c r="D64" s="961">
        <f>C64-'Kero-Res'!C64-'Kero-Comm'!C64</f>
        <v>42</v>
      </c>
      <c r="E64" s="348">
        <f>D64*Assumptions!$C$24</f>
        <v>13635720</v>
      </c>
      <c r="F64" s="1005"/>
      <c r="G64" s="1006">
        <f>Assumptions!$C$115</f>
        <v>3.7854100000000002</v>
      </c>
      <c r="H64" s="1128"/>
      <c r="I64" s="1163">
        <f>IF(D64=0,0,Assumptions!$C$96)</f>
        <v>2.5</v>
      </c>
      <c r="J64" s="393"/>
      <c r="K64" s="394"/>
      <c r="L64" s="322"/>
      <c r="M64" s="329"/>
      <c r="N64" s="320"/>
      <c r="O64" s="320"/>
      <c r="P64" s="314"/>
      <c r="Q64" s="1046"/>
      <c r="R64" s="1047"/>
      <c r="S64" s="395"/>
      <c r="T64" s="396"/>
      <c r="U64" s="1007"/>
      <c r="V64" s="1010"/>
      <c r="W64" s="1011"/>
      <c r="X64" s="1043">
        <f t="shared" si="25"/>
        <v>2.5</v>
      </c>
      <c r="Y64" s="847">
        <f t="shared" si="23"/>
        <v>34089300</v>
      </c>
      <c r="Z64" s="506"/>
    </row>
    <row r="65" spans="1:26" s="85" customFormat="1" x14ac:dyDescent="0.6">
      <c r="A65" s="63">
        <f t="shared" si="24"/>
        <v>58</v>
      </c>
      <c r="B65" s="90" t="s">
        <v>75</v>
      </c>
      <c r="C65" s="1159">
        <v>76</v>
      </c>
      <c r="D65" s="963">
        <f>C65-'Kero-Res'!C65-'Kero-Comm'!C65</f>
        <v>75</v>
      </c>
      <c r="E65" s="350">
        <f>D65*Assumptions!$C$24</f>
        <v>24349500</v>
      </c>
      <c r="F65" s="1012"/>
      <c r="G65" s="1013">
        <f>Assumptions!$C$115</f>
        <v>3.7854100000000002</v>
      </c>
      <c r="H65" s="1129"/>
      <c r="I65" s="1164">
        <f>IF(D65=0,0,Assumptions!$C$96)</f>
        <v>2.5</v>
      </c>
      <c r="J65" s="819"/>
      <c r="K65" s="858"/>
      <c r="L65" s="967"/>
      <c r="M65" s="335"/>
      <c r="N65" s="1014"/>
      <c r="O65" s="1014"/>
      <c r="P65" s="328"/>
      <c r="Q65" s="1049"/>
      <c r="R65" s="1050"/>
      <c r="S65" s="1015"/>
      <c r="T65" s="409"/>
      <c r="U65" s="1016"/>
      <c r="V65" s="1017"/>
      <c r="W65" s="1018"/>
      <c r="X65" s="1172">
        <f t="shared" si="25"/>
        <v>2.5</v>
      </c>
      <c r="Y65" s="1019">
        <f t="shared" si="23"/>
        <v>60873750</v>
      </c>
      <c r="Z65" s="506"/>
    </row>
    <row r="66" spans="1:26" x14ac:dyDescent="0.6">
      <c r="B66" s="1" t="s">
        <v>42</v>
      </c>
      <c r="E66" s="13">
        <f>SUM(E4:E65)</f>
        <v>2217752460</v>
      </c>
      <c r="F66" s="398"/>
      <c r="G66" s="410"/>
      <c r="H66" s="83"/>
      <c r="I66" s="278"/>
      <c r="J66" s="411"/>
      <c r="K66" s="278"/>
      <c r="L66" s="412"/>
      <c r="M66" s="413"/>
      <c r="N66" s="278"/>
      <c r="O66" s="278"/>
      <c r="P66" s="414"/>
      <c r="Q66" s="414"/>
      <c r="R66" s="414"/>
      <c r="S66" s="278"/>
      <c r="T66" s="415"/>
      <c r="U66" s="397"/>
      <c r="V66" s="83"/>
      <c r="W66" s="1"/>
    </row>
    <row r="67" spans="1:26" x14ac:dyDescent="0.6">
      <c r="B67" s="1" t="s">
        <v>357</v>
      </c>
      <c r="C67" s="1160">
        <v>41031</v>
      </c>
      <c r="D67" s="957">
        <f>C67-'Kero-Res'!C67-'Kero-Comm'!C67</f>
        <v>8147</v>
      </c>
      <c r="E67" s="13">
        <f>D67*Assumptions!$C$30</f>
        <v>3969218400</v>
      </c>
      <c r="F67" s="398"/>
      <c r="G67" s="410"/>
      <c r="H67" s="83"/>
      <c r="I67" s="278"/>
      <c r="J67" s="411"/>
      <c r="K67" s="278"/>
      <c r="L67" s="412"/>
      <c r="M67" s="413"/>
      <c r="N67" s="278"/>
      <c r="O67" s="278"/>
      <c r="P67" s="414"/>
      <c r="Q67" s="414"/>
      <c r="R67" s="414"/>
      <c r="S67" s="278"/>
      <c r="T67" s="415"/>
      <c r="U67" s="397"/>
      <c r="V67" s="83"/>
      <c r="W67" s="1"/>
    </row>
    <row r="68" spans="1:26" x14ac:dyDescent="0.6">
      <c r="C68" s="1161"/>
      <c r="D68" s="28"/>
      <c r="E68" s="28">
        <f>E66/E67</f>
        <v>0.55873782606671374</v>
      </c>
      <c r="F68" s="398"/>
      <c r="G68" s="410"/>
      <c r="H68" s="83"/>
      <c r="I68" s="278"/>
      <c r="J68" s="411"/>
      <c r="K68" s="278"/>
      <c r="L68" s="412"/>
      <c r="M68" s="413"/>
      <c r="N68" s="278"/>
      <c r="O68" s="278"/>
      <c r="P68" s="414"/>
      <c r="Q68" s="414"/>
      <c r="R68" s="414"/>
      <c r="S68" s="278"/>
      <c r="T68" s="415"/>
      <c r="U68" s="397"/>
      <c r="V68" s="83"/>
      <c r="W68" s="1"/>
    </row>
    <row r="69" spans="1:26" x14ac:dyDescent="0.6">
      <c r="A69" s="1"/>
      <c r="E69" s="1"/>
      <c r="F69" s="398"/>
      <c r="G69" s="83"/>
      <c r="H69" s="83"/>
      <c r="I69" s="278"/>
      <c r="J69" s="83"/>
      <c r="K69" s="83"/>
      <c r="L69" s="412"/>
      <c r="M69" s="413"/>
      <c r="N69" s="83"/>
      <c r="O69" s="83"/>
      <c r="P69" s="414"/>
      <c r="Q69" s="414"/>
      <c r="R69" s="414"/>
      <c r="S69" s="83"/>
      <c r="T69" s="416"/>
      <c r="U69" s="397"/>
      <c r="V69" s="83"/>
      <c r="W69" s="1"/>
    </row>
    <row r="70" spans="1:26" x14ac:dyDescent="0.6">
      <c r="E70" s="239"/>
      <c r="F70" s="398"/>
      <c r="G70" s="410"/>
      <c r="H70" s="83"/>
      <c r="I70" s="278"/>
      <c r="J70" s="411"/>
      <c r="K70" s="278"/>
      <c r="L70" s="412"/>
      <c r="M70" s="413"/>
      <c r="N70" s="278"/>
      <c r="O70" s="278"/>
      <c r="P70" s="414"/>
      <c r="Q70" s="414"/>
      <c r="R70" s="414"/>
      <c r="S70" s="278"/>
      <c r="T70" s="415"/>
      <c r="U70" s="397"/>
      <c r="V70" s="276"/>
    </row>
    <row r="71" spans="1:26" x14ac:dyDescent="0.6">
      <c r="F71" s="398"/>
      <c r="G71" s="410"/>
      <c r="H71" s="83"/>
      <c r="I71" s="278"/>
      <c r="J71" s="411"/>
      <c r="K71" s="278"/>
      <c r="L71" s="412"/>
      <c r="M71" s="413"/>
      <c r="N71" s="278"/>
      <c r="O71" s="278"/>
      <c r="P71" s="414"/>
      <c r="Q71" s="414"/>
      <c r="R71" s="414"/>
      <c r="S71" s="278"/>
      <c r="T71" s="415"/>
      <c r="U71" s="397"/>
      <c r="V71" s="276"/>
    </row>
    <row r="72" spans="1:26" x14ac:dyDescent="0.6">
      <c r="F72" s="398"/>
      <c r="G72" s="410"/>
      <c r="H72" s="83"/>
      <c r="I72" s="278"/>
      <c r="J72" s="411"/>
      <c r="K72" s="278"/>
      <c r="L72" s="412"/>
      <c r="M72" s="413"/>
      <c r="N72" s="278"/>
      <c r="O72" s="278"/>
      <c r="P72" s="414"/>
      <c r="Q72" s="414"/>
      <c r="R72" s="414"/>
      <c r="S72" s="278"/>
      <c r="T72" s="415"/>
      <c r="U72" s="397"/>
      <c r="V72" s="276"/>
    </row>
    <row r="73" spans="1:26" x14ac:dyDescent="0.6">
      <c r="F73" s="398"/>
      <c r="G73" s="410"/>
      <c r="H73" s="83"/>
      <c r="I73" s="278"/>
      <c r="J73" s="411"/>
      <c r="K73" s="278"/>
      <c r="L73" s="412"/>
      <c r="M73" s="413"/>
      <c r="N73" s="278"/>
      <c r="O73" s="278"/>
      <c r="P73" s="414"/>
      <c r="Q73" s="414"/>
      <c r="R73" s="414"/>
      <c r="S73" s="278"/>
      <c r="T73" s="415"/>
      <c r="U73" s="397"/>
      <c r="V73" s="276"/>
    </row>
    <row r="74" spans="1:26" x14ac:dyDescent="0.6">
      <c r="F74" s="398"/>
      <c r="G74" s="410"/>
      <c r="H74" s="83"/>
      <c r="I74" s="278"/>
      <c r="J74" s="411"/>
      <c r="K74" s="278"/>
      <c r="L74" s="412"/>
      <c r="M74" s="413"/>
      <c r="N74" s="278"/>
      <c r="O74" s="278"/>
      <c r="P74" s="414"/>
      <c r="Q74" s="414"/>
      <c r="R74" s="414"/>
      <c r="S74" s="278"/>
      <c r="T74" s="415"/>
      <c r="U74" s="397"/>
      <c r="V74" s="276"/>
    </row>
    <row r="75" spans="1:26" x14ac:dyDescent="0.6">
      <c r="F75" s="398"/>
      <c r="G75" s="410"/>
      <c r="H75" s="83"/>
      <c r="I75" s="278"/>
      <c r="J75" s="411"/>
      <c r="K75" s="278"/>
      <c r="L75" s="412"/>
      <c r="M75" s="413"/>
      <c r="N75" s="278"/>
      <c r="O75" s="278"/>
      <c r="P75" s="414"/>
      <c r="Q75" s="414"/>
      <c r="R75" s="414"/>
      <c r="S75" s="278"/>
      <c r="T75" s="415"/>
      <c r="U75" s="397"/>
      <c r="V75" s="276"/>
    </row>
    <row r="76" spans="1:26" x14ac:dyDescent="0.6">
      <c r="F76" s="398"/>
      <c r="G76" s="410"/>
      <c r="H76" s="83"/>
      <c r="I76" s="278"/>
      <c r="J76" s="411"/>
      <c r="K76" s="278"/>
      <c r="L76" s="412"/>
      <c r="M76" s="413"/>
      <c r="N76" s="278"/>
      <c r="O76" s="278"/>
      <c r="P76" s="414"/>
      <c r="Q76" s="414"/>
      <c r="R76" s="414"/>
      <c r="S76" s="278"/>
      <c r="T76" s="415"/>
      <c r="U76" s="397"/>
      <c r="V76" s="276"/>
    </row>
    <row r="77" spans="1:26" x14ac:dyDescent="0.6">
      <c r="F77" s="398"/>
      <c r="G77" s="410"/>
      <c r="H77" s="83"/>
      <c r="I77" s="278"/>
      <c r="J77" s="411"/>
      <c r="K77" s="278"/>
      <c r="L77" s="412"/>
      <c r="M77" s="413"/>
      <c r="N77" s="278"/>
      <c r="O77" s="278"/>
      <c r="P77" s="414"/>
      <c r="Q77" s="414"/>
      <c r="R77" s="414"/>
      <c r="S77" s="278"/>
      <c r="T77" s="415"/>
      <c r="U77" s="397"/>
      <c r="V77" s="276"/>
    </row>
    <row r="78" spans="1:26" x14ac:dyDescent="0.6">
      <c r="F78" s="398"/>
      <c r="G78" s="410"/>
      <c r="H78" s="83"/>
      <c r="I78" s="278"/>
      <c r="J78" s="411"/>
      <c r="K78" s="278"/>
      <c r="L78" s="412"/>
      <c r="M78" s="413"/>
      <c r="N78" s="278"/>
      <c r="O78" s="278"/>
      <c r="P78" s="414"/>
      <c r="Q78" s="414"/>
      <c r="R78" s="414"/>
      <c r="S78" s="278"/>
      <c r="T78" s="415"/>
      <c r="U78" s="397"/>
      <c r="V78" s="276"/>
    </row>
    <row r="79" spans="1:26" x14ac:dyDescent="0.6">
      <c r="F79" s="398"/>
      <c r="G79" s="410"/>
      <c r="H79" s="83"/>
      <c r="I79" s="278"/>
      <c r="J79" s="411"/>
      <c r="K79" s="278"/>
      <c r="L79" s="412"/>
      <c r="M79" s="413"/>
      <c r="N79" s="278"/>
      <c r="O79" s="278"/>
      <c r="P79" s="414"/>
      <c r="Q79" s="414"/>
      <c r="R79" s="414"/>
      <c r="S79" s="278"/>
      <c r="T79" s="415"/>
      <c r="U79" s="397"/>
      <c r="V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10.5" style="21" bestFit="1" customWidth="1"/>
    <col min="4" max="4" width="11.34765625" style="13" bestFit="1" customWidth="1"/>
    <col min="5" max="5" width="11.34765625" style="13" customWidth="1"/>
    <col min="6" max="6" width="18.59765625" style="21" bestFit="1" customWidth="1"/>
    <col min="7" max="7" width="10.5" style="55" customWidth="1"/>
    <col min="8" max="8" width="11.09765625" style="4" bestFit="1" customWidth="1"/>
    <col min="9" max="9" width="11.09765625" style="1" bestFit="1" customWidth="1"/>
    <col min="10" max="10" width="11.09765625" style="10" bestFit="1" customWidth="1"/>
    <col min="11" max="11" width="12.5" style="5" bestFit="1" customWidth="1"/>
    <col min="12" max="12" width="13" style="10" bestFit="1" customWidth="1"/>
    <col min="13" max="13" width="9.5" style="28" customWidth="1"/>
    <col min="14" max="14" width="9.5" style="331" customWidth="1"/>
    <col min="15" max="16" width="10.34765625" style="10" customWidth="1"/>
    <col min="17" max="17" width="15" style="271" customWidth="1"/>
    <col min="18" max="18" width="9.5" style="271" customWidth="1"/>
    <col min="19" max="19" width="15.84765625" style="271" customWidth="1"/>
    <col min="20" max="20" width="9.5" style="10" customWidth="1"/>
    <col min="21" max="21" width="16" style="70" customWidth="1"/>
    <col min="22" max="22" width="19.59765625" style="57" customWidth="1"/>
    <col min="23" max="23" width="15" style="17" bestFit="1" customWidth="1"/>
    <col min="24" max="24" width="17.5" style="17" bestFit="1" customWidth="1"/>
    <col min="25" max="25" width="10.59765625" style="10" bestFit="1" customWidth="1"/>
    <col min="26" max="26" width="18.5" style="17" bestFit="1" customWidth="1"/>
    <col min="27" max="27" width="17.5" style="10" bestFit="1" customWidth="1"/>
    <col min="28" max="16384" width="10.84765625" style="1"/>
  </cols>
  <sheetData>
    <row r="1" spans="1:27" x14ac:dyDescent="0.6">
      <c r="A1" s="24" t="s">
        <v>1198</v>
      </c>
      <c r="C1" s="74" t="s">
        <v>855</v>
      </c>
      <c r="D1" s="19"/>
      <c r="E1" s="19"/>
      <c r="G1" s="107"/>
    </row>
    <row r="2" spans="1:27" s="2" customFormat="1" x14ac:dyDescent="0.6">
      <c r="A2" s="24" t="s">
        <v>1199</v>
      </c>
      <c r="C2" s="64" t="s">
        <v>101</v>
      </c>
      <c r="D2" s="14" t="s">
        <v>845</v>
      </c>
      <c r="E2" s="14" t="s">
        <v>1097</v>
      </c>
      <c r="F2" s="64" t="s">
        <v>42</v>
      </c>
      <c r="G2" s="56"/>
      <c r="H2" s="1285" t="s">
        <v>25</v>
      </c>
      <c r="I2" s="11" t="s">
        <v>638</v>
      </c>
      <c r="J2" s="11" t="s">
        <v>638</v>
      </c>
      <c r="K2" s="6" t="s">
        <v>627</v>
      </c>
      <c r="L2" s="11" t="s">
        <v>627</v>
      </c>
      <c r="M2" s="71" t="s">
        <v>194</v>
      </c>
      <c r="N2" s="332" t="s">
        <v>194</v>
      </c>
      <c r="O2" s="11" t="s">
        <v>194</v>
      </c>
      <c r="P2" s="11" t="s">
        <v>650</v>
      </c>
      <c r="Q2" s="272" t="s">
        <v>397</v>
      </c>
      <c r="R2" s="272" t="s">
        <v>881</v>
      </c>
      <c r="S2" s="272" t="s">
        <v>1747</v>
      </c>
      <c r="T2" s="11" t="s">
        <v>881</v>
      </c>
      <c r="U2" s="114"/>
      <c r="V2" s="58" t="s">
        <v>622</v>
      </c>
      <c r="W2" s="18" t="s">
        <v>42</v>
      </c>
      <c r="X2" s="18"/>
      <c r="Y2" s="11" t="s">
        <v>645</v>
      </c>
      <c r="Z2" s="18"/>
      <c r="AA2" s="11"/>
    </row>
    <row r="3" spans="1:27" s="2" customFormat="1" x14ac:dyDescent="0.6">
      <c r="C3" s="64" t="s">
        <v>94</v>
      </c>
      <c r="D3" s="14" t="s">
        <v>94</v>
      </c>
      <c r="E3" s="14" t="s">
        <v>94</v>
      </c>
      <c r="F3" s="64" t="s">
        <v>25</v>
      </c>
      <c r="G3" s="56" t="s">
        <v>41</v>
      </c>
      <c r="H3" s="1285" t="s">
        <v>1132</v>
      </c>
      <c r="I3" s="11" t="s">
        <v>649</v>
      </c>
      <c r="J3" s="11" t="s">
        <v>639</v>
      </c>
      <c r="K3" s="6" t="s">
        <v>1200</v>
      </c>
      <c r="L3" s="11" t="s">
        <v>606</v>
      </c>
      <c r="M3" s="71" t="s">
        <v>84</v>
      </c>
      <c r="N3" s="332" t="s">
        <v>651</v>
      </c>
      <c r="O3" s="11" t="s">
        <v>652</v>
      </c>
      <c r="P3" s="11" t="s">
        <v>403</v>
      </c>
      <c r="Q3" s="272" t="s">
        <v>79</v>
      </c>
      <c r="R3" s="272" t="s">
        <v>79</v>
      </c>
      <c r="S3" s="272" t="s">
        <v>85</v>
      </c>
      <c r="T3" s="11" t="s">
        <v>198</v>
      </c>
      <c r="U3" s="114" t="s">
        <v>602</v>
      </c>
      <c r="V3" s="58" t="s">
        <v>707</v>
      </c>
      <c r="W3" s="18" t="s">
        <v>77</v>
      </c>
      <c r="X3" s="18" t="s">
        <v>34</v>
      </c>
      <c r="Y3" s="11" t="s">
        <v>639</v>
      </c>
      <c r="Z3" s="18" t="s">
        <v>642</v>
      </c>
      <c r="AA3" s="11"/>
    </row>
    <row r="4" spans="1:27" x14ac:dyDescent="0.6">
      <c r="A4" s="61">
        <v>1</v>
      </c>
      <c r="B4" s="44" t="s">
        <v>37</v>
      </c>
      <c r="C4" s="290">
        <v>2433</v>
      </c>
      <c r="D4" s="961">
        <v>6270</v>
      </c>
      <c r="E4" s="961">
        <f>1940+338</f>
        <v>2278</v>
      </c>
      <c r="F4" s="348">
        <f>(C4+D4+E4)*Assumptions!$C$41</f>
        <v>3071605320</v>
      </c>
      <c r="G4" s="399">
        <v>1</v>
      </c>
      <c r="H4" s="1286">
        <f>Assumptions!$C$40</f>
        <v>279.72000000000003</v>
      </c>
      <c r="I4" s="389"/>
      <c r="J4" s="301">
        <v>1.5289999999999999</v>
      </c>
      <c r="K4" s="87"/>
      <c r="L4" s="306"/>
      <c r="M4" s="329"/>
      <c r="N4" s="329"/>
      <c r="O4" s="329"/>
      <c r="P4" s="313"/>
      <c r="Q4" s="314"/>
      <c r="R4" s="1053">
        <f>'State LPG - Ind'!Q60</f>
        <v>0</v>
      </c>
      <c r="S4" s="1047">
        <f>R4*F4</f>
        <v>0</v>
      </c>
      <c r="T4" s="310">
        <f>'State LPG - Ind'!Q62</f>
        <v>0</v>
      </c>
      <c r="U4" s="366">
        <f>T4*F4</f>
        <v>0</v>
      </c>
      <c r="V4" s="336">
        <f>-'OECD HFO subsidies'!B2</f>
        <v>-388753528</v>
      </c>
      <c r="W4" s="342">
        <f>V4*G4</f>
        <v>-388753528</v>
      </c>
      <c r="X4" s="111">
        <f>U4+W4</f>
        <v>-388753528</v>
      </c>
      <c r="Y4" s="320">
        <f>J4</f>
        <v>1.5289999999999999</v>
      </c>
      <c r="Z4" s="342">
        <f>Y4*F4+W4</f>
        <v>4307731006.2799997</v>
      </c>
    </row>
    <row r="5" spans="1:27" s="2" customFormat="1" x14ac:dyDescent="0.6">
      <c r="A5" s="40" t="s">
        <v>640</v>
      </c>
      <c r="B5" s="40"/>
      <c r="C5" s="356"/>
      <c r="D5" s="1153"/>
      <c r="E5" s="1153"/>
      <c r="F5" s="1284"/>
      <c r="G5" s="418"/>
      <c r="H5" s="1287"/>
      <c r="I5" s="385"/>
      <c r="J5" s="302"/>
      <c r="K5" s="426"/>
      <c r="L5" s="307"/>
      <c r="M5" s="358"/>
      <c r="N5" s="333"/>
      <c r="O5" s="316"/>
      <c r="P5" s="316"/>
      <c r="Q5" s="317"/>
      <c r="R5" s="1051"/>
      <c r="S5" s="1052"/>
      <c r="T5" s="311"/>
      <c r="U5" s="367"/>
      <c r="V5" s="338"/>
      <c r="W5" s="343"/>
      <c r="X5" s="165"/>
      <c r="Y5" s="316"/>
      <c r="Z5" s="343"/>
      <c r="AA5" s="11"/>
    </row>
    <row r="6" spans="1:27" x14ac:dyDescent="0.6">
      <c r="A6" s="46">
        <f>A4+1</f>
        <v>2</v>
      </c>
      <c r="B6" s="44" t="s">
        <v>0</v>
      </c>
      <c r="C6" s="290">
        <v>81</v>
      </c>
      <c r="D6" s="961">
        <v>4485</v>
      </c>
      <c r="E6" s="961">
        <v>3</v>
      </c>
      <c r="F6" s="348">
        <f>(C6+D6+E6)*Assumptions!$C$41</f>
        <v>1278040680</v>
      </c>
      <c r="G6" s="391">
        <f>Assumptions!$H$3</f>
        <v>1.1863330000000001</v>
      </c>
      <c r="H6" s="1286">
        <f>Assumptions!$C$40</f>
        <v>279.72000000000003</v>
      </c>
      <c r="I6" s="422"/>
      <c r="J6" s="1077">
        <f>IF(F6=0,0,Assumptions!$C$97)</f>
        <v>1.3066638066638065</v>
      </c>
      <c r="K6" s="427">
        <v>16.2437</v>
      </c>
      <c r="L6" s="286">
        <f>K6*G6/H6</f>
        <v>6.8891882425639928E-2</v>
      </c>
      <c r="M6" s="322"/>
      <c r="N6" s="329"/>
      <c r="O6" s="281"/>
      <c r="P6" s="281"/>
      <c r="Q6" s="314">
        <f t="shared" ref="Q6:Q26" si="0">N6*F6</f>
        <v>0</v>
      </c>
      <c r="R6" s="1053">
        <f t="shared" ref="R6:R39" si="1">L6+P6</f>
        <v>6.8891882425639928E-2</v>
      </c>
      <c r="S6" s="1047">
        <f t="shared" ref="S6:S26" si="2">R6*F6</f>
        <v>88046628.261744902</v>
      </c>
      <c r="T6" s="268">
        <f t="shared" ref="T6:T26" si="3">O6+L6</f>
        <v>6.8891882425639928E-2</v>
      </c>
      <c r="U6" s="366">
        <f t="shared" ref="U6:U26" si="4">F6*T6</f>
        <v>88046628.261744902</v>
      </c>
      <c r="V6" s="336">
        <f>-'OECD HFO subsidies'!B9</f>
        <v>-340562</v>
      </c>
      <c r="W6" s="342">
        <f t="shared" ref="W6:W26" si="5">V6*G6</f>
        <v>-404019.93914600002</v>
      </c>
      <c r="X6" s="111">
        <f t="shared" ref="X6:X26" si="6">U6+W6</f>
        <v>87642608.322598904</v>
      </c>
      <c r="Y6" s="1293">
        <f t="shared" ref="Y6:Y26" si="7">(J6+L6)*(1+M6)</f>
        <v>1.3755556890894465</v>
      </c>
      <c r="Z6" s="342">
        <f t="shared" ref="Z6:Z26" si="8">Y6*F6+W6</f>
        <v>1757612108.3225987</v>
      </c>
    </row>
    <row r="7" spans="1:27" x14ac:dyDescent="0.6">
      <c r="A7" s="46">
        <f t="shared" ref="A7:A26" si="9">A6+1</f>
        <v>3</v>
      </c>
      <c r="B7" s="44" t="s">
        <v>1</v>
      </c>
      <c r="C7" s="290">
        <v>29</v>
      </c>
      <c r="D7" s="961">
        <v>0</v>
      </c>
      <c r="E7" s="961">
        <f>5+12</f>
        <v>17</v>
      </c>
      <c r="F7" s="348">
        <f>(C7+D7+E7)*Assumptions!$C$41</f>
        <v>12867120</v>
      </c>
      <c r="G7" s="391">
        <f>Assumptions!$H$15</f>
        <v>4.5997000000000003E-2</v>
      </c>
      <c r="H7" s="1286">
        <f>Assumptions!$C$40</f>
        <v>279.72000000000003</v>
      </c>
      <c r="I7" s="386"/>
      <c r="J7" s="1077">
        <f>IF(F7=0,0,Assumptions!$C$97)</f>
        <v>1.3066638066638065</v>
      </c>
      <c r="K7" s="428">
        <v>472</v>
      </c>
      <c r="L7" s="286">
        <f t="shared" ref="L7:L39" si="10">K7*G7/H7</f>
        <v>7.7615415415415417E-2</v>
      </c>
      <c r="M7" s="322"/>
      <c r="N7" s="329"/>
      <c r="O7" s="281"/>
      <c r="P7" s="281"/>
      <c r="Q7" s="314">
        <f t="shared" si="0"/>
        <v>0</v>
      </c>
      <c r="R7" s="1053">
        <f t="shared" si="1"/>
        <v>7.7615415415415417E-2</v>
      </c>
      <c r="S7" s="1047">
        <f t="shared" si="2"/>
        <v>998686.86400000006</v>
      </c>
      <c r="T7" s="268">
        <f t="shared" si="3"/>
        <v>7.7615415415415417E-2</v>
      </c>
      <c r="U7" s="366">
        <f t="shared" si="4"/>
        <v>998686.86400000006</v>
      </c>
      <c r="V7" s="336">
        <f>-'OECD HFO subsidies'!B12</f>
        <v>0</v>
      </c>
      <c r="W7" s="342">
        <f t="shared" si="5"/>
        <v>0</v>
      </c>
      <c r="X7" s="111">
        <f t="shared" si="6"/>
        <v>998686.86400000006</v>
      </c>
      <c r="Y7" s="1293">
        <f t="shared" si="7"/>
        <v>1.3842792220792219</v>
      </c>
      <c r="Z7" s="342">
        <f t="shared" si="8"/>
        <v>17811686.863999996</v>
      </c>
    </row>
    <row r="8" spans="1:27" x14ac:dyDescent="0.6">
      <c r="A8" s="46">
        <f t="shared" si="9"/>
        <v>4</v>
      </c>
      <c r="B8" s="44" t="s">
        <v>2</v>
      </c>
      <c r="C8" s="290">
        <v>48</v>
      </c>
      <c r="D8" s="961">
        <v>335</v>
      </c>
      <c r="E8" s="961">
        <f>38</f>
        <v>38</v>
      </c>
      <c r="F8" s="348">
        <f>(C8+D8+E8)*Assumptions!$C$41</f>
        <v>117762120</v>
      </c>
      <c r="G8" s="391">
        <f>Assumptions!$H$16</f>
        <v>0.15934999999999999</v>
      </c>
      <c r="H8" s="1286">
        <f>Assumptions!$C$40</f>
        <v>279.72000000000003</v>
      </c>
      <c r="I8" s="423"/>
      <c r="J8" s="1077">
        <f>IF(F8=0,0,Assumptions!$C$97)</f>
        <v>1.3066638066638065</v>
      </c>
      <c r="K8" s="437">
        <v>2754</v>
      </c>
      <c r="L8" s="286">
        <f t="shared" si="10"/>
        <v>1.5688899613899612</v>
      </c>
      <c r="M8" s="322"/>
      <c r="N8" s="329"/>
      <c r="O8" s="281"/>
      <c r="P8" s="281"/>
      <c r="Q8" s="314">
        <f t="shared" si="0"/>
        <v>0</v>
      </c>
      <c r="R8" s="1053">
        <f t="shared" si="1"/>
        <v>1.5688899613899612</v>
      </c>
      <c r="S8" s="1047">
        <f t="shared" si="2"/>
        <v>184755807.89999998</v>
      </c>
      <c r="T8" s="268">
        <f t="shared" si="3"/>
        <v>1.5688899613899612</v>
      </c>
      <c r="U8" s="366">
        <f t="shared" si="4"/>
        <v>184755807.89999998</v>
      </c>
      <c r="V8" s="336">
        <f>-'OECD HFO subsidies'!B14</f>
        <v>0</v>
      </c>
      <c r="W8" s="342">
        <f t="shared" si="5"/>
        <v>0</v>
      </c>
      <c r="X8" s="111">
        <f t="shared" si="6"/>
        <v>184755807.89999998</v>
      </c>
      <c r="Y8" s="1293">
        <f t="shared" si="7"/>
        <v>2.8755537680537677</v>
      </c>
      <c r="Z8" s="342">
        <f t="shared" si="8"/>
        <v>338631307.89999998</v>
      </c>
    </row>
    <row r="9" spans="1:27" x14ac:dyDescent="0.6">
      <c r="A9" s="46">
        <f t="shared" si="9"/>
        <v>5</v>
      </c>
      <c r="B9" s="44" t="s">
        <v>3</v>
      </c>
      <c r="C9" s="290">
        <v>2785</v>
      </c>
      <c r="D9" s="961">
        <v>1421</v>
      </c>
      <c r="E9" s="961">
        <f>150+102</f>
        <v>252</v>
      </c>
      <c r="F9" s="348">
        <f>(C9+D9+E9)*Assumptions!$C$41</f>
        <v>1246991760</v>
      </c>
      <c r="G9" s="391">
        <f>Assumptions!$H$3</f>
        <v>1.1863330000000001</v>
      </c>
      <c r="H9" s="1286">
        <f>Assumptions!$C$40</f>
        <v>279.72000000000003</v>
      </c>
      <c r="I9" s="422"/>
      <c r="J9" s="1077">
        <f>IF(F9=0,0,Assumptions!$C$97)</f>
        <v>1.3066638066638065</v>
      </c>
      <c r="K9" s="434">
        <v>25</v>
      </c>
      <c r="L9" s="286">
        <f t="shared" si="10"/>
        <v>0.10602861790361789</v>
      </c>
      <c r="M9" s="322"/>
      <c r="N9" s="329"/>
      <c r="O9" s="281"/>
      <c r="P9" s="281"/>
      <c r="Q9" s="314">
        <f t="shared" si="0"/>
        <v>0</v>
      </c>
      <c r="R9" s="1053">
        <f t="shared" si="1"/>
        <v>0.10602861790361789</v>
      </c>
      <c r="S9" s="1047">
        <f t="shared" si="2"/>
        <v>132216812.84999999</v>
      </c>
      <c r="T9" s="268">
        <f t="shared" si="3"/>
        <v>0.10602861790361789</v>
      </c>
      <c r="U9" s="366">
        <f t="shared" si="4"/>
        <v>132216812.84999999</v>
      </c>
      <c r="V9" s="336">
        <f>-'OECD HFO subsidies'!B17</f>
        <v>-37795552</v>
      </c>
      <c r="W9" s="342">
        <f t="shared" si="5"/>
        <v>-44838110.590816006</v>
      </c>
      <c r="X9" s="111">
        <f t="shared" si="6"/>
        <v>87378702.259183988</v>
      </c>
      <c r="Y9" s="1293">
        <f t="shared" si="7"/>
        <v>1.4126924245674244</v>
      </c>
      <c r="Z9" s="342">
        <f t="shared" si="8"/>
        <v>1716777702.2591836</v>
      </c>
    </row>
    <row r="10" spans="1:27" x14ac:dyDescent="0.6">
      <c r="A10" s="46">
        <f t="shared" si="9"/>
        <v>6</v>
      </c>
      <c r="B10" s="44" t="s">
        <v>4</v>
      </c>
      <c r="C10" s="290">
        <v>20</v>
      </c>
      <c r="D10" s="961">
        <v>205</v>
      </c>
      <c r="E10" s="961">
        <f>16+1</f>
        <v>17</v>
      </c>
      <c r="F10" s="348">
        <f>(C10+D10+E10)*Assumptions!$C$41</f>
        <v>67692240</v>
      </c>
      <c r="G10" s="391">
        <f>Assumptions!$H$3</f>
        <v>1.1863330000000001</v>
      </c>
      <c r="H10" s="1286">
        <f>Assumptions!$C$40</f>
        <v>279.72000000000003</v>
      </c>
      <c r="I10" s="422"/>
      <c r="J10" s="1077">
        <f>IF(F10=0,0,Assumptions!$C$97)</f>
        <v>1.3066638066638065</v>
      </c>
      <c r="K10" s="434">
        <v>15.01</v>
      </c>
      <c r="L10" s="286">
        <f t="shared" si="10"/>
        <v>6.3659582189332181E-2</v>
      </c>
      <c r="M10" s="322"/>
      <c r="N10" s="329"/>
      <c r="O10" s="281"/>
      <c r="P10" s="281"/>
      <c r="Q10" s="314">
        <f t="shared" si="0"/>
        <v>0</v>
      </c>
      <c r="R10" s="1053">
        <f t="shared" si="1"/>
        <v>6.3659582189332181E-2</v>
      </c>
      <c r="S10" s="1047">
        <f t="shared" si="2"/>
        <v>4309259.7158599999</v>
      </c>
      <c r="T10" s="268">
        <f t="shared" si="3"/>
        <v>6.3659582189332181E-2</v>
      </c>
      <c r="U10" s="366">
        <f t="shared" si="4"/>
        <v>4309259.7158599999</v>
      </c>
      <c r="V10" s="336">
        <f>-'OECD HFO subsidies'!B19</f>
        <v>0</v>
      </c>
      <c r="W10" s="342">
        <f t="shared" si="5"/>
        <v>0</v>
      </c>
      <c r="X10" s="111">
        <f t="shared" si="6"/>
        <v>4309259.7158599999</v>
      </c>
      <c r="Y10" s="1293">
        <f t="shared" si="7"/>
        <v>1.3703233888531388</v>
      </c>
      <c r="Z10" s="342">
        <f t="shared" si="8"/>
        <v>92760259.715859994</v>
      </c>
    </row>
    <row r="11" spans="1:27" x14ac:dyDescent="0.6">
      <c r="A11" s="46">
        <f t="shared" si="9"/>
        <v>7</v>
      </c>
      <c r="B11" s="44" t="s">
        <v>5</v>
      </c>
      <c r="C11" s="290">
        <v>524</v>
      </c>
      <c r="D11" s="961">
        <v>1531</v>
      </c>
      <c r="E11" s="961">
        <f>879+2</f>
        <v>881</v>
      </c>
      <c r="F11" s="348">
        <f>(C11+D11+E11)*Assumptions!$C$41</f>
        <v>821257920</v>
      </c>
      <c r="G11" s="391">
        <f>Assumptions!$H$3</f>
        <v>1.1863330000000001</v>
      </c>
      <c r="H11" s="1286">
        <f>Assumptions!$C$40</f>
        <v>279.72000000000003</v>
      </c>
      <c r="I11" s="422"/>
      <c r="J11" s="1077">
        <f>IF(F11=0,0,Assumptions!$C$97)</f>
        <v>1.3066638066638065</v>
      </c>
      <c r="K11" s="434">
        <v>38</v>
      </c>
      <c r="L11" s="286">
        <f t="shared" si="10"/>
        <v>0.16116349921349921</v>
      </c>
      <c r="M11" s="322"/>
      <c r="N11" s="329"/>
      <c r="O11" s="281"/>
      <c r="P11" s="281"/>
      <c r="Q11" s="314">
        <f t="shared" si="0"/>
        <v>0</v>
      </c>
      <c r="R11" s="1053">
        <f t="shared" si="1"/>
        <v>0.16116349921349921</v>
      </c>
      <c r="S11" s="1047">
        <f t="shared" si="2"/>
        <v>132356800.14399999</v>
      </c>
      <c r="T11" s="268">
        <f t="shared" si="3"/>
        <v>0.16116349921349921</v>
      </c>
      <c r="U11" s="366">
        <f t="shared" si="4"/>
        <v>132356800.14399999</v>
      </c>
      <c r="V11" s="336">
        <f>-'OECD HFO subsidies'!B21</f>
        <v>-599926464</v>
      </c>
      <c r="W11" s="342">
        <f t="shared" si="5"/>
        <v>-711712561.81651211</v>
      </c>
      <c r="X11" s="111">
        <f t="shared" si="6"/>
        <v>-579355761.67251205</v>
      </c>
      <c r="Y11" s="1293">
        <f t="shared" si="7"/>
        <v>1.4678273058773057</v>
      </c>
      <c r="Z11" s="342">
        <f t="shared" si="8"/>
        <v>493752238.32748771</v>
      </c>
    </row>
    <row r="12" spans="1:27" x14ac:dyDescent="0.6">
      <c r="A12" s="46">
        <f t="shared" si="9"/>
        <v>8</v>
      </c>
      <c r="B12" s="44" t="s">
        <v>6</v>
      </c>
      <c r="C12" s="290">
        <v>534</v>
      </c>
      <c r="D12" s="961">
        <v>5989</v>
      </c>
      <c r="E12" s="961">
        <f>1289+427</f>
        <v>1716</v>
      </c>
      <c r="F12" s="348">
        <f>(C12+D12+E12)*Assumptions!$C$41</f>
        <v>2304613080</v>
      </c>
      <c r="G12" s="391">
        <f>Assumptions!$H$3</f>
        <v>1.1863330000000001</v>
      </c>
      <c r="H12" s="1286">
        <f>Assumptions!$C$40</f>
        <v>279.72000000000003</v>
      </c>
      <c r="I12" s="422"/>
      <c r="J12" s="1077">
        <f>IF(F12=0,0,Assumptions!$C$97)</f>
        <v>1.3066638066638065</v>
      </c>
      <c r="K12" s="434">
        <v>15</v>
      </c>
      <c r="L12" s="286">
        <f t="shared" si="10"/>
        <v>6.3617170742170742E-2</v>
      </c>
      <c r="M12" s="322"/>
      <c r="N12" s="329"/>
      <c r="O12" s="281"/>
      <c r="P12" s="281"/>
      <c r="Q12" s="314">
        <f t="shared" si="0"/>
        <v>0</v>
      </c>
      <c r="R12" s="1053">
        <f t="shared" si="1"/>
        <v>6.3617170742170742E-2</v>
      </c>
      <c r="S12" s="1047">
        <f t="shared" si="2"/>
        <v>146612963.80500001</v>
      </c>
      <c r="T12" s="268">
        <f t="shared" si="3"/>
        <v>6.3617170742170742E-2</v>
      </c>
      <c r="U12" s="366">
        <f t="shared" si="4"/>
        <v>146612963.80500001</v>
      </c>
      <c r="V12" s="336">
        <f>-'OECD HFO subsidies'!B27</f>
        <v>-27880000</v>
      </c>
      <c r="W12" s="342">
        <f t="shared" si="5"/>
        <v>-33074964.040000003</v>
      </c>
      <c r="X12" s="111">
        <f t="shared" si="6"/>
        <v>113537999.765</v>
      </c>
      <c r="Y12" s="1293">
        <f t="shared" si="7"/>
        <v>1.3702809774059772</v>
      </c>
      <c r="Z12" s="342">
        <f t="shared" si="8"/>
        <v>3124892499.7649994</v>
      </c>
    </row>
    <row r="13" spans="1:27" x14ac:dyDescent="0.6">
      <c r="A13" s="46">
        <f t="shared" si="9"/>
        <v>9</v>
      </c>
      <c r="B13" s="44" t="s">
        <v>7</v>
      </c>
      <c r="C13" s="290">
        <v>594</v>
      </c>
      <c r="D13" s="961">
        <v>1548</v>
      </c>
      <c r="E13" s="961">
        <f>231+18</f>
        <v>249</v>
      </c>
      <c r="F13" s="348">
        <f>(C13+D13+E13)*Assumptions!$C$41</f>
        <v>668810520</v>
      </c>
      <c r="G13" s="391">
        <f>Assumptions!$H$3</f>
        <v>1.1863330000000001</v>
      </c>
      <c r="H13" s="1286">
        <f>Assumptions!$C$40</f>
        <v>279.72000000000003</v>
      </c>
      <c r="I13" s="422"/>
      <c r="J13" s="1077">
        <f>IF(F13=0,0,Assumptions!$C$97)</f>
        <v>1.3066638066638065</v>
      </c>
      <c r="K13" s="434">
        <v>45.3</v>
      </c>
      <c r="L13" s="286">
        <f t="shared" si="10"/>
        <v>0.19212385564135562</v>
      </c>
      <c r="M13" s="322"/>
      <c r="N13" s="329"/>
      <c r="O13" s="281"/>
      <c r="P13" s="281"/>
      <c r="Q13" s="314">
        <f t="shared" si="0"/>
        <v>0</v>
      </c>
      <c r="R13" s="1053">
        <f t="shared" si="1"/>
        <v>0.19212385564135562</v>
      </c>
      <c r="S13" s="1047">
        <f t="shared" si="2"/>
        <v>128494455.79589999</v>
      </c>
      <c r="T13" s="268">
        <f t="shared" si="3"/>
        <v>0.19212385564135562</v>
      </c>
      <c r="U13" s="366">
        <f t="shared" si="4"/>
        <v>128494455.79589999</v>
      </c>
      <c r="V13" s="336">
        <f>-'OECD HFO subsidies'!B30</f>
        <v>-176297118</v>
      </c>
      <c r="W13" s="342">
        <f t="shared" si="5"/>
        <v>-209147088.88829401</v>
      </c>
      <c r="X13" s="111">
        <f t="shared" si="6"/>
        <v>-80652633.092394024</v>
      </c>
      <c r="Y13" s="1293">
        <f t="shared" si="7"/>
        <v>1.4987876623051621</v>
      </c>
      <c r="Z13" s="342">
        <f t="shared" si="8"/>
        <v>793257866.90760589</v>
      </c>
    </row>
    <row r="14" spans="1:27" x14ac:dyDescent="0.6">
      <c r="A14" s="46">
        <f t="shared" si="9"/>
        <v>10</v>
      </c>
      <c r="B14" s="44" t="s">
        <v>8</v>
      </c>
      <c r="C14" s="290">
        <v>50</v>
      </c>
      <c r="D14" s="961">
        <v>10</v>
      </c>
      <c r="E14" s="961">
        <v>60</v>
      </c>
      <c r="F14" s="348">
        <f>(C14+D14+E14)*Assumptions!$C$41</f>
        <v>33566400</v>
      </c>
      <c r="G14" s="391">
        <f>Assumptions!$H$3</f>
        <v>1.1863330000000001</v>
      </c>
      <c r="H14" s="1286">
        <f>Assumptions!$C$40</f>
        <v>279.72000000000003</v>
      </c>
      <c r="I14" s="422"/>
      <c r="J14" s="1077">
        <f>IF(F14=0,0,Assumptions!$C$97)</f>
        <v>1.3066638066638065</v>
      </c>
      <c r="K14" s="434">
        <v>77.680000000000007</v>
      </c>
      <c r="L14" s="286">
        <f t="shared" si="10"/>
        <v>0.32945212155012155</v>
      </c>
      <c r="M14" s="322"/>
      <c r="N14" s="329"/>
      <c r="O14" s="281"/>
      <c r="P14" s="281"/>
      <c r="Q14" s="314">
        <f t="shared" si="0"/>
        <v>0</v>
      </c>
      <c r="R14" s="1053">
        <f t="shared" si="1"/>
        <v>0.32945212155012155</v>
      </c>
      <c r="S14" s="1047">
        <f t="shared" si="2"/>
        <v>11058521.6928</v>
      </c>
      <c r="T14" s="268">
        <f t="shared" si="3"/>
        <v>0.32945212155012155</v>
      </c>
      <c r="U14" s="366">
        <f t="shared" si="4"/>
        <v>11058521.6928</v>
      </c>
      <c r="V14" s="336">
        <f>-'OECD HFO subsidies'!B39</f>
        <v>-5059835</v>
      </c>
      <c r="W14" s="342">
        <f t="shared" si="5"/>
        <v>-6002649.2350550005</v>
      </c>
      <c r="X14" s="111">
        <f t="shared" si="6"/>
        <v>5055872.4577449998</v>
      </c>
      <c r="Y14" s="1293">
        <f t="shared" si="7"/>
        <v>1.6361159282139282</v>
      </c>
      <c r="Z14" s="342">
        <f t="shared" si="8"/>
        <v>48915872.457745001</v>
      </c>
    </row>
    <row r="15" spans="1:27" x14ac:dyDescent="0.6">
      <c r="A15" s="46">
        <f t="shared" si="9"/>
        <v>11</v>
      </c>
      <c r="B15" s="44" t="s">
        <v>9</v>
      </c>
      <c r="C15" s="290">
        <v>1524</v>
      </c>
      <c r="D15" s="961">
        <v>1707</v>
      </c>
      <c r="E15" s="961">
        <f>703+226</f>
        <v>929</v>
      </c>
      <c r="F15" s="348">
        <f>(C15+D15+E15)*Assumptions!$C$41</f>
        <v>1163635200</v>
      </c>
      <c r="G15" s="391">
        <f>Assumptions!$H$3</f>
        <v>1.1863330000000001</v>
      </c>
      <c r="H15" s="1286">
        <f>Assumptions!$C$40</f>
        <v>279.72000000000003</v>
      </c>
      <c r="I15" s="422"/>
      <c r="J15" s="1077">
        <f>IF(F15=0,0,Assumptions!$C$97)</f>
        <v>1.3066638066638065</v>
      </c>
      <c r="K15" s="434">
        <v>31.39</v>
      </c>
      <c r="L15" s="286">
        <f t="shared" si="10"/>
        <v>0.13312953263978264</v>
      </c>
      <c r="M15" s="322"/>
      <c r="N15" s="329"/>
      <c r="O15" s="281"/>
      <c r="P15" s="281"/>
      <c r="Q15" s="314">
        <f t="shared" si="0"/>
        <v>0</v>
      </c>
      <c r="R15" s="1053">
        <f t="shared" si="1"/>
        <v>0.13312953263978264</v>
      </c>
      <c r="S15" s="1047">
        <f t="shared" si="2"/>
        <v>154914210.33919999</v>
      </c>
      <c r="T15" s="268">
        <f t="shared" si="3"/>
        <v>0.13312953263978264</v>
      </c>
      <c r="U15" s="366">
        <f t="shared" si="4"/>
        <v>154914210.33919999</v>
      </c>
      <c r="V15" s="336">
        <f>-'OECD HFO subsidies'!B42</f>
        <v>-290185331</v>
      </c>
      <c r="W15" s="342">
        <f t="shared" si="5"/>
        <v>-344256434.281223</v>
      </c>
      <c r="X15" s="111">
        <f t="shared" si="6"/>
        <v>-189342223.94202301</v>
      </c>
      <c r="Y15" s="1293">
        <f t="shared" si="7"/>
        <v>1.4397933393035891</v>
      </c>
      <c r="Z15" s="342">
        <f t="shared" si="8"/>
        <v>1331137776.0579767</v>
      </c>
    </row>
    <row r="16" spans="1:27" x14ac:dyDescent="0.6">
      <c r="A16" s="46">
        <f t="shared" si="9"/>
        <v>12</v>
      </c>
      <c r="B16" s="44" t="s">
        <v>10</v>
      </c>
      <c r="C16" s="290">
        <v>0</v>
      </c>
      <c r="D16" s="961">
        <v>0</v>
      </c>
      <c r="E16" s="961">
        <v>0</v>
      </c>
      <c r="F16" s="348">
        <f>(C16+D16+E16)*Assumptions!$C$41</f>
        <v>0</v>
      </c>
      <c r="G16" s="391">
        <f>Assumptions!$H$3</f>
        <v>1.1863330000000001</v>
      </c>
      <c r="H16" s="1286">
        <f>Assumptions!$C$40</f>
        <v>279.72000000000003</v>
      </c>
      <c r="I16" s="422"/>
      <c r="J16" s="1077">
        <f>IF(F16=0,0,Assumptions!$C$97)</f>
        <v>0</v>
      </c>
      <c r="K16" s="434">
        <v>15</v>
      </c>
      <c r="L16" s="286">
        <f t="shared" si="10"/>
        <v>6.3617170742170742E-2</v>
      </c>
      <c r="M16" s="322"/>
      <c r="N16" s="329"/>
      <c r="O16" s="281"/>
      <c r="P16" s="281"/>
      <c r="Q16" s="314">
        <f t="shared" si="0"/>
        <v>0</v>
      </c>
      <c r="R16" s="1053">
        <f t="shared" si="1"/>
        <v>6.3617170742170742E-2</v>
      </c>
      <c r="S16" s="1047">
        <f t="shared" si="2"/>
        <v>0</v>
      </c>
      <c r="T16" s="268">
        <f t="shared" si="3"/>
        <v>6.3617170742170742E-2</v>
      </c>
      <c r="U16" s="366">
        <f t="shared" si="4"/>
        <v>0</v>
      </c>
      <c r="V16" s="336">
        <f>-'OECD HFO subsidies'!B49</f>
        <v>0</v>
      </c>
      <c r="W16" s="342">
        <f t="shared" si="5"/>
        <v>0</v>
      </c>
      <c r="X16" s="111">
        <f t="shared" si="6"/>
        <v>0</v>
      </c>
      <c r="Y16" s="1293"/>
      <c r="Z16" s="342">
        <f t="shared" si="8"/>
        <v>0</v>
      </c>
    </row>
    <row r="17" spans="1:27" x14ac:dyDescent="0.6">
      <c r="A17" s="46">
        <f t="shared" si="9"/>
        <v>13</v>
      </c>
      <c r="B17" s="44" t="s">
        <v>11</v>
      </c>
      <c r="C17" s="290">
        <v>9</v>
      </c>
      <c r="D17" s="961">
        <v>0</v>
      </c>
      <c r="E17" s="961">
        <f>9+2</f>
        <v>11</v>
      </c>
      <c r="F17" s="348">
        <f>(C17+D17+E17)*Assumptions!$C$41</f>
        <v>5594400</v>
      </c>
      <c r="G17" s="391">
        <f>Assumptions!$H$17</f>
        <v>3.8049999999999998E-3</v>
      </c>
      <c r="H17" s="1286">
        <f>Assumptions!$C$40</f>
        <v>279.72000000000003</v>
      </c>
      <c r="I17" s="459"/>
      <c r="J17" s="1077">
        <f>IF(F17=0,0,Assumptions!$C$97)</f>
        <v>1.3066638066638065</v>
      </c>
      <c r="K17" s="430">
        <v>4655</v>
      </c>
      <c r="L17" s="286">
        <f t="shared" si="10"/>
        <v>6.3321446446446439E-2</v>
      </c>
      <c r="M17" s="322"/>
      <c r="N17" s="329"/>
      <c r="O17" s="281"/>
      <c r="P17" s="281"/>
      <c r="Q17" s="314">
        <f t="shared" si="0"/>
        <v>0</v>
      </c>
      <c r="R17" s="1053">
        <f t="shared" si="1"/>
        <v>6.3321446446446439E-2</v>
      </c>
      <c r="S17" s="1047">
        <f t="shared" si="2"/>
        <v>354245.49999999994</v>
      </c>
      <c r="T17" s="268">
        <f t="shared" si="3"/>
        <v>6.3321446446446439E-2</v>
      </c>
      <c r="U17" s="366">
        <f t="shared" si="4"/>
        <v>354245.49999999994</v>
      </c>
      <c r="V17" s="336">
        <f>-'OECD HFO subsidies'!B51</f>
        <v>-360792596</v>
      </c>
      <c r="W17" s="342">
        <f t="shared" si="5"/>
        <v>-1372815.8277799999</v>
      </c>
      <c r="X17" s="111">
        <f t="shared" si="6"/>
        <v>-1018570.3277799999</v>
      </c>
      <c r="Y17" s="1293">
        <f t="shared" si="7"/>
        <v>1.369985253110253</v>
      </c>
      <c r="Z17" s="342">
        <f t="shared" si="8"/>
        <v>6291429.6722199991</v>
      </c>
      <c r="AA17" s="1"/>
    </row>
    <row r="18" spans="1:27" x14ac:dyDescent="0.6">
      <c r="A18" s="46">
        <f t="shared" si="9"/>
        <v>14</v>
      </c>
      <c r="B18" s="44" t="s">
        <v>12</v>
      </c>
      <c r="C18" s="290">
        <v>29</v>
      </c>
      <c r="D18" s="961">
        <v>10715</v>
      </c>
      <c r="E18" s="961">
        <v>0</v>
      </c>
      <c r="F18" s="348">
        <f>(C18+D18+E18)*Assumptions!$C$41</f>
        <v>3005311680</v>
      </c>
      <c r="G18" s="391">
        <f>Assumptions!$H$3</f>
        <v>1.1863330000000001</v>
      </c>
      <c r="H18" s="1286">
        <f>Assumptions!$C$40</f>
        <v>279.72000000000003</v>
      </c>
      <c r="I18" s="422"/>
      <c r="J18" s="1077">
        <f>IF(F18=0,0,Assumptions!$C$97)</f>
        <v>1.3066638066638065</v>
      </c>
      <c r="K18" s="434">
        <v>36.15</v>
      </c>
      <c r="L18" s="286">
        <f t="shared" si="10"/>
        <v>0.15331738148863147</v>
      </c>
      <c r="M18" s="322"/>
      <c r="N18" s="329"/>
      <c r="O18" s="281"/>
      <c r="P18" s="281"/>
      <c r="Q18" s="314">
        <f t="shared" si="0"/>
        <v>0</v>
      </c>
      <c r="R18" s="1053">
        <f t="shared" si="1"/>
        <v>0.15331738148863147</v>
      </c>
      <c r="S18" s="1047">
        <f t="shared" si="2"/>
        <v>460766517.33479995</v>
      </c>
      <c r="T18" s="268">
        <f t="shared" si="3"/>
        <v>0.15331738148863147</v>
      </c>
      <c r="U18" s="366">
        <f t="shared" si="4"/>
        <v>460766517.33479995</v>
      </c>
      <c r="V18" s="336">
        <f>-'OECD HFO subsidies'!B55</f>
        <v>0</v>
      </c>
      <c r="W18" s="342">
        <f t="shared" si="5"/>
        <v>0</v>
      </c>
      <c r="X18" s="111">
        <f t="shared" si="6"/>
        <v>460766517.33479995</v>
      </c>
      <c r="Y18" s="1293">
        <f t="shared" si="7"/>
        <v>1.459981188152438</v>
      </c>
      <c r="Z18" s="342">
        <f t="shared" si="8"/>
        <v>4387698517.3347998</v>
      </c>
      <c r="AA18" s="1"/>
    </row>
    <row r="19" spans="1:27" x14ac:dyDescent="0.6">
      <c r="A19" s="46">
        <f t="shared" si="9"/>
        <v>15</v>
      </c>
      <c r="B19" s="44" t="s">
        <v>13</v>
      </c>
      <c r="C19" s="290">
        <v>153</v>
      </c>
      <c r="D19" s="961">
        <v>0</v>
      </c>
      <c r="E19" s="961">
        <f>39+165</f>
        <v>204</v>
      </c>
      <c r="F19" s="348">
        <f>(C19+D19+E19)*Assumptions!$C$41</f>
        <v>99860040</v>
      </c>
      <c r="G19" s="391">
        <f>Assumptions!$H$3</f>
        <v>1.1863330000000001</v>
      </c>
      <c r="H19" s="1286">
        <f>Assumptions!$C$40</f>
        <v>279.72000000000003</v>
      </c>
      <c r="I19" s="422"/>
      <c r="J19" s="1077">
        <f>IF(F19=0,0,Assumptions!$C$97)</f>
        <v>1.3066638066638065</v>
      </c>
      <c r="K19" s="434">
        <v>60</v>
      </c>
      <c r="L19" s="286">
        <f t="shared" si="10"/>
        <v>0.25446868296868297</v>
      </c>
      <c r="M19" s="322"/>
      <c r="N19" s="329"/>
      <c r="O19" s="281"/>
      <c r="P19" s="281"/>
      <c r="Q19" s="314">
        <f t="shared" si="0"/>
        <v>0</v>
      </c>
      <c r="R19" s="1053">
        <f t="shared" si="1"/>
        <v>0.25446868296868297</v>
      </c>
      <c r="S19" s="1047">
        <f t="shared" si="2"/>
        <v>25411252.859999999</v>
      </c>
      <c r="T19" s="268">
        <f t="shared" si="3"/>
        <v>0.25446868296868297</v>
      </c>
      <c r="U19" s="366">
        <f t="shared" si="4"/>
        <v>25411252.859999999</v>
      </c>
      <c r="V19" s="336">
        <f>-'OECD HFO subsidies'!B57</f>
        <v>-17220037</v>
      </c>
      <c r="W19" s="342">
        <f t="shared" si="5"/>
        <v>-20428698.154321</v>
      </c>
      <c r="X19" s="111">
        <f t="shared" si="6"/>
        <v>4982554.7056789994</v>
      </c>
      <c r="Y19" s="1293">
        <f t="shared" si="7"/>
        <v>1.5611324896324894</v>
      </c>
      <c r="Z19" s="342">
        <f t="shared" si="8"/>
        <v>135466054.705679</v>
      </c>
      <c r="AA19" s="1"/>
    </row>
    <row r="20" spans="1:27" x14ac:dyDescent="0.6">
      <c r="A20" s="46">
        <f t="shared" si="9"/>
        <v>16</v>
      </c>
      <c r="B20" s="44" t="s">
        <v>14</v>
      </c>
      <c r="C20" s="290">
        <v>91</v>
      </c>
      <c r="D20" s="961">
        <v>47</v>
      </c>
      <c r="E20" s="961">
        <f>392</f>
        <v>392</v>
      </c>
      <c r="F20" s="348">
        <f>(C20+D20+E20)*Assumptions!$C$41</f>
        <v>148251600</v>
      </c>
      <c r="G20" s="391">
        <f>Assumptions!$H$18</f>
        <v>0.28262100000000001</v>
      </c>
      <c r="H20" s="1286">
        <f>Assumptions!$C$40</f>
        <v>279.72000000000003</v>
      </c>
      <c r="I20" s="424"/>
      <c r="J20" s="1077">
        <f>IF(F20=0,0,Assumptions!$C$97)</f>
        <v>1.3066638066638065</v>
      </c>
      <c r="K20" s="431">
        <v>64</v>
      </c>
      <c r="L20" s="286">
        <f t="shared" si="10"/>
        <v>6.4663749463749462E-2</v>
      </c>
      <c r="M20" s="322"/>
      <c r="N20" s="329"/>
      <c r="O20" s="281"/>
      <c r="P20" s="281"/>
      <c r="Q20" s="314">
        <f t="shared" si="0"/>
        <v>0</v>
      </c>
      <c r="R20" s="1053">
        <f t="shared" si="1"/>
        <v>6.4663749463749462E-2</v>
      </c>
      <c r="S20" s="1047">
        <f t="shared" si="2"/>
        <v>9586504.3200000003</v>
      </c>
      <c r="T20" s="268">
        <f t="shared" si="3"/>
        <v>6.4663749463749462E-2</v>
      </c>
      <c r="U20" s="366">
        <f t="shared" si="4"/>
        <v>9586504.3200000003</v>
      </c>
      <c r="V20" s="336">
        <f>-'OECD HFO subsidies'!B60</f>
        <v>0</v>
      </c>
      <c r="W20" s="342">
        <f t="shared" si="5"/>
        <v>0</v>
      </c>
      <c r="X20" s="111">
        <f t="shared" si="6"/>
        <v>9586504.3200000003</v>
      </c>
      <c r="Y20" s="1293">
        <f t="shared" si="7"/>
        <v>1.371327556127556</v>
      </c>
      <c r="Z20" s="342">
        <f t="shared" si="8"/>
        <v>203301504.31999996</v>
      </c>
      <c r="AA20" s="1"/>
    </row>
    <row r="21" spans="1:27" x14ac:dyDescent="0.6">
      <c r="A21" s="46">
        <f t="shared" si="9"/>
        <v>17</v>
      </c>
      <c r="B21" s="44" t="s">
        <v>15</v>
      </c>
      <c r="C21" s="290">
        <v>209</v>
      </c>
      <c r="D21" s="961">
        <v>553</v>
      </c>
      <c r="E21" s="961">
        <f>160+79</f>
        <v>239</v>
      </c>
      <c r="F21" s="348">
        <f>(C21+D21+E21)*Assumptions!$C$41</f>
        <v>279999720</v>
      </c>
      <c r="G21" s="391">
        <f>Assumptions!$H$3</f>
        <v>1.1863330000000001</v>
      </c>
      <c r="H21" s="1286">
        <f>Assumptions!$C$40</f>
        <v>279.72000000000003</v>
      </c>
      <c r="I21" s="422"/>
      <c r="J21" s="1077">
        <f>IF(F21=0,0,Assumptions!$C$97)</f>
        <v>1.3066638066638065</v>
      </c>
      <c r="K21" s="434">
        <v>31.41</v>
      </c>
      <c r="L21" s="286">
        <f t="shared" si="10"/>
        <v>0.13321435553410554</v>
      </c>
      <c r="M21" s="322"/>
      <c r="N21" s="329"/>
      <c r="O21" s="281"/>
      <c r="P21" s="281"/>
      <c r="Q21" s="314">
        <f t="shared" si="0"/>
        <v>0</v>
      </c>
      <c r="R21" s="1053">
        <f t="shared" si="1"/>
        <v>0.13321435553410554</v>
      </c>
      <c r="S21" s="1047">
        <f t="shared" si="2"/>
        <v>37299982.249530002</v>
      </c>
      <c r="T21" s="268">
        <f t="shared" si="3"/>
        <v>0.13321435553410554</v>
      </c>
      <c r="U21" s="366">
        <f t="shared" si="4"/>
        <v>37299982.249530002</v>
      </c>
      <c r="V21" s="336">
        <f>-'OECD HFO subsidies'!B62</f>
        <v>-19618993</v>
      </c>
      <c r="W21" s="342">
        <f t="shared" si="5"/>
        <v>-23274658.822669003</v>
      </c>
      <c r="X21" s="111">
        <f t="shared" si="6"/>
        <v>14025323.426860999</v>
      </c>
      <c r="Y21" s="1293">
        <f t="shared" si="7"/>
        <v>1.4398781621979122</v>
      </c>
      <c r="Z21" s="342">
        <f t="shared" si="8"/>
        <v>379890823.42686099</v>
      </c>
      <c r="AA21" s="1"/>
    </row>
    <row r="22" spans="1:27" x14ac:dyDescent="0.6">
      <c r="A22" s="46">
        <f t="shared" si="9"/>
        <v>18</v>
      </c>
      <c r="B22" s="44" t="s">
        <v>16</v>
      </c>
      <c r="C22" s="290">
        <v>3</v>
      </c>
      <c r="D22" s="961">
        <v>65</v>
      </c>
      <c r="E22" s="961">
        <v>0</v>
      </c>
      <c r="F22" s="348">
        <f>(C22+D22+E22)*Assumptions!$C$41</f>
        <v>19020960</v>
      </c>
      <c r="G22" s="391">
        <f>Assumptions!$H$3</f>
        <v>1.1863330000000001</v>
      </c>
      <c r="H22" s="1286">
        <f>Assumptions!$C$40</f>
        <v>279.72000000000003</v>
      </c>
      <c r="I22" s="422"/>
      <c r="J22" s="1077">
        <f>IF(F22=0,0,Assumptions!$C$97)</f>
        <v>1.3066638066638065</v>
      </c>
      <c r="K22" s="434">
        <v>70.319999999999993</v>
      </c>
      <c r="L22" s="286">
        <f t="shared" si="10"/>
        <v>0.29823729643929642</v>
      </c>
      <c r="M22" s="322"/>
      <c r="N22" s="329"/>
      <c r="O22" s="281"/>
      <c r="P22" s="281"/>
      <c r="Q22" s="314">
        <f t="shared" si="0"/>
        <v>0</v>
      </c>
      <c r="R22" s="1053">
        <f t="shared" si="1"/>
        <v>0.29823729643929642</v>
      </c>
      <c r="S22" s="1047">
        <f t="shared" si="2"/>
        <v>5672759.6860799994</v>
      </c>
      <c r="T22" s="268">
        <f t="shared" si="3"/>
        <v>0.29823729643929642</v>
      </c>
      <c r="U22" s="366">
        <f t="shared" si="4"/>
        <v>5672759.6860799994</v>
      </c>
      <c r="V22" s="336">
        <f>-'OECD HFO subsidies'!B67</f>
        <v>-319517</v>
      </c>
      <c r="W22" s="342">
        <f t="shared" si="5"/>
        <v>-379053.56116100005</v>
      </c>
      <c r="X22" s="111">
        <f t="shared" si="6"/>
        <v>5293706.1249189992</v>
      </c>
      <c r="Y22" s="1293">
        <f t="shared" si="7"/>
        <v>1.6049011031031029</v>
      </c>
      <c r="Z22" s="342">
        <f t="shared" si="8"/>
        <v>30147706.124918994</v>
      </c>
      <c r="AA22" s="1"/>
    </row>
    <row r="23" spans="1:27" x14ac:dyDescent="0.6">
      <c r="A23" s="46">
        <f t="shared" si="9"/>
        <v>19</v>
      </c>
      <c r="B23" s="44" t="s">
        <v>17</v>
      </c>
      <c r="C23" s="290">
        <v>2</v>
      </c>
      <c r="D23" s="961">
        <v>0</v>
      </c>
      <c r="E23" s="961">
        <v>203</v>
      </c>
      <c r="F23" s="348">
        <f>(C23+D23+E23)*Assumptions!$C$41</f>
        <v>57342600</v>
      </c>
      <c r="G23" s="391">
        <f>Assumptions!$H$3</f>
        <v>1.1863330000000001</v>
      </c>
      <c r="H23" s="1286">
        <f>Assumptions!$C$40</f>
        <v>279.72000000000003</v>
      </c>
      <c r="I23" s="422"/>
      <c r="J23" s="1077">
        <f>IF(F23=0,0,Assumptions!$C$97)</f>
        <v>1.3066638066638065</v>
      </c>
      <c r="K23" s="434">
        <v>111.5</v>
      </c>
      <c r="L23" s="286">
        <f t="shared" si="10"/>
        <v>0.47288763585013577</v>
      </c>
      <c r="M23" s="322"/>
      <c r="N23" s="329"/>
      <c r="O23" s="281"/>
      <c r="P23" s="281"/>
      <c r="Q23" s="314">
        <f t="shared" si="0"/>
        <v>0</v>
      </c>
      <c r="R23" s="1053">
        <f t="shared" si="1"/>
        <v>0.47288763585013577</v>
      </c>
      <c r="S23" s="1047">
        <f t="shared" si="2"/>
        <v>27116606.547499996</v>
      </c>
      <c r="T23" s="268">
        <f t="shared" si="3"/>
        <v>0.47288763585013577</v>
      </c>
      <c r="U23" s="366">
        <f t="shared" si="4"/>
        <v>27116606.547499996</v>
      </c>
      <c r="V23" s="336">
        <f>-'OECD HFO subsidies'!B69</f>
        <v>0</v>
      </c>
      <c r="W23" s="342">
        <f t="shared" si="5"/>
        <v>0</v>
      </c>
      <c r="X23" s="111">
        <f t="shared" si="6"/>
        <v>27116606.547499996</v>
      </c>
      <c r="Y23" s="1293">
        <f t="shared" si="7"/>
        <v>1.7795514425139423</v>
      </c>
      <c r="Z23" s="342">
        <f t="shared" si="8"/>
        <v>102044106.54749998</v>
      </c>
      <c r="AA23" s="1"/>
    </row>
    <row r="24" spans="1:27" x14ac:dyDescent="0.6">
      <c r="A24" s="46">
        <f t="shared" si="9"/>
        <v>20</v>
      </c>
      <c r="B24" s="44" t="s">
        <v>18</v>
      </c>
      <c r="C24" s="290">
        <v>284</v>
      </c>
      <c r="D24" s="961">
        <v>260</v>
      </c>
      <c r="E24" s="961">
        <f>17+56</f>
        <v>73</v>
      </c>
      <c r="F24" s="348">
        <f>(C24+D24+E24)*Assumptions!$C$41</f>
        <v>172587240</v>
      </c>
      <c r="G24" s="391">
        <f>Assumptions!$H$3</f>
        <v>1.1863330000000001</v>
      </c>
      <c r="H24" s="1286">
        <f>Assumptions!$C$40</f>
        <v>279.72000000000003</v>
      </c>
      <c r="I24" s="422"/>
      <c r="J24" s="1077">
        <f>IF(F24=0,0,Assumptions!$C$97)</f>
        <v>1.3066638066638065</v>
      </c>
      <c r="K24" s="427">
        <v>221.2</v>
      </c>
      <c r="L24" s="286">
        <f t="shared" si="10"/>
        <v>0.93814121121121119</v>
      </c>
      <c r="M24" s="322"/>
      <c r="N24" s="329"/>
      <c r="O24" s="281"/>
      <c r="P24" s="281"/>
      <c r="Q24" s="314">
        <f t="shared" si="0"/>
        <v>0</v>
      </c>
      <c r="R24" s="1053">
        <f t="shared" si="1"/>
        <v>0.93814121121121119</v>
      </c>
      <c r="S24" s="1047">
        <f t="shared" si="2"/>
        <v>161911202.3732</v>
      </c>
      <c r="T24" s="268">
        <f t="shared" si="3"/>
        <v>0.93814121121121119</v>
      </c>
      <c r="U24" s="366">
        <f t="shared" si="4"/>
        <v>161911202.3732</v>
      </c>
      <c r="V24" s="336">
        <f>-'OECD HFO subsidies'!B71</f>
        <v>-23334572</v>
      </c>
      <c r="W24" s="342">
        <f t="shared" si="5"/>
        <v>-27682572.804476</v>
      </c>
      <c r="X24" s="111">
        <f t="shared" si="6"/>
        <v>134228629.56872401</v>
      </c>
      <c r="Y24" s="1293">
        <f t="shared" si="7"/>
        <v>2.2448050178750178</v>
      </c>
      <c r="Z24" s="342">
        <f t="shared" si="8"/>
        <v>359742129.56872398</v>
      </c>
      <c r="AA24" s="1"/>
    </row>
    <row r="25" spans="1:27" x14ac:dyDescent="0.6">
      <c r="A25" s="46">
        <f t="shared" si="9"/>
        <v>21</v>
      </c>
      <c r="B25" s="44" t="s">
        <v>19</v>
      </c>
      <c r="C25" s="290">
        <v>263</v>
      </c>
      <c r="D25" s="961">
        <v>1069</v>
      </c>
      <c r="E25" s="961">
        <f>3+33</f>
        <v>36</v>
      </c>
      <c r="F25" s="348">
        <f>(C25+D25+E25)*Assumptions!$C$41</f>
        <v>382656960</v>
      </c>
      <c r="G25" s="391">
        <f>Assumptions!$H$19</f>
        <v>0.119739</v>
      </c>
      <c r="H25" s="1286">
        <f>Assumptions!$C$40</f>
        <v>279.72000000000003</v>
      </c>
      <c r="I25" s="425"/>
      <c r="J25" s="1077">
        <f>IF(F25=0,0,Assumptions!$C$97)</f>
        <v>1.3066638066638065</v>
      </c>
      <c r="K25" s="1184">
        <v>2300.84</v>
      </c>
      <c r="L25" s="286">
        <f t="shared" si="10"/>
        <v>0.98491448863148856</v>
      </c>
      <c r="M25" s="322"/>
      <c r="N25" s="329"/>
      <c r="O25" s="281"/>
      <c r="P25" s="281"/>
      <c r="Q25" s="314">
        <f t="shared" si="0"/>
        <v>0</v>
      </c>
      <c r="R25" s="1053">
        <f t="shared" si="1"/>
        <v>0.98491448863148856</v>
      </c>
      <c r="S25" s="1047">
        <f t="shared" si="2"/>
        <v>376884384.07967997</v>
      </c>
      <c r="T25" s="268">
        <f t="shared" si="3"/>
        <v>0.98491448863148856</v>
      </c>
      <c r="U25" s="366">
        <f t="shared" si="4"/>
        <v>376884384.07967997</v>
      </c>
      <c r="V25" s="336">
        <f>-'OECD HFO subsidies'!B78</f>
        <v>-412450978</v>
      </c>
      <c r="W25" s="342">
        <f t="shared" si="5"/>
        <v>-49386467.654742002</v>
      </c>
      <c r="X25" s="111">
        <f t="shared" si="6"/>
        <v>327497916.42493796</v>
      </c>
      <c r="Y25" s="1293">
        <f t="shared" si="7"/>
        <v>2.2915782952952952</v>
      </c>
      <c r="Z25" s="342">
        <f t="shared" si="8"/>
        <v>827501916.42493796</v>
      </c>
      <c r="AA25" s="1"/>
    </row>
    <row r="26" spans="1:27" ht="15.9" thickBot="1" x14ac:dyDescent="0.65">
      <c r="A26" s="15">
        <f t="shared" si="9"/>
        <v>22</v>
      </c>
      <c r="B26" s="47" t="s">
        <v>20</v>
      </c>
      <c r="C26" s="291">
        <v>266</v>
      </c>
      <c r="D26" s="962">
        <v>834</v>
      </c>
      <c r="E26" s="962">
        <f>152+14</f>
        <v>166</v>
      </c>
      <c r="F26" s="349">
        <f>(C26+D26+E26)*Assumptions!$C$41</f>
        <v>354125520</v>
      </c>
      <c r="G26" s="419">
        <f>Assumptions!$H$20</f>
        <v>1.337591</v>
      </c>
      <c r="H26" s="1288">
        <f>Assumptions!$C$40</f>
        <v>279.72000000000003</v>
      </c>
      <c r="I26" s="421"/>
      <c r="J26" s="1055">
        <f>IF(F26=0,0,Assumptions!$C$97)</f>
        <v>1.3066638066638065</v>
      </c>
      <c r="K26" s="433">
        <v>107</v>
      </c>
      <c r="L26" s="308">
        <f t="shared" si="10"/>
        <v>0.51166250893750886</v>
      </c>
      <c r="M26" s="359"/>
      <c r="N26" s="334"/>
      <c r="O26" s="318"/>
      <c r="P26" s="318"/>
      <c r="Q26" s="319">
        <f t="shared" si="0"/>
        <v>0</v>
      </c>
      <c r="R26" s="1054">
        <f t="shared" si="1"/>
        <v>0.51166250893750886</v>
      </c>
      <c r="S26" s="1048">
        <f t="shared" si="2"/>
        <v>181192752.04199997</v>
      </c>
      <c r="T26" s="269">
        <f t="shared" si="3"/>
        <v>0.51166250893750886</v>
      </c>
      <c r="U26" s="368">
        <f t="shared" si="4"/>
        <v>181192752.04199997</v>
      </c>
      <c r="V26" s="340">
        <f>-'OECD HFO subsidies'!B88</f>
        <v>0</v>
      </c>
      <c r="W26" s="344">
        <f t="shared" si="5"/>
        <v>0</v>
      </c>
      <c r="X26" s="163">
        <f t="shared" si="6"/>
        <v>181192752.04199997</v>
      </c>
      <c r="Y26" s="1294">
        <f t="shared" si="7"/>
        <v>1.8183263156013154</v>
      </c>
      <c r="Z26" s="344">
        <f t="shared" si="8"/>
        <v>643915752.04199994</v>
      </c>
      <c r="AA26" s="1"/>
    </row>
    <row r="27" spans="1:27" ht="15.9" thickTop="1" x14ac:dyDescent="0.6">
      <c r="A27" s="48" t="s">
        <v>882</v>
      </c>
      <c r="B27" s="44"/>
      <c r="C27" s="290"/>
      <c r="D27" s="961"/>
      <c r="E27" s="1448"/>
      <c r="F27" s="348"/>
      <c r="G27" s="399"/>
      <c r="H27" s="1286"/>
      <c r="I27" s="383"/>
      <c r="J27" s="1077"/>
      <c r="K27" s="393"/>
      <c r="L27" s="306"/>
      <c r="M27" s="322"/>
      <c r="N27" s="329"/>
      <c r="O27" s="320"/>
      <c r="P27" s="320"/>
      <c r="Q27" s="314"/>
      <c r="R27" s="1053"/>
      <c r="S27" s="1047"/>
      <c r="T27" s="310"/>
      <c r="U27" s="366"/>
      <c r="V27" s="336"/>
      <c r="W27" s="342"/>
      <c r="X27" s="111"/>
      <c r="Y27" s="1293"/>
      <c r="Z27" s="342"/>
      <c r="AA27" s="1"/>
    </row>
    <row r="28" spans="1:27" x14ac:dyDescent="0.6">
      <c r="A28" s="61">
        <f>A26+1</f>
        <v>23</v>
      </c>
      <c r="B28" s="44" t="s">
        <v>38</v>
      </c>
      <c r="C28" s="290">
        <v>1615</v>
      </c>
      <c r="D28" s="961">
        <v>142</v>
      </c>
      <c r="E28" s="961">
        <f>708+16</f>
        <v>724</v>
      </c>
      <c r="F28" s="348">
        <f>(C28+D28+E28)*Assumptions!$C$41</f>
        <v>693985320</v>
      </c>
      <c r="G28" s="399">
        <f>Assumptions!$H$4</f>
        <v>0.78824099999999997</v>
      </c>
      <c r="H28" s="1286">
        <f>Assumptions!$C$40</f>
        <v>279.72000000000003</v>
      </c>
      <c r="I28" s="441">
        <f>349.67/H28</f>
        <v>1.2500715000714999</v>
      </c>
      <c r="J28" s="458">
        <f>I28*G28</f>
        <v>0.98535760928785909</v>
      </c>
      <c r="K28" s="447">
        <f>15.04/H28</f>
        <v>5.3768053768053763E-2</v>
      </c>
      <c r="L28" s="306">
        <f>K28*G28</f>
        <v>4.2382184470184464E-2</v>
      </c>
      <c r="M28" s="322"/>
      <c r="N28" s="329"/>
      <c r="O28" s="320"/>
      <c r="P28" s="320"/>
      <c r="Q28" s="314">
        <f t="shared" ref="Q28:Q34" si="11">N28*F28</f>
        <v>0</v>
      </c>
      <c r="R28" s="1053">
        <f t="shared" si="1"/>
        <v>4.2382184470184464E-2</v>
      </c>
      <c r="S28" s="1047">
        <f t="shared" ref="S28:S34" si="12">R28*F28</f>
        <v>29412613.851839997</v>
      </c>
      <c r="T28" s="310">
        <f t="shared" ref="T28:T34" si="13">O28+L28</f>
        <v>4.2382184470184464E-2</v>
      </c>
      <c r="U28" s="366">
        <f t="shared" ref="U28:U34" si="14">F28*T28</f>
        <v>29412613.851839997</v>
      </c>
      <c r="V28" s="336">
        <f>-'OECD HFO subsidies'!B90</f>
        <v>-12405668</v>
      </c>
      <c r="W28" s="342">
        <f t="shared" ref="W28:W34" si="15">V28*G28</f>
        <v>-9778656.1499879993</v>
      </c>
      <c r="X28" s="111">
        <f t="shared" ref="X28:X34" si="16">U28+W28</f>
        <v>19633957.701851998</v>
      </c>
      <c r="Y28" s="320">
        <f t="shared" ref="Y28:Y38" si="17">(J28+L28)*(1+M28)</f>
        <v>1.0277397937580435</v>
      </c>
      <c r="Z28" s="342">
        <f t="shared" ref="Z28:Z34" si="18">Y28*F28+W28</f>
        <v>703457673.49792171</v>
      </c>
      <c r="AA28" s="1"/>
    </row>
    <row r="29" spans="1:27" x14ac:dyDescent="0.6">
      <c r="A29" s="61">
        <f t="shared" ref="A29:A34" si="19">A28+1</f>
        <v>24</v>
      </c>
      <c r="B29" s="44" t="s">
        <v>39</v>
      </c>
      <c r="C29" s="290">
        <v>15</v>
      </c>
      <c r="D29" s="961">
        <v>103</v>
      </c>
      <c r="E29" s="961">
        <v>0</v>
      </c>
      <c r="F29" s="348">
        <f>(C29+D29+E29)*Assumptions!$C$41</f>
        <v>33006960</v>
      </c>
      <c r="G29" s="399">
        <f>Assumptions!$H$5</f>
        <v>0.12035</v>
      </c>
      <c r="H29" s="1286">
        <f>Assumptions!$C$40</f>
        <v>279.72000000000003</v>
      </c>
      <c r="I29" s="442"/>
      <c r="J29" s="1077">
        <f>IF(F29=0,0,Assumptions!$C$97)</f>
        <v>1.3066638066638065</v>
      </c>
      <c r="K29" s="448">
        <f>(1.59+0.9+(0.081*4))*Assumptions!C115</f>
        <v>10.652143740000001</v>
      </c>
      <c r="L29" s="306">
        <f>K29*G29</f>
        <v>1.2819854991090001</v>
      </c>
      <c r="M29" s="322"/>
      <c r="N29" s="329"/>
      <c r="O29" s="320"/>
      <c r="P29" s="320"/>
      <c r="Q29" s="314">
        <f t="shared" si="11"/>
        <v>0</v>
      </c>
      <c r="R29" s="1053">
        <f t="shared" si="1"/>
        <v>1.2819854991090001</v>
      </c>
      <c r="S29" s="1047">
        <f>R29*F29</f>
        <v>42314444.0896708</v>
      </c>
      <c r="T29" s="310">
        <f t="shared" si="13"/>
        <v>1.2819854991090001</v>
      </c>
      <c r="U29" s="366">
        <f t="shared" si="14"/>
        <v>42314444.0896708</v>
      </c>
      <c r="V29" s="336">
        <f>-'OECD HFO subsidies'!B95</f>
        <v>-293983723</v>
      </c>
      <c r="W29" s="342">
        <f t="shared" si="15"/>
        <v>-35380941.063050002</v>
      </c>
      <c r="X29" s="111">
        <f t="shared" si="16"/>
        <v>6933503.0266207978</v>
      </c>
      <c r="Y29" s="1293">
        <f t="shared" si="17"/>
        <v>2.5886493057728064</v>
      </c>
      <c r="Z29" s="342">
        <f t="shared" si="18"/>
        <v>50062503.02662079</v>
      </c>
      <c r="AA29" s="1"/>
    </row>
    <row r="30" spans="1:27" x14ac:dyDescent="0.6">
      <c r="A30" s="61">
        <f t="shared" si="19"/>
        <v>25</v>
      </c>
      <c r="B30" s="44" t="s">
        <v>40</v>
      </c>
      <c r="C30" s="290">
        <v>7</v>
      </c>
      <c r="D30" s="961">
        <v>0</v>
      </c>
      <c r="E30" s="961">
        <v>0</v>
      </c>
      <c r="F30" s="348">
        <f>(C30+D30+E30)*Assumptions!$C$41</f>
        <v>1958040</v>
      </c>
      <c r="G30" s="399">
        <f>Assumptions!$H$6</f>
        <v>1.010632</v>
      </c>
      <c r="H30" s="1286">
        <f>Assumptions!$C$40</f>
        <v>279.72000000000003</v>
      </c>
      <c r="I30" s="443"/>
      <c r="J30" s="1077">
        <f>IF(F30=0,0,Assumptions!$C$97)</f>
        <v>1.3066638066638065</v>
      </c>
      <c r="K30" s="449"/>
      <c r="L30" s="306">
        <f t="shared" si="10"/>
        <v>0</v>
      </c>
      <c r="M30" s="322"/>
      <c r="N30" s="329"/>
      <c r="O30" s="320"/>
      <c r="P30" s="320"/>
      <c r="Q30" s="314">
        <f t="shared" si="11"/>
        <v>0</v>
      </c>
      <c r="R30" s="1053">
        <f t="shared" si="1"/>
        <v>0</v>
      </c>
      <c r="S30" s="1047">
        <f t="shared" si="12"/>
        <v>0</v>
      </c>
      <c r="T30" s="310">
        <f t="shared" si="13"/>
        <v>0</v>
      </c>
      <c r="U30" s="366">
        <f t="shared" si="14"/>
        <v>0</v>
      </c>
      <c r="V30" s="336">
        <f>-'OECD HFO subsidies'!B108</f>
        <v>0</v>
      </c>
      <c r="W30" s="342">
        <f t="shared" si="15"/>
        <v>0</v>
      </c>
      <c r="X30" s="111">
        <f t="shared" si="16"/>
        <v>0</v>
      </c>
      <c r="Y30" s="1293">
        <f t="shared" si="17"/>
        <v>1.3066638066638065</v>
      </c>
      <c r="Z30" s="342">
        <f t="shared" si="18"/>
        <v>2558500</v>
      </c>
      <c r="AA30" s="1"/>
    </row>
    <row r="31" spans="1:27" x14ac:dyDescent="0.6">
      <c r="A31" s="46">
        <f t="shared" si="19"/>
        <v>26</v>
      </c>
      <c r="B31" s="44" t="s">
        <v>31</v>
      </c>
      <c r="C31" s="290">
        <v>4660</v>
      </c>
      <c r="D31" s="961">
        <v>4022</v>
      </c>
      <c r="E31" s="961">
        <f>9846</f>
        <v>9846</v>
      </c>
      <c r="F31" s="348">
        <f>(C31+D31+E31)*Assumptions!$C$41</f>
        <v>5182652160</v>
      </c>
      <c r="G31" s="399">
        <f>Assumptions!$H$7</f>
        <v>8.829E-3</v>
      </c>
      <c r="H31" s="1286">
        <f>Assumptions!$C$40</f>
        <v>279.72000000000003</v>
      </c>
      <c r="I31" s="484">
        <f>61533/H31</f>
        <v>219.98069498069495</v>
      </c>
      <c r="J31" s="458">
        <f>I31*G31</f>
        <v>1.9422095559845558</v>
      </c>
      <c r="K31" s="469"/>
      <c r="L31" s="842">
        <f t="shared" si="10"/>
        <v>0</v>
      </c>
      <c r="M31" s="322"/>
      <c r="N31" s="329"/>
      <c r="O31" s="320"/>
      <c r="P31" s="320"/>
      <c r="Q31" s="314">
        <f t="shared" si="11"/>
        <v>0</v>
      </c>
      <c r="R31" s="1053">
        <f t="shared" si="1"/>
        <v>0</v>
      </c>
      <c r="S31" s="1047">
        <f t="shared" si="12"/>
        <v>0</v>
      </c>
      <c r="T31" s="310">
        <f t="shared" si="13"/>
        <v>0</v>
      </c>
      <c r="U31" s="366">
        <f t="shared" si="14"/>
        <v>0</v>
      </c>
      <c r="V31" s="336">
        <f>-'OECD HFO subsidies'!B110</f>
        <v>0</v>
      </c>
      <c r="W31" s="342">
        <f t="shared" si="15"/>
        <v>0</v>
      </c>
      <c r="X31" s="111">
        <f t="shared" si="16"/>
        <v>0</v>
      </c>
      <c r="Y31" s="320">
        <f t="shared" si="17"/>
        <v>1.9422095559845558</v>
      </c>
      <c r="Z31" s="342">
        <f t="shared" si="18"/>
        <v>10065796550.495998</v>
      </c>
      <c r="AA31" s="1"/>
    </row>
    <row r="32" spans="1:27" x14ac:dyDescent="0.6">
      <c r="A32" s="46">
        <f t="shared" si="19"/>
        <v>27</v>
      </c>
      <c r="B32" s="44" t="s">
        <v>47</v>
      </c>
      <c r="C32" s="290">
        <v>1720</v>
      </c>
      <c r="D32" s="961">
        <v>7986</v>
      </c>
      <c r="E32" s="961">
        <f>1768+115</f>
        <v>1883</v>
      </c>
      <c r="F32" s="348">
        <f>(C32+D32+E32)*Assumptions!$C$41</f>
        <v>3241675080</v>
      </c>
      <c r="G32" s="399">
        <f>Assumptions!$H$8</f>
        <v>9.3000000000000005E-4</v>
      </c>
      <c r="H32" s="1286">
        <f>Assumptions!$C$40</f>
        <v>279.72000000000003</v>
      </c>
      <c r="I32" s="446">
        <f>524978/H32</f>
        <v>1876.7982267982266</v>
      </c>
      <c r="J32" s="458">
        <f>I32*G32</f>
        <v>1.7454223509223508</v>
      </c>
      <c r="K32" s="470">
        <f>20703/H32</f>
        <v>74.013299013299005</v>
      </c>
      <c r="L32" s="306">
        <f>K32*G32</f>
        <v>6.8832368082368076E-2</v>
      </c>
      <c r="M32" s="322"/>
      <c r="N32" s="329"/>
      <c r="O32" s="320"/>
      <c r="P32" s="320"/>
      <c r="Q32" s="314">
        <f t="shared" si="11"/>
        <v>0</v>
      </c>
      <c r="R32" s="1053">
        <f t="shared" si="1"/>
        <v>6.8832368082368076E-2</v>
      </c>
      <c r="S32" s="1047">
        <f t="shared" si="12"/>
        <v>223132172.30999997</v>
      </c>
      <c r="T32" s="310">
        <f t="shared" si="13"/>
        <v>6.8832368082368076E-2</v>
      </c>
      <c r="U32" s="366">
        <f t="shared" si="14"/>
        <v>223132172.30999997</v>
      </c>
      <c r="V32" s="336">
        <f>-'OECD HFO subsidies'!B112</f>
        <v>-5090000000</v>
      </c>
      <c r="W32" s="342">
        <f t="shared" si="15"/>
        <v>-4733700</v>
      </c>
      <c r="X32" s="111">
        <f t="shared" si="16"/>
        <v>218398472.30999997</v>
      </c>
      <c r="Y32" s="320">
        <f t="shared" si="17"/>
        <v>1.8142547190047189</v>
      </c>
      <c r="Z32" s="342">
        <f t="shared" si="18"/>
        <v>5876490611.3699999</v>
      </c>
      <c r="AA32" s="1"/>
    </row>
    <row r="33" spans="1:28" x14ac:dyDescent="0.6">
      <c r="A33" s="46">
        <f t="shared" si="19"/>
        <v>28</v>
      </c>
      <c r="B33" s="44" t="s">
        <v>32</v>
      </c>
      <c r="C33" s="290">
        <v>300</v>
      </c>
      <c r="D33" s="961">
        <v>665</v>
      </c>
      <c r="E33" s="961">
        <v>175</v>
      </c>
      <c r="F33" s="348">
        <f>(C33+D33+E33)*Assumptions!$C$41</f>
        <v>318880800</v>
      </c>
      <c r="G33" s="399">
        <f>Assumptions!$H$9</f>
        <v>0.77382200000000001</v>
      </c>
      <c r="H33" s="1286">
        <f>Assumptions!$C$40</f>
        <v>279.72000000000003</v>
      </c>
      <c r="I33" s="389"/>
      <c r="J33" s="1077">
        <f>IF(F33=0,0,Assumptions!$C$97)</f>
        <v>1.3066638066638065</v>
      </c>
      <c r="K33" s="452"/>
      <c r="L33" s="306">
        <f t="shared" si="10"/>
        <v>0</v>
      </c>
      <c r="M33" s="322"/>
      <c r="N33" s="329"/>
      <c r="O33" s="320"/>
      <c r="P33" s="320"/>
      <c r="Q33" s="314">
        <f t="shared" si="11"/>
        <v>0</v>
      </c>
      <c r="R33" s="1053">
        <f t="shared" si="1"/>
        <v>0</v>
      </c>
      <c r="S33" s="1047">
        <f t="shared" si="12"/>
        <v>0</v>
      </c>
      <c r="T33" s="310">
        <f t="shared" si="13"/>
        <v>0</v>
      </c>
      <c r="U33" s="366">
        <f t="shared" si="14"/>
        <v>0</v>
      </c>
      <c r="V33" s="336">
        <f>-'OECD HFO subsidies'!B115</f>
        <v>0</v>
      </c>
      <c r="W33" s="342">
        <f t="shared" si="15"/>
        <v>0</v>
      </c>
      <c r="X33" s="111">
        <f t="shared" si="16"/>
        <v>0</v>
      </c>
      <c r="Y33" s="1293">
        <f t="shared" si="17"/>
        <v>1.3066638066638065</v>
      </c>
      <c r="Z33" s="342">
        <f t="shared" si="18"/>
        <v>416669999.99999994</v>
      </c>
    </row>
    <row r="34" spans="1:28" ht="15.9" thickBot="1" x14ac:dyDescent="0.65">
      <c r="A34" s="15">
        <f t="shared" si="19"/>
        <v>29</v>
      </c>
      <c r="B34" s="47" t="s">
        <v>33</v>
      </c>
      <c r="C34" s="291">
        <v>67</v>
      </c>
      <c r="D34" s="962">
        <v>273</v>
      </c>
      <c r="E34" s="962">
        <v>0</v>
      </c>
      <c r="F34" s="349">
        <f>(C34+D34+E34)*Assumptions!$C$41</f>
        <v>95104800</v>
      </c>
      <c r="G34" s="417">
        <f>Assumptions!$H$10</f>
        <v>0.70460400000000001</v>
      </c>
      <c r="H34" s="1288">
        <f>Assumptions!$C$40</f>
        <v>279.72000000000003</v>
      </c>
      <c r="I34" s="445"/>
      <c r="J34" s="1055">
        <f>IF(F34=0,0,Assumptions!$C$97)</f>
        <v>1.3066638066638065</v>
      </c>
      <c r="K34" s="453"/>
      <c r="L34" s="309">
        <f t="shared" si="10"/>
        <v>0</v>
      </c>
      <c r="M34" s="359"/>
      <c r="N34" s="334"/>
      <c r="O34" s="321"/>
      <c r="P34" s="321"/>
      <c r="Q34" s="319">
        <f t="shared" si="11"/>
        <v>0</v>
      </c>
      <c r="R34" s="1054">
        <f t="shared" si="1"/>
        <v>0</v>
      </c>
      <c r="S34" s="1048">
        <f t="shared" si="12"/>
        <v>0</v>
      </c>
      <c r="T34" s="312">
        <f t="shared" si="13"/>
        <v>0</v>
      </c>
      <c r="U34" s="368">
        <f t="shared" si="14"/>
        <v>0</v>
      </c>
      <c r="V34" s="340">
        <f>-'OECD HFO subsidies'!B117</f>
        <v>0</v>
      </c>
      <c r="W34" s="344">
        <f t="shared" si="15"/>
        <v>0</v>
      </c>
      <c r="X34" s="163">
        <f t="shared" si="16"/>
        <v>0</v>
      </c>
      <c r="Y34" s="1294">
        <f t="shared" si="17"/>
        <v>1.3066638066638065</v>
      </c>
      <c r="Z34" s="344">
        <f t="shared" si="18"/>
        <v>124269999.99999999</v>
      </c>
    </row>
    <row r="35" spans="1:28" ht="15.9" thickTop="1" x14ac:dyDescent="0.6">
      <c r="A35" s="49" t="s">
        <v>883</v>
      </c>
      <c r="B35" s="50"/>
      <c r="C35" s="290"/>
      <c r="D35" s="961"/>
      <c r="E35" s="1448"/>
      <c r="F35" s="348"/>
      <c r="G35" s="391"/>
      <c r="H35" s="1286"/>
      <c r="I35" s="295"/>
      <c r="J35" s="304"/>
      <c r="K35" s="393"/>
      <c r="L35" s="306"/>
      <c r="M35" s="322"/>
      <c r="N35" s="329"/>
      <c r="O35" s="320"/>
      <c r="P35" s="320"/>
      <c r="Q35" s="314"/>
      <c r="R35" s="1053"/>
      <c r="S35" s="1047"/>
      <c r="T35" s="310"/>
      <c r="U35" s="366"/>
      <c r="V35" s="336"/>
      <c r="W35" s="342"/>
      <c r="X35" s="111"/>
      <c r="Y35" s="1293"/>
      <c r="Z35" s="342"/>
    </row>
    <row r="36" spans="1:28" x14ac:dyDescent="0.6">
      <c r="A36" s="72">
        <f>A34+1</f>
        <v>30</v>
      </c>
      <c r="B36" s="50" t="s">
        <v>46</v>
      </c>
      <c r="C36" s="290">
        <v>11103</v>
      </c>
      <c r="D36" s="961">
        <v>8782</v>
      </c>
      <c r="E36" s="961">
        <f>315</f>
        <v>315</v>
      </c>
      <c r="F36" s="348">
        <f>(C36+D36+E36)*Assumptions!$C$41</f>
        <v>5650344000</v>
      </c>
      <c r="G36" s="399">
        <f>Assumptions!$H$11</f>
        <v>0.152529</v>
      </c>
      <c r="H36" s="1286">
        <f>Assumptions!$C$40</f>
        <v>279.72000000000003</v>
      </c>
      <c r="I36" s="295"/>
      <c r="J36" s="1163">
        <f>IF(F36=0,0,Assumptions!$C$97)</f>
        <v>1.3066638066638065</v>
      </c>
      <c r="K36" s="1058">
        <f>1.2*Assumptions!C115</f>
        <v>4.5424920000000002</v>
      </c>
      <c r="L36" s="306">
        <f>K36*G36</f>
        <v>0.692861762268</v>
      </c>
      <c r="M36" s="322"/>
      <c r="N36" s="329"/>
      <c r="O36" s="320"/>
      <c r="P36" s="320"/>
      <c r="Q36" s="314">
        <f>N36*F36</f>
        <v>0</v>
      </c>
      <c r="R36" s="1053">
        <f t="shared" si="1"/>
        <v>0.692861762268</v>
      </c>
      <c r="S36" s="1047">
        <f>R36*F36</f>
        <v>3914907301.2604203</v>
      </c>
      <c r="T36" s="310">
        <f t="shared" ref="T36:T39" si="20">O36+L36</f>
        <v>0.692861762268</v>
      </c>
      <c r="U36" s="366">
        <f>F36*T36</f>
        <v>3914907301.2604203</v>
      </c>
      <c r="V36" s="336">
        <f>-'OECD HFO subsidies'!B119</f>
        <v>0</v>
      </c>
      <c r="W36" s="342">
        <f>V36*G36</f>
        <v>0</v>
      </c>
      <c r="X36" s="111">
        <f>U36+W36</f>
        <v>3914907301.2604203</v>
      </c>
      <c r="Y36" s="1293">
        <f t="shared" si="17"/>
        <v>1.9995255689318066</v>
      </c>
      <c r="Z36" s="342">
        <f>Y36*F36+W36</f>
        <v>11298007301.26042</v>
      </c>
    </row>
    <row r="37" spans="1:28" x14ac:dyDescent="0.6">
      <c r="A37" s="46">
        <f>A36+1</f>
        <v>31</v>
      </c>
      <c r="B37" s="50" t="s">
        <v>49</v>
      </c>
      <c r="C37" s="290">
        <v>6152</v>
      </c>
      <c r="D37" s="961">
        <v>1408</v>
      </c>
      <c r="E37" s="961">
        <f>481</f>
        <v>481</v>
      </c>
      <c r="F37" s="348">
        <f>(C37+D37+E37)*Assumptions!$C$41</f>
        <v>2249228520</v>
      </c>
      <c r="G37" s="399">
        <f>Assumptions!$H$12</f>
        <v>1.5587E-2</v>
      </c>
      <c r="H37" s="1286">
        <f>Assumptions!$C$40</f>
        <v>279.72000000000003</v>
      </c>
      <c r="I37" s="1057"/>
      <c r="J37" s="1163">
        <f>IF(F37=0,0,Assumptions!$C$97)</f>
        <v>1.3066638066638065</v>
      </c>
      <c r="K37" s="1056"/>
      <c r="L37" s="306">
        <f>0.14*J37</f>
        <v>0.18293293293293295</v>
      </c>
      <c r="M37" s="322"/>
      <c r="N37" s="329"/>
      <c r="O37" s="320"/>
      <c r="P37" s="320"/>
      <c r="Q37" s="314">
        <f>N37*F37</f>
        <v>0</v>
      </c>
      <c r="R37" s="1053">
        <f t="shared" si="1"/>
        <v>0.18293293293293295</v>
      </c>
      <c r="S37" s="1047">
        <f>R37*F37</f>
        <v>411457970</v>
      </c>
      <c r="T37" s="310">
        <f t="shared" si="20"/>
        <v>0.18293293293293295</v>
      </c>
      <c r="U37" s="366">
        <f>F37*T37</f>
        <v>411457970</v>
      </c>
      <c r="V37" s="336">
        <f>-'OECD HFO subsidies'!B123</f>
        <v>0</v>
      </c>
      <c r="W37" s="342">
        <f>V37*G37</f>
        <v>0</v>
      </c>
      <c r="X37" s="111">
        <f>U37+W37</f>
        <v>411457970</v>
      </c>
      <c r="Y37" s="1293">
        <f t="shared" si="17"/>
        <v>1.4895967395967395</v>
      </c>
      <c r="Z37" s="342">
        <f>Y37*F37+W37</f>
        <v>3350443470</v>
      </c>
    </row>
    <row r="38" spans="1:28" x14ac:dyDescent="0.6">
      <c r="A38" s="46">
        <f>A37+1</f>
        <v>32</v>
      </c>
      <c r="B38" s="44" t="s">
        <v>50</v>
      </c>
      <c r="C38" s="290">
        <v>3113</v>
      </c>
      <c r="D38" s="961">
        <v>3698</v>
      </c>
      <c r="E38" s="961">
        <f>3193+269</f>
        <v>3462</v>
      </c>
      <c r="F38" s="348">
        <f>(C38+D38+E38)*Assumptions!$C$41</f>
        <v>2873563560</v>
      </c>
      <c r="G38" s="399">
        <f>Assumptions!$H$13</f>
        <v>0.30204900000000001</v>
      </c>
      <c r="H38" s="1286">
        <f>Assumptions!$C$40</f>
        <v>279.72000000000003</v>
      </c>
      <c r="I38" s="1045"/>
      <c r="J38" s="1077">
        <f>IF(F38=0,0,Assumptions!$C$97)</f>
        <v>1.3066638066638065</v>
      </c>
      <c r="K38" s="1044"/>
      <c r="L38" s="306">
        <f t="shared" si="10"/>
        <v>0</v>
      </c>
      <c r="M38" s="322"/>
      <c r="N38" s="329"/>
      <c r="O38" s="320"/>
      <c r="P38" s="320"/>
      <c r="Q38" s="314">
        <f>N38*F38</f>
        <v>0</v>
      </c>
      <c r="R38" s="1053">
        <f t="shared" si="1"/>
        <v>0</v>
      </c>
      <c r="S38" s="1047">
        <f>R38*F38</f>
        <v>0</v>
      </c>
      <c r="T38" s="310">
        <f t="shared" si="20"/>
        <v>0</v>
      </c>
      <c r="U38" s="366">
        <f>F38*T38</f>
        <v>0</v>
      </c>
      <c r="V38" s="336">
        <f>-'OECD HFO subsidies'!B125</f>
        <v>-50560494</v>
      </c>
      <c r="W38" s="342">
        <f>V38*G38</f>
        <v>-15271746.652206</v>
      </c>
      <c r="X38" s="111">
        <f t="shared" ref="X38" si="21">U38+W38</f>
        <v>-15271746.652206</v>
      </c>
      <c r="Y38" s="1293">
        <f t="shared" si="17"/>
        <v>1.3066638066638065</v>
      </c>
      <c r="Z38" s="342">
        <f>Y38*F38+W38</f>
        <v>3739509753.3477936</v>
      </c>
    </row>
    <row r="39" spans="1:28" ht="15.9" thickBot="1" x14ac:dyDescent="0.65">
      <c r="A39" s="15">
        <f>A38+1</f>
        <v>33</v>
      </c>
      <c r="B39" s="47" t="s">
        <v>51</v>
      </c>
      <c r="C39" s="291">
        <v>1010</v>
      </c>
      <c r="D39" s="962">
        <v>5020</v>
      </c>
      <c r="E39" s="962">
        <f>2396</f>
        <v>2396</v>
      </c>
      <c r="F39" s="349">
        <f>(C39+D39+E39)*Assumptions!$C$41</f>
        <v>2356920720</v>
      </c>
      <c r="G39" s="417">
        <f>Assumptions!$H$14</f>
        <v>1.7344999999999999E-2</v>
      </c>
      <c r="H39" s="1288">
        <f>Assumptions!$C$40</f>
        <v>279.72000000000003</v>
      </c>
      <c r="I39" s="296"/>
      <c r="J39" s="1055">
        <f>IF(F39=0,0,Assumptions!$C$97)</f>
        <v>1.3066638066638065</v>
      </c>
      <c r="K39" s="1076"/>
      <c r="L39" s="309">
        <f t="shared" si="10"/>
        <v>0</v>
      </c>
      <c r="M39" s="359"/>
      <c r="N39" s="334"/>
      <c r="O39" s="321"/>
      <c r="P39" s="321"/>
      <c r="Q39" s="319">
        <f>N39*F39</f>
        <v>0</v>
      </c>
      <c r="R39" s="1054">
        <f t="shared" si="1"/>
        <v>0</v>
      </c>
      <c r="S39" s="1048">
        <f>R39*F39</f>
        <v>0</v>
      </c>
      <c r="T39" s="312">
        <f t="shared" si="20"/>
        <v>0</v>
      </c>
      <c r="U39" s="368">
        <f>F39*T39</f>
        <v>0</v>
      </c>
      <c r="V39" s="340">
        <f>-'OECD HFO subsidies'!B127</f>
        <v>0</v>
      </c>
      <c r="W39" s="344">
        <f>V39*G39</f>
        <v>0</v>
      </c>
      <c r="X39" s="163">
        <f>U39+W39</f>
        <v>0</v>
      </c>
      <c r="Y39" s="1294">
        <f>J39</f>
        <v>1.3066638066638065</v>
      </c>
      <c r="Z39" s="344">
        <f>Y39*F39+W39</f>
        <v>3079702999.9999995</v>
      </c>
    </row>
    <row r="40" spans="1:28" ht="15.9" thickTop="1" x14ac:dyDescent="0.6">
      <c r="A40" s="48" t="s">
        <v>52</v>
      </c>
      <c r="B40" s="44"/>
      <c r="C40" s="290"/>
      <c r="D40" s="961"/>
      <c r="E40" s="1448"/>
      <c r="F40" s="348"/>
      <c r="G40" s="391"/>
      <c r="H40" s="1289"/>
      <c r="I40" s="293"/>
      <c r="J40" s="301"/>
      <c r="K40" s="393"/>
      <c r="L40" s="394"/>
      <c r="M40" s="322"/>
      <c r="N40" s="329"/>
      <c r="O40" s="320"/>
      <c r="P40" s="320"/>
      <c r="Q40" s="314"/>
      <c r="R40" s="1046"/>
      <c r="S40" s="1047"/>
      <c r="T40" s="395"/>
      <c r="U40" s="396"/>
      <c r="V40" s="542"/>
      <c r="W40" s="543"/>
      <c r="X40" s="573"/>
      <c r="Y40" s="571"/>
      <c r="Z40" s="548"/>
      <c r="AB40" s="55"/>
    </row>
    <row r="41" spans="1:28" x14ac:dyDescent="0.6">
      <c r="A41" s="61">
        <f>A39+1</f>
        <v>34</v>
      </c>
      <c r="B41" s="44" t="s">
        <v>48</v>
      </c>
      <c r="C41" s="290">
        <v>561</v>
      </c>
      <c r="D41" s="961">
        <v>77</v>
      </c>
      <c r="E41" s="961">
        <f>5925+381</f>
        <v>6306</v>
      </c>
      <c r="F41" s="348">
        <f>(C41+D41+E41)*Assumptions!$C$41</f>
        <v>1942375680</v>
      </c>
      <c r="G41" s="399">
        <f>Assumptions!H25</f>
        <v>5.0333999999999997E-2</v>
      </c>
      <c r="H41" s="1289">
        <f>Assumptions!$C$40</f>
        <v>279.72000000000003</v>
      </c>
      <c r="I41" s="1440">
        <v>4108</v>
      </c>
      <c r="J41" s="666">
        <f>I41/H41*G41</f>
        <v>0.73921089661089645</v>
      </c>
      <c r="K41" s="382"/>
      <c r="L41" s="394"/>
      <c r="M41" s="322"/>
      <c r="N41" s="329"/>
      <c r="O41" s="320"/>
      <c r="P41" s="320"/>
      <c r="Q41" s="314"/>
      <c r="R41" s="1046"/>
      <c r="S41" s="1047"/>
      <c r="T41" s="395"/>
      <c r="U41" s="396"/>
      <c r="V41" s="336"/>
      <c r="W41" s="342"/>
      <c r="X41" s="574"/>
      <c r="Y41" s="363">
        <f t="shared" ref="Y41:Y65" si="22">J41</f>
        <v>0.73921089661089645</v>
      </c>
      <c r="Z41" s="342">
        <f t="shared" ref="Z41:Z65" si="23">Y41*F41</f>
        <v>1435825267.9679997</v>
      </c>
    </row>
    <row r="42" spans="1:28" x14ac:dyDescent="0.6">
      <c r="A42" s="46">
        <f>A41+1</f>
        <v>35</v>
      </c>
      <c r="B42" s="44" t="s">
        <v>53</v>
      </c>
      <c r="C42" s="290">
        <v>0</v>
      </c>
      <c r="D42" s="961">
        <v>217</v>
      </c>
      <c r="E42" s="961">
        <v>0</v>
      </c>
      <c r="F42" s="348">
        <f>(C42+D42+E42)*Assumptions!$C$41</f>
        <v>60699240</v>
      </c>
      <c r="G42" s="391"/>
      <c r="H42" s="1289">
        <f>Assumptions!$C$40</f>
        <v>279.72000000000003</v>
      </c>
      <c r="I42" s="1128"/>
      <c r="J42" s="1163">
        <f>IF(F42=0,0,Assumptions!$C$97)</f>
        <v>1.3066638066638065</v>
      </c>
      <c r="K42" s="382"/>
      <c r="L42" s="394"/>
      <c r="M42" s="322"/>
      <c r="N42" s="329"/>
      <c r="O42" s="320"/>
      <c r="P42" s="320"/>
      <c r="Q42" s="314"/>
      <c r="R42" s="1046"/>
      <c r="S42" s="1047"/>
      <c r="T42" s="395"/>
      <c r="U42" s="394"/>
      <c r="V42" s="336"/>
      <c r="W42" s="342"/>
      <c r="X42" s="574"/>
      <c r="Y42" s="1043">
        <f t="shared" si="22"/>
        <v>1.3066638066638065</v>
      </c>
      <c r="Z42" s="342">
        <f t="shared" si="23"/>
        <v>79313500</v>
      </c>
    </row>
    <row r="43" spans="1:28" x14ac:dyDescent="0.6">
      <c r="A43" s="46">
        <f t="shared" ref="A43:A65" si="24">A42+1</f>
        <v>36</v>
      </c>
      <c r="B43" s="44" t="s">
        <v>54</v>
      </c>
      <c r="C43" s="290">
        <v>39</v>
      </c>
      <c r="D43" s="961">
        <v>411</v>
      </c>
      <c r="E43" s="961">
        <v>42</v>
      </c>
      <c r="F43" s="348">
        <f>(C43+D43+E43)*Assumptions!$C$41</f>
        <v>137622240</v>
      </c>
      <c r="G43" s="391"/>
      <c r="H43" s="1289">
        <f>Assumptions!$C$40</f>
        <v>279.72000000000003</v>
      </c>
      <c r="I43" s="1128"/>
      <c r="J43" s="1163">
        <f>IF(F43=0,0,Assumptions!$C$97)</f>
        <v>1.3066638066638065</v>
      </c>
      <c r="K43" s="382"/>
      <c r="L43" s="394"/>
      <c r="M43" s="322"/>
      <c r="N43" s="329"/>
      <c r="O43" s="320"/>
      <c r="P43" s="320"/>
      <c r="Q43" s="314"/>
      <c r="R43" s="1046"/>
      <c r="S43" s="1047"/>
      <c r="T43" s="395"/>
      <c r="U43" s="396"/>
      <c r="V43" s="336"/>
      <c r="W43" s="342"/>
      <c r="X43" s="574"/>
      <c r="Y43" s="1043">
        <f t="shared" si="22"/>
        <v>1.3066638066638065</v>
      </c>
      <c r="Z43" s="342">
        <f t="shared" si="23"/>
        <v>179825999.99999997</v>
      </c>
    </row>
    <row r="44" spans="1:28" s="85" customFormat="1" x14ac:dyDescent="0.6">
      <c r="A44" s="61">
        <f t="shared" si="24"/>
        <v>37</v>
      </c>
      <c r="B44" s="86" t="s">
        <v>55</v>
      </c>
      <c r="C44" s="290">
        <v>18</v>
      </c>
      <c r="D44" s="961">
        <v>0</v>
      </c>
      <c r="E44" s="961">
        <f>52+337</f>
        <v>389</v>
      </c>
      <c r="F44" s="348">
        <f>(C44+D44+E44)*Assumptions!$C$41</f>
        <v>113846040</v>
      </c>
      <c r="G44" s="1005"/>
      <c r="H44" s="1290">
        <f>Assumptions!$C$40</f>
        <v>279.72000000000003</v>
      </c>
      <c r="I44" s="1128"/>
      <c r="J44" s="1163">
        <f>IF(F44=0,0,Assumptions!$C$97)</f>
        <v>1.3066638066638065</v>
      </c>
      <c r="K44" s="393"/>
      <c r="L44" s="394"/>
      <c r="M44" s="322"/>
      <c r="N44" s="329"/>
      <c r="O44" s="320"/>
      <c r="P44" s="320"/>
      <c r="Q44" s="314"/>
      <c r="R44" s="1046"/>
      <c r="S44" s="1047"/>
      <c r="T44" s="395"/>
      <c r="U44" s="396"/>
      <c r="V44" s="1007"/>
      <c r="W44" s="847"/>
      <c r="X44" s="1008"/>
      <c r="Y44" s="1043">
        <f t="shared" si="22"/>
        <v>1.3066638066638065</v>
      </c>
      <c r="Z44" s="847">
        <f t="shared" si="23"/>
        <v>148758500</v>
      </c>
      <c r="AA44" s="506"/>
    </row>
    <row r="45" spans="1:28" s="85" customFormat="1" x14ac:dyDescent="0.6">
      <c r="A45" s="61">
        <f t="shared" si="24"/>
        <v>38</v>
      </c>
      <c r="B45" s="86" t="s">
        <v>56</v>
      </c>
      <c r="C45" s="290">
        <v>0</v>
      </c>
      <c r="D45" s="961">
        <v>83</v>
      </c>
      <c r="E45" s="961">
        <v>4</v>
      </c>
      <c r="F45" s="348">
        <f>(C45+D45+E45)*Assumptions!$C$41</f>
        <v>24335640</v>
      </c>
      <c r="G45" s="1005"/>
      <c r="H45" s="1290">
        <f>Assumptions!$C$40</f>
        <v>279.72000000000003</v>
      </c>
      <c r="I45" s="1128"/>
      <c r="J45" s="1163">
        <f>IF(F45=0,0,Assumptions!$C$97)</f>
        <v>1.3066638066638065</v>
      </c>
      <c r="K45" s="393"/>
      <c r="L45" s="394"/>
      <c r="M45" s="322"/>
      <c r="N45" s="329"/>
      <c r="O45" s="320"/>
      <c r="P45" s="320"/>
      <c r="Q45" s="314"/>
      <c r="R45" s="1046"/>
      <c r="S45" s="1047"/>
      <c r="T45" s="395"/>
      <c r="U45" s="396"/>
      <c r="V45" s="1007"/>
      <c r="W45" s="847"/>
      <c r="X45" s="1008"/>
      <c r="Y45" s="1043">
        <f t="shared" si="22"/>
        <v>1.3066638066638065</v>
      </c>
      <c r="Z45" s="847">
        <f t="shared" si="23"/>
        <v>31798499.999999996</v>
      </c>
      <c r="AA45" s="506"/>
    </row>
    <row r="46" spans="1:28" x14ac:dyDescent="0.6">
      <c r="A46" s="46">
        <f t="shared" si="24"/>
        <v>39</v>
      </c>
      <c r="B46" s="44" t="s">
        <v>57</v>
      </c>
      <c r="C46" s="290">
        <v>0</v>
      </c>
      <c r="D46" s="961">
        <v>83</v>
      </c>
      <c r="E46" s="961">
        <v>0</v>
      </c>
      <c r="F46" s="348">
        <f>(C46+D46+E46)*Assumptions!$C$41</f>
        <v>23216760</v>
      </c>
      <c r="G46" s="391"/>
      <c r="H46" s="1289">
        <f>Assumptions!$C$40</f>
        <v>279.72000000000003</v>
      </c>
      <c r="I46" s="1128"/>
      <c r="J46" s="1163">
        <f>IF(F46=0,0,Assumptions!$C$97)</f>
        <v>1.3066638066638065</v>
      </c>
      <c r="K46" s="382"/>
      <c r="L46" s="400"/>
      <c r="M46" s="323"/>
      <c r="N46" s="329"/>
      <c r="O46" s="324"/>
      <c r="P46" s="324"/>
      <c r="Q46" s="314"/>
      <c r="R46" s="1046"/>
      <c r="S46" s="1047"/>
      <c r="T46" s="401"/>
      <c r="U46" s="396"/>
      <c r="V46" s="336"/>
      <c r="W46" s="342"/>
      <c r="X46" s="574"/>
      <c r="Y46" s="1043">
        <f t="shared" si="22"/>
        <v>1.3066638066638065</v>
      </c>
      <c r="Z46" s="342">
        <f t="shared" si="23"/>
        <v>30336499.999999996</v>
      </c>
    </row>
    <row r="47" spans="1:28" x14ac:dyDescent="0.6">
      <c r="A47" s="46">
        <f t="shared" si="24"/>
        <v>40</v>
      </c>
      <c r="B47" s="44" t="s">
        <v>58</v>
      </c>
      <c r="C47" s="290">
        <v>397</v>
      </c>
      <c r="D47" s="961">
        <v>350</v>
      </c>
      <c r="E47" s="961">
        <v>1411</v>
      </c>
      <c r="F47" s="348">
        <f>(C47+D47+E47)*Assumptions!$C$41</f>
        <v>603635760</v>
      </c>
      <c r="G47" s="391"/>
      <c r="H47" s="1289">
        <f>Assumptions!$C$40</f>
        <v>279.72000000000003</v>
      </c>
      <c r="I47" s="1128"/>
      <c r="J47" s="1163">
        <f>IF(F47=0,0,Assumptions!$C$97)</f>
        <v>1.3066638066638065</v>
      </c>
      <c r="K47" s="382"/>
      <c r="L47" s="392"/>
      <c r="M47" s="325"/>
      <c r="N47" s="329"/>
      <c r="O47" s="281"/>
      <c r="P47" s="281"/>
      <c r="Q47" s="314"/>
      <c r="R47" s="1046"/>
      <c r="S47" s="1047"/>
      <c r="T47" s="402"/>
      <c r="U47" s="403"/>
      <c r="V47" s="336"/>
      <c r="W47" s="342"/>
      <c r="X47" s="574"/>
      <c r="Y47" s="1043">
        <f t="shared" si="22"/>
        <v>1.3066638066638065</v>
      </c>
      <c r="Z47" s="342">
        <f t="shared" si="23"/>
        <v>788748999.99999988</v>
      </c>
    </row>
    <row r="48" spans="1:28" x14ac:dyDescent="0.6">
      <c r="A48" s="46">
        <f t="shared" si="24"/>
        <v>41</v>
      </c>
      <c r="B48" s="44" t="s">
        <v>59</v>
      </c>
      <c r="C48" s="290">
        <v>2440</v>
      </c>
      <c r="D48" s="961">
        <v>139</v>
      </c>
      <c r="E48" s="961">
        <v>8958</v>
      </c>
      <c r="F48" s="348">
        <f>(C48+D48+E48)*Assumptions!$C$41</f>
        <v>3227129640</v>
      </c>
      <c r="G48" s="391"/>
      <c r="H48" s="1289">
        <f>Assumptions!$C$40</f>
        <v>279.72000000000003</v>
      </c>
      <c r="I48" s="1128"/>
      <c r="J48" s="1163">
        <f>IF(F48=0,0,Assumptions!$C$97)</f>
        <v>1.3066638066638065</v>
      </c>
      <c r="K48" s="382"/>
      <c r="L48" s="392"/>
      <c r="M48" s="325"/>
      <c r="N48" s="329"/>
      <c r="O48" s="281"/>
      <c r="P48" s="281"/>
      <c r="Q48" s="314"/>
      <c r="R48" s="1046"/>
      <c r="S48" s="1047"/>
      <c r="T48" s="402"/>
      <c r="U48" s="396"/>
      <c r="V48" s="336"/>
      <c r="W48" s="342"/>
      <c r="X48" s="574"/>
      <c r="Y48" s="1043">
        <f t="shared" si="22"/>
        <v>1.3066638066638065</v>
      </c>
      <c r="Z48" s="342">
        <f t="shared" si="23"/>
        <v>4216773499.9999995</v>
      </c>
    </row>
    <row r="49" spans="1:27" x14ac:dyDescent="0.6">
      <c r="A49" s="46">
        <f t="shared" si="24"/>
        <v>42</v>
      </c>
      <c r="B49" s="44" t="s">
        <v>60</v>
      </c>
      <c r="C49" s="290">
        <v>67</v>
      </c>
      <c r="D49" s="961">
        <v>109</v>
      </c>
      <c r="E49" s="961">
        <v>0</v>
      </c>
      <c r="F49" s="348">
        <f>(C49+D49+E49)*Assumptions!$C$41</f>
        <v>49230720</v>
      </c>
      <c r="G49" s="391"/>
      <c r="H49" s="1289">
        <f>Assumptions!$C$40</f>
        <v>279.72000000000003</v>
      </c>
      <c r="I49" s="1128"/>
      <c r="J49" s="1163">
        <f>IF(F49=0,0,Assumptions!$C$97)</f>
        <v>1.3066638066638065</v>
      </c>
      <c r="K49" s="382"/>
      <c r="L49" s="392"/>
      <c r="M49" s="325"/>
      <c r="N49" s="329"/>
      <c r="O49" s="281"/>
      <c r="P49" s="281"/>
      <c r="Q49" s="314"/>
      <c r="R49" s="1046"/>
      <c r="S49" s="1047"/>
      <c r="T49" s="402"/>
      <c r="U49" s="396"/>
      <c r="V49" s="336"/>
      <c r="W49" s="342"/>
      <c r="X49" s="574"/>
      <c r="Y49" s="1043">
        <f t="shared" si="22"/>
        <v>1.3066638066638065</v>
      </c>
      <c r="Z49" s="342">
        <f t="shared" si="23"/>
        <v>64327999.999999993</v>
      </c>
    </row>
    <row r="50" spans="1:27" s="85" customFormat="1" x14ac:dyDescent="0.6">
      <c r="A50" s="61">
        <f t="shared" si="24"/>
        <v>43</v>
      </c>
      <c r="B50" s="86" t="s">
        <v>61</v>
      </c>
      <c r="C50" s="290">
        <v>680</v>
      </c>
      <c r="D50" s="961">
        <v>130</v>
      </c>
      <c r="E50" s="961">
        <v>854</v>
      </c>
      <c r="F50" s="348">
        <f>(C50+D50+E50)*Assumptions!$C$41</f>
        <v>465454080</v>
      </c>
      <c r="G50" s="1009"/>
      <c r="H50" s="1290">
        <f>Assumptions!$C$40</f>
        <v>279.72000000000003</v>
      </c>
      <c r="I50" s="1128"/>
      <c r="J50" s="1163">
        <f>IF(F50=0,0,Assumptions!$C$97)</f>
        <v>1.3066638066638065</v>
      </c>
      <c r="K50" s="393"/>
      <c r="L50" s="394"/>
      <c r="M50" s="322"/>
      <c r="N50" s="329"/>
      <c r="O50" s="320"/>
      <c r="P50" s="320"/>
      <c r="Q50" s="314"/>
      <c r="R50" s="1046"/>
      <c r="S50" s="1047"/>
      <c r="T50" s="395"/>
      <c r="U50" s="396"/>
      <c r="V50" s="1007"/>
      <c r="W50" s="847"/>
      <c r="X50" s="1008"/>
      <c r="Y50" s="1043">
        <f t="shared" si="22"/>
        <v>1.3066638066638065</v>
      </c>
      <c r="Z50" s="847">
        <f t="shared" si="23"/>
        <v>608192000</v>
      </c>
      <c r="AA50" s="506"/>
    </row>
    <row r="51" spans="1:27" s="85" customFormat="1" x14ac:dyDescent="0.6">
      <c r="A51" s="61">
        <f t="shared" si="24"/>
        <v>44</v>
      </c>
      <c r="B51" s="86" t="s">
        <v>62</v>
      </c>
      <c r="C51" s="290">
        <v>212</v>
      </c>
      <c r="D51" s="961">
        <v>224</v>
      </c>
      <c r="E51" s="961">
        <v>4977</v>
      </c>
      <c r="F51" s="348">
        <f>(C51+D51+E51)*Assumptions!$C$41</f>
        <v>1514124360</v>
      </c>
      <c r="G51" s="1005"/>
      <c r="H51" s="1290">
        <f>Assumptions!$C$40</f>
        <v>279.72000000000003</v>
      </c>
      <c r="I51" s="1128"/>
      <c r="J51" s="1163">
        <f>IF(F51=0,0,Assumptions!$C$97)</f>
        <v>1.3066638066638065</v>
      </c>
      <c r="K51" s="393"/>
      <c r="L51" s="394"/>
      <c r="M51" s="322"/>
      <c r="N51" s="329"/>
      <c r="O51" s="320"/>
      <c r="P51" s="320"/>
      <c r="Q51" s="314"/>
      <c r="R51" s="1046"/>
      <c r="S51" s="1047"/>
      <c r="T51" s="395"/>
      <c r="U51" s="396"/>
      <c r="V51" s="1007"/>
      <c r="W51" s="847"/>
      <c r="X51" s="1008"/>
      <c r="Y51" s="1043">
        <f t="shared" si="22"/>
        <v>1.3066638066638065</v>
      </c>
      <c r="Z51" s="847">
        <f t="shared" si="23"/>
        <v>1978451499.9999998</v>
      </c>
      <c r="AA51" s="506"/>
    </row>
    <row r="52" spans="1:27" s="85" customFormat="1" x14ac:dyDescent="0.6">
      <c r="A52" s="61">
        <f t="shared" si="24"/>
        <v>45</v>
      </c>
      <c r="B52" s="86" t="s">
        <v>63</v>
      </c>
      <c r="C52" s="290">
        <v>6088</v>
      </c>
      <c r="D52" s="961">
        <v>4578</v>
      </c>
      <c r="E52" s="961">
        <v>6560</v>
      </c>
      <c r="F52" s="348">
        <f>(C52+D52+E52)*Assumptions!$C$41</f>
        <v>4818456720</v>
      </c>
      <c r="G52" s="1005"/>
      <c r="H52" s="1290">
        <f>Assumptions!$C$40</f>
        <v>279.72000000000003</v>
      </c>
      <c r="I52" s="1128"/>
      <c r="J52" s="1163">
        <f>IF(F52=0,0,Assumptions!$C$97)</f>
        <v>1.3066638066638065</v>
      </c>
      <c r="K52" s="393"/>
      <c r="L52" s="394"/>
      <c r="M52" s="322"/>
      <c r="N52" s="329"/>
      <c r="O52" s="320"/>
      <c r="P52" s="320"/>
      <c r="Q52" s="314"/>
      <c r="R52" s="1046"/>
      <c r="S52" s="1047"/>
      <c r="T52" s="395"/>
      <c r="U52" s="396"/>
      <c r="V52" s="1007"/>
      <c r="W52" s="847"/>
      <c r="X52" s="1008"/>
      <c r="Y52" s="1043">
        <f t="shared" si="22"/>
        <v>1.3066638066638065</v>
      </c>
      <c r="Z52" s="847">
        <f t="shared" si="23"/>
        <v>6296102999.999999</v>
      </c>
      <c r="AA52" s="70"/>
    </row>
    <row r="53" spans="1:27" s="85" customFormat="1" x14ac:dyDescent="0.6">
      <c r="A53" s="61">
        <f t="shared" si="24"/>
        <v>46</v>
      </c>
      <c r="B53" s="86" t="s">
        <v>64</v>
      </c>
      <c r="C53" s="290">
        <v>1575</v>
      </c>
      <c r="D53" s="961">
        <v>0</v>
      </c>
      <c r="E53" s="961">
        <v>457</v>
      </c>
      <c r="F53" s="348">
        <f>(C53+D53+E53)*Assumptions!$C$41</f>
        <v>568391040</v>
      </c>
      <c r="G53" s="1005"/>
      <c r="H53" s="1290">
        <f>Assumptions!$C$40</f>
        <v>279.72000000000003</v>
      </c>
      <c r="I53" s="1128"/>
      <c r="J53" s="1163">
        <f>IF(F53=0,0,Assumptions!$C$97)</f>
        <v>1.3066638066638065</v>
      </c>
      <c r="K53" s="393"/>
      <c r="L53" s="394"/>
      <c r="M53" s="322"/>
      <c r="N53" s="329"/>
      <c r="O53" s="320"/>
      <c r="P53" s="320"/>
      <c r="Q53" s="314"/>
      <c r="R53" s="1046"/>
      <c r="S53" s="1047"/>
      <c r="T53" s="395"/>
      <c r="U53" s="396"/>
      <c r="V53" s="1007"/>
      <c r="W53" s="847"/>
      <c r="X53" s="1008"/>
      <c r="Y53" s="1043">
        <f t="shared" si="22"/>
        <v>1.3066638066638065</v>
      </c>
      <c r="Z53" s="847">
        <f t="shared" si="23"/>
        <v>742695999.99999988</v>
      </c>
      <c r="AA53" s="506"/>
    </row>
    <row r="54" spans="1:27" s="85" customFormat="1" x14ac:dyDescent="0.6">
      <c r="A54" s="61">
        <f t="shared" si="24"/>
        <v>47</v>
      </c>
      <c r="B54" s="86" t="s">
        <v>65</v>
      </c>
      <c r="C54" s="290">
        <v>0</v>
      </c>
      <c r="D54" s="961">
        <v>1295</v>
      </c>
      <c r="E54" s="961">
        <v>5862</v>
      </c>
      <c r="F54" s="348">
        <f>(C54+D54+E54)*Assumptions!$C$41</f>
        <v>2001956040</v>
      </c>
      <c r="G54" s="1005"/>
      <c r="H54" s="1290">
        <f>Assumptions!$C$40</f>
        <v>279.72000000000003</v>
      </c>
      <c r="I54" s="1128"/>
      <c r="J54" s="1163">
        <f>IF(F54=0,0,Assumptions!$C$97)</f>
        <v>1.3066638066638065</v>
      </c>
      <c r="K54" s="393"/>
      <c r="L54" s="394"/>
      <c r="M54" s="322"/>
      <c r="N54" s="329"/>
      <c r="O54" s="320"/>
      <c r="P54" s="320"/>
      <c r="Q54" s="314"/>
      <c r="R54" s="1046"/>
      <c r="S54" s="1047"/>
      <c r="T54" s="395"/>
      <c r="U54" s="396"/>
      <c r="V54" s="1007"/>
      <c r="W54" s="1010"/>
      <c r="X54" s="1011"/>
      <c r="Y54" s="1043">
        <f t="shared" si="22"/>
        <v>1.3066638066638065</v>
      </c>
      <c r="Z54" s="847">
        <f t="shared" si="23"/>
        <v>2615883500</v>
      </c>
      <c r="AA54" s="70"/>
    </row>
    <row r="55" spans="1:27" s="85" customFormat="1" x14ac:dyDescent="0.6">
      <c r="A55" s="61">
        <f t="shared" si="24"/>
        <v>48</v>
      </c>
      <c r="B55" s="86" t="s">
        <v>66</v>
      </c>
      <c r="C55" s="290">
        <v>253</v>
      </c>
      <c r="D55" s="961">
        <v>83</v>
      </c>
      <c r="E55" s="961">
        <v>1056</v>
      </c>
      <c r="F55" s="348">
        <f>(C55+D55+E55)*Assumptions!$C$41</f>
        <v>389370240</v>
      </c>
      <c r="G55" s="1005"/>
      <c r="H55" s="1290">
        <f>Assumptions!$C$40</f>
        <v>279.72000000000003</v>
      </c>
      <c r="I55" s="1128"/>
      <c r="J55" s="1163">
        <f>IF(F55=0,0,Assumptions!$C$97)</f>
        <v>1.3066638066638065</v>
      </c>
      <c r="K55" s="393"/>
      <c r="L55" s="394"/>
      <c r="M55" s="322"/>
      <c r="N55" s="329"/>
      <c r="O55" s="320"/>
      <c r="P55" s="320"/>
      <c r="Q55" s="314"/>
      <c r="R55" s="1046"/>
      <c r="S55" s="1047"/>
      <c r="T55" s="395"/>
      <c r="U55" s="396"/>
      <c r="V55" s="1007"/>
      <c r="W55" s="1010"/>
      <c r="X55" s="1011"/>
      <c r="Y55" s="1043">
        <f t="shared" si="22"/>
        <v>1.3066638066638065</v>
      </c>
      <c r="Z55" s="847">
        <f t="shared" si="23"/>
        <v>508775999.99999994</v>
      </c>
      <c r="AA55" s="506"/>
    </row>
    <row r="56" spans="1:27" s="85" customFormat="1" x14ac:dyDescent="0.6">
      <c r="A56" s="61">
        <f t="shared" si="24"/>
        <v>49</v>
      </c>
      <c r="B56" s="86" t="s">
        <v>67</v>
      </c>
      <c r="C56" s="290">
        <v>703</v>
      </c>
      <c r="D56" s="961">
        <v>348</v>
      </c>
      <c r="E56" s="961">
        <v>102</v>
      </c>
      <c r="F56" s="348">
        <f>(C56+D56+E56)*Assumptions!$C$41</f>
        <v>322517160</v>
      </c>
      <c r="G56" s="1005"/>
      <c r="H56" s="1290">
        <f>Assumptions!$C$40</f>
        <v>279.72000000000003</v>
      </c>
      <c r="I56" s="1128"/>
      <c r="J56" s="1163">
        <f>IF(F56=0,0,Assumptions!$C$97)</f>
        <v>1.3066638066638065</v>
      </c>
      <c r="K56" s="393"/>
      <c r="L56" s="394"/>
      <c r="M56" s="322"/>
      <c r="N56" s="329"/>
      <c r="O56" s="320"/>
      <c r="P56" s="320"/>
      <c r="Q56" s="314"/>
      <c r="R56" s="1046"/>
      <c r="S56" s="1047"/>
      <c r="T56" s="395"/>
      <c r="U56" s="396"/>
      <c r="V56" s="1007"/>
      <c r="W56" s="1010"/>
      <c r="X56" s="1011"/>
      <c r="Y56" s="1043">
        <f t="shared" si="22"/>
        <v>1.3066638066638065</v>
      </c>
      <c r="Z56" s="847">
        <f t="shared" si="23"/>
        <v>421421499.99999994</v>
      </c>
      <c r="AA56" s="506"/>
    </row>
    <row r="57" spans="1:27" s="85" customFormat="1" x14ac:dyDescent="0.6">
      <c r="A57" s="61">
        <f t="shared" si="24"/>
        <v>50</v>
      </c>
      <c r="B57" s="86" t="s">
        <v>68</v>
      </c>
      <c r="C57" s="290">
        <v>451</v>
      </c>
      <c r="D57" s="961">
        <v>259</v>
      </c>
      <c r="E57" s="961">
        <v>0</v>
      </c>
      <c r="F57" s="348">
        <f>(C57+D57+E57)*Assumptions!$C$41</f>
        <v>198601200</v>
      </c>
      <c r="G57" s="1005"/>
      <c r="H57" s="1290">
        <f>Assumptions!$C$40</f>
        <v>279.72000000000003</v>
      </c>
      <c r="I57" s="1128"/>
      <c r="J57" s="1163">
        <f>IF(F57=0,0,Assumptions!$C$97)</f>
        <v>1.3066638066638065</v>
      </c>
      <c r="K57" s="393"/>
      <c r="L57" s="394"/>
      <c r="M57" s="322"/>
      <c r="N57" s="329"/>
      <c r="O57" s="320"/>
      <c r="P57" s="320"/>
      <c r="Q57" s="314"/>
      <c r="R57" s="1046"/>
      <c r="S57" s="1047"/>
      <c r="T57" s="395"/>
      <c r="U57" s="396"/>
      <c r="V57" s="1007"/>
      <c r="W57" s="1010"/>
      <c r="X57" s="1011"/>
      <c r="Y57" s="1043">
        <f t="shared" si="22"/>
        <v>1.3066638066638065</v>
      </c>
      <c r="Z57" s="847">
        <f t="shared" si="23"/>
        <v>259504999.99999997</v>
      </c>
      <c r="AA57" s="506"/>
    </row>
    <row r="58" spans="1:27" s="85" customFormat="1" x14ac:dyDescent="0.6">
      <c r="A58" s="61">
        <f t="shared" si="24"/>
        <v>51</v>
      </c>
      <c r="B58" s="86" t="s">
        <v>695</v>
      </c>
      <c r="C58" s="290">
        <v>0</v>
      </c>
      <c r="D58" s="961">
        <v>1290</v>
      </c>
      <c r="E58" s="961">
        <v>0</v>
      </c>
      <c r="F58" s="348">
        <f>(C58+D58+E58)*Assumptions!$C$41</f>
        <v>360838800</v>
      </c>
      <c r="G58" s="1005"/>
      <c r="H58" s="1290">
        <f>Assumptions!$C$40</f>
        <v>279.72000000000003</v>
      </c>
      <c r="I58" s="1128"/>
      <c r="J58" s="1163">
        <f>IF(F58=0,0,Assumptions!$C$97)</f>
        <v>1.3066638066638065</v>
      </c>
      <c r="K58" s="393"/>
      <c r="L58" s="394"/>
      <c r="M58" s="322"/>
      <c r="N58" s="329"/>
      <c r="O58" s="320"/>
      <c r="P58" s="320"/>
      <c r="Q58" s="314"/>
      <c r="R58" s="1046"/>
      <c r="S58" s="1047"/>
      <c r="T58" s="395"/>
      <c r="U58" s="396"/>
      <c r="V58" s="1007"/>
      <c r="W58" s="1010"/>
      <c r="X58" s="1011"/>
      <c r="Y58" s="1043">
        <f t="shared" si="22"/>
        <v>1.3066638066638065</v>
      </c>
      <c r="Z58" s="847">
        <f t="shared" si="23"/>
        <v>471494999.99999994</v>
      </c>
      <c r="AA58" s="506"/>
    </row>
    <row r="59" spans="1:27" s="85" customFormat="1" x14ac:dyDescent="0.6">
      <c r="A59" s="61">
        <f t="shared" si="24"/>
        <v>52</v>
      </c>
      <c r="B59" s="86" t="s">
        <v>69</v>
      </c>
      <c r="C59" s="290">
        <v>0</v>
      </c>
      <c r="D59" s="961">
        <v>0</v>
      </c>
      <c r="E59" s="961">
        <v>0</v>
      </c>
      <c r="F59" s="348">
        <f>(C59+D59+E59)*Assumptions!$C$41</f>
        <v>0</v>
      </c>
      <c r="G59" s="1005"/>
      <c r="H59" s="1290">
        <f>Assumptions!$C$40</f>
        <v>279.72000000000003</v>
      </c>
      <c r="I59" s="1128"/>
      <c r="J59" s="1163">
        <f>IF(F59=0,0,Assumptions!$C$97)</f>
        <v>0</v>
      </c>
      <c r="K59" s="393"/>
      <c r="L59" s="394"/>
      <c r="M59" s="322"/>
      <c r="N59" s="329"/>
      <c r="O59" s="320"/>
      <c r="P59" s="320"/>
      <c r="Q59" s="314"/>
      <c r="R59" s="1046"/>
      <c r="S59" s="1047"/>
      <c r="T59" s="395"/>
      <c r="U59" s="396"/>
      <c r="V59" s="1007"/>
      <c r="W59" s="1010"/>
      <c r="X59" s="1011"/>
      <c r="Y59" s="1043">
        <f t="shared" si="22"/>
        <v>0</v>
      </c>
      <c r="Z59" s="847">
        <f t="shared" si="23"/>
        <v>0</v>
      </c>
      <c r="AA59" s="70"/>
    </row>
    <row r="60" spans="1:27" s="85" customFormat="1" x14ac:dyDescent="0.6">
      <c r="A60" s="61">
        <f t="shared" si="24"/>
        <v>53</v>
      </c>
      <c r="B60" s="86" t="s">
        <v>70</v>
      </c>
      <c r="C60" s="290">
        <v>13907</v>
      </c>
      <c r="D60" s="961">
        <v>3179</v>
      </c>
      <c r="E60" s="961">
        <v>7119</v>
      </c>
      <c r="F60" s="348">
        <f>(C60+D60+E60)*Assumptions!$C$41</f>
        <v>6770622600</v>
      </c>
      <c r="G60" s="1005"/>
      <c r="H60" s="1290">
        <f>Assumptions!$C$40</f>
        <v>279.72000000000003</v>
      </c>
      <c r="I60" s="1128"/>
      <c r="J60" s="1163">
        <f>IF(F60=0,0,Assumptions!$C$97)</f>
        <v>1.3066638066638065</v>
      </c>
      <c r="K60" s="393"/>
      <c r="L60" s="394"/>
      <c r="M60" s="322"/>
      <c r="N60" s="329"/>
      <c r="O60" s="320"/>
      <c r="P60" s="320"/>
      <c r="Q60" s="314"/>
      <c r="R60" s="1046"/>
      <c r="S60" s="1047"/>
      <c r="T60" s="395"/>
      <c r="U60" s="396"/>
      <c r="V60" s="1007"/>
      <c r="W60" s="1010"/>
      <c r="X60" s="1011"/>
      <c r="Y60" s="1043">
        <f t="shared" si="22"/>
        <v>1.3066638066638065</v>
      </c>
      <c r="Z60" s="847">
        <f t="shared" si="23"/>
        <v>8846927500</v>
      </c>
      <c r="AA60" s="70"/>
    </row>
    <row r="61" spans="1:27" s="85" customFormat="1" x14ac:dyDescent="0.6">
      <c r="A61" s="61">
        <f t="shared" si="24"/>
        <v>54</v>
      </c>
      <c r="B61" s="86" t="s">
        <v>71</v>
      </c>
      <c r="C61" s="290">
        <v>0</v>
      </c>
      <c r="D61" s="961">
        <v>299</v>
      </c>
      <c r="E61" s="961">
        <v>0</v>
      </c>
      <c r="F61" s="348">
        <f>(C61+D61+E61)*Assumptions!$C$41</f>
        <v>83636280</v>
      </c>
      <c r="G61" s="1005"/>
      <c r="H61" s="1290">
        <f>Assumptions!$C$40</f>
        <v>279.72000000000003</v>
      </c>
      <c r="I61" s="1128"/>
      <c r="J61" s="1163">
        <f>IF(F61=0,0,Assumptions!$C$97)</f>
        <v>1.3066638066638065</v>
      </c>
      <c r="K61" s="393"/>
      <c r="L61" s="394"/>
      <c r="M61" s="322"/>
      <c r="N61" s="329"/>
      <c r="O61" s="320"/>
      <c r="P61" s="320"/>
      <c r="Q61" s="314"/>
      <c r="R61" s="1046"/>
      <c r="S61" s="1047"/>
      <c r="T61" s="395"/>
      <c r="U61" s="396"/>
      <c r="V61" s="1007"/>
      <c r="W61" s="1010"/>
      <c r="X61" s="1011"/>
      <c r="Y61" s="1043">
        <f t="shared" si="22"/>
        <v>1.3066638066638065</v>
      </c>
      <c r="Z61" s="847">
        <f t="shared" si="23"/>
        <v>109284499.99999999</v>
      </c>
      <c r="AA61" s="506"/>
    </row>
    <row r="62" spans="1:27" s="85" customFormat="1" x14ac:dyDescent="0.6">
      <c r="A62" s="61">
        <f t="shared" si="24"/>
        <v>55</v>
      </c>
      <c r="B62" s="86" t="s">
        <v>72</v>
      </c>
      <c r="C62" s="290">
        <v>931</v>
      </c>
      <c r="D62" s="961">
        <v>0</v>
      </c>
      <c r="E62" s="961">
        <v>0</v>
      </c>
      <c r="F62" s="348">
        <f>(C62+D62+E62)*Assumptions!$C$41</f>
        <v>260419320</v>
      </c>
      <c r="G62" s="1005"/>
      <c r="H62" s="1290">
        <f>Assumptions!$C$40</f>
        <v>279.72000000000003</v>
      </c>
      <c r="I62" s="1128"/>
      <c r="J62" s="1163">
        <f>IF(F62=0,0,Assumptions!$C$97)</f>
        <v>1.3066638066638065</v>
      </c>
      <c r="K62" s="393"/>
      <c r="L62" s="394"/>
      <c r="M62" s="322"/>
      <c r="N62" s="329"/>
      <c r="O62" s="320"/>
      <c r="P62" s="320"/>
      <c r="Q62" s="314"/>
      <c r="R62" s="1046"/>
      <c r="S62" s="1047"/>
      <c r="T62" s="395"/>
      <c r="U62" s="396"/>
      <c r="V62" s="1007"/>
      <c r="W62" s="1010"/>
      <c r="X62" s="1011"/>
      <c r="Y62" s="1043">
        <f t="shared" si="22"/>
        <v>1.3066638066638065</v>
      </c>
      <c r="Z62" s="847">
        <f t="shared" si="23"/>
        <v>340280499.99999994</v>
      </c>
      <c r="AA62" s="506"/>
    </row>
    <row r="63" spans="1:27" s="85" customFormat="1" x14ac:dyDescent="0.6">
      <c r="A63" s="61">
        <f t="shared" si="24"/>
        <v>56</v>
      </c>
      <c r="B63" s="86" t="s">
        <v>73</v>
      </c>
      <c r="C63" s="290">
        <v>1339</v>
      </c>
      <c r="D63" s="961">
        <v>15699</v>
      </c>
      <c r="E63" s="961">
        <v>50</v>
      </c>
      <c r="F63" s="348">
        <f>(C63+D63+E63)*Assumptions!$C$41</f>
        <v>4779855360</v>
      </c>
      <c r="G63" s="1005"/>
      <c r="H63" s="1290">
        <f>Assumptions!$C$40</f>
        <v>279.72000000000003</v>
      </c>
      <c r="I63" s="1128"/>
      <c r="J63" s="1163">
        <f>IF(F63=0,0,Assumptions!$C$97)</f>
        <v>1.3066638066638065</v>
      </c>
      <c r="K63" s="393"/>
      <c r="L63" s="394"/>
      <c r="M63" s="322"/>
      <c r="N63" s="329"/>
      <c r="O63" s="320"/>
      <c r="P63" s="320"/>
      <c r="Q63" s="314"/>
      <c r="R63" s="1046"/>
      <c r="S63" s="1047"/>
      <c r="T63" s="395"/>
      <c r="U63" s="396"/>
      <c r="V63" s="1007"/>
      <c r="W63" s="1010"/>
      <c r="X63" s="1011"/>
      <c r="Y63" s="1043">
        <f t="shared" si="22"/>
        <v>1.3066638066638065</v>
      </c>
      <c r="Z63" s="847">
        <f t="shared" si="23"/>
        <v>6245663999.999999</v>
      </c>
      <c r="AA63" s="70"/>
    </row>
    <row r="64" spans="1:27" s="85" customFormat="1" x14ac:dyDescent="0.6">
      <c r="A64" s="61">
        <f t="shared" si="24"/>
        <v>57</v>
      </c>
      <c r="B64" s="86" t="s">
        <v>74</v>
      </c>
      <c r="C64" s="290">
        <v>141</v>
      </c>
      <c r="D64" s="961">
        <v>0</v>
      </c>
      <c r="E64" s="961">
        <f>19+25</f>
        <v>44</v>
      </c>
      <c r="F64" s="348">
        <f>(C64+D64+E64)*Assumptions!$C$41</f>
        <v>51748200</v>
      </c>
      <c r="G64" s="1005"/>
      <c r="H64" s="1290">
        <f>Assumptions!$C$40</f>
        <v>279.72000000000003</v>
      </c>
      <c r="I64" s="1128"/>
      <c r="J64" s="1163">
        <f>IF(F64=0,0,Assumptions!$C$97)</f>
        <v>1.3066638066638065</v>
      </c>
      <c r="K64" s="393"/>
      <c r="L64" s="394"/>
      <c r="M64" s="322"/>
      <c r="N64" s="329"/>
      <c r="O64" s="320"/>
      <c r="P64" s="320"/>
      <c r="Q64" s="314"/>
      <c r="R64" s="1046"/>
      <c r="S64" s="1047"/>
      <c r="T64" s="395"/>
      <c r="U64" s="396"/>
      <c r="V64" s="1007"/>
      <c r="W64" s="1010"/>
      <c r="X64" s="1011"/>
      <c r="Y64" s="1043">
        <f t="shared" si="22"/>
        <v>1.3066638066638065</v>
      </c>
      <c r="Z64" s="847">
        <f t="shared" si="23"/>
        <v>67617500</v>
      </c>
      <c r="AA64" s="506"/>
    </row>
    <row r="65" spans="1:27" s="85" customFormat="1" x14ac:dyDescent="0.6">
      <c r="A65" s="63">
        <f t="shared" si="24"/>
        <v>58</v>
      </c>
      <c r="B65" s="90" t="s">
        <v>75</v>
      </c>
      <c r="C65" s="292">
        <v>977</v>
      </c>
      <c r="D65" s="963">
        <v>772</v>
      </c>
      <c r="E65" s="963">
        <v>620</v>
      </c>
      <c r="F65" s="350">
        <f>(C65+D65+E65)*Assumptions!$C$41</f>
        <v>662656680</v>
      </c>
      <c r="G65" s="1012"/>
      <c r="H65" s="1291">
        <f>Assumptions!$C$40</f>
        <v>279.72000000000003</v>
      </c>
      <c r="I65" s="1129"/>
      <c r="J65" s="1164">
        <f>IF(F65=0,0,Assumptions!$C$97)</f>
        <v>1.3066638066638065</v>
      </c>
      <c r="K65" s="819"/>
      <c r="L65" s="858"/>
      <c r="M65" s="967"/>
      <c r="N65" s="335"/>
      <c r="O65" s="1014"/>
      <c r="P65" s="1014"/>
      <c r="Q65" s="328"/>
      <c r="R65" s="1049"/>
      <c r="S65" s="1050"/>
      <c r="T65" s="1015"/>
      <c r="U65" s="409"/>
      <c r="V65" s="1016"/>
      <c r="W65" s="1017"/>
      <c r="X65" s="1018"/>
      <c r="Y65" s="1172">
        <f t="shared" si="22"/>
        <v>1.3066638066638065</v>
      </c>
      <c r="Z65" s="1019">
        <f t="shared" si="23"/>
        <v>865869499.99999988</v>
      </c>
      <c r="AA65" s="506"/>
    </row>
    <row r="66" spans="1:27" x14ac:dyDescent="0.6">
      <c r="B66" s="1" t="s">
        <v>42</v>
      </c>
      <c r="F66" s="21">
        <f>SUM(F4:F65)</f>
        <v>67439652840</v>
      </c>
      <c r="G66" s="398"/>
      <c r="H66" s="1292"/>
      <c r="I66" s="83"/>
      <c r="J66" s="278"/>
      <c r="K66" s="411"/>
      <c r="L66" s="278"/>
      <c r="M66" s="412"/>
      <c r="N66" s="413"/>
      <c r="O66" s="278"/>
      <c r="P66" s="278"/>
      <c r="Q66" s="414"/>
      <c r="R66" s="414"/>
      <c r="S66" s="414"/>
      <c r="T66" s="278"/>
      <c r="U66" s="415"/>
      <c r="V66" s="397"/>
      <c r="W66" s="83"/>
      <c r="X66" s="1"/>
    </row>
    <row r="67" spans="1:27" x14ac:dyDescent="0.6">
      <c r="B67" s="1" t="s">
        <v>357</v>
      </c>
      <c r="C67" s="21">
        <v>255050</v>
      </c>
      <c r="D67" s="957">
        <f>SUM(D4:D65)</f>
        <v>98768</v>
      </c>
      <c r="E67" s="957">
        <f>103229+7060+6802</f>
        <v>117091</v>
      </c>
      <c r="F67" s="21">
        <f>(C67+D67+E67)*Assumptions!$C$41</f>
        <v>131722665480</v>
      </c>
      <c r="G67" s="398"/>
      <c r="H67" s="1292"/>
      <c r="I67" s="83"/>
      <c r="J67" s="278"/>
      <c r="K67" s="411"/>
      <c r="L67" s="278"/>
      <c r="M67" s="412"/>
      <c r="N67" s="413"/>
      <c r="O67" s="278"/>
      <c r="P67" s="278"/>
      <c r="Q67" s="414"/>
      <c r="R67" s="414"/>
      <c r="S67" s="414"/>
      <c r="T67" s="278"/>
      <c r="U67" s="415"/>
      <c r="V67" s="397"/>
      <c r="W67" s="83"/>
      <c r="X67" s="1"/>
    </row>
    <row r="68" spans="1:27" x14ac:dyDescent="0.6">
      <c r="C68" s="360"/>
      <c r="D68" s="28"/>
      <c r="E68" s="28"/>
      <c r="F68" s="360">
        <f>F66/F67</f>
        <v>0.51198214517029828</v>
      </c>
      <c r="G68" s="398"/>
      <c r="H68" s="1292"/>
      <c r="I68" s="83"/>
      <c r="J68" s="278"/>
      <c r="K68" s="411"/>
      <c r="L68" s="278"/>
      <c r="M68" s="412"/>
      <c r="N68" s="413"/>
      <c r="O68" s="278"/>
      <c r="P68" s="278"/>
      <c r="Q68" s="414"/>
      <c r="R68" s="414"/>
      <c r="S68" s="414"/>
      <c r="T68" s="278"/>
      <c r="U68" s="415"/>
      <c r="V68" s="397"/>
      <c r="W68" s="83"/>
      <c r="X68" s="1"/>
    </row>
    <row r="69" spans="1:27" x14ac:dyDescent="0.6">
      <c r="A69" s="1"/>
      <c r="F69" s="85"/>
      <c r="G69" s="398"/>
      <c r="H69" s="1292"/>
      <c r="I69" s="83"/>
      <c r="J69" s="278"/>
      <c r="K69" s="83"/>
      <c r="L69" s="83"/>
      <c r="M69" s="412"/>
      <c r="N69" s="413"/>
      <c r="O69" s="83"/>
      <c r="P69" s="83"/>
      <c r="Q69" s="414"/>
      <c r="R69" s="414"/>
      <c r="S69" s="414"/>
      <c r="T69" s="83"/>
      <c r="U69" s="416"/>
      <c r="V69" s="397"/>
      <c r="W69" s="83"/>
      <c r="X69" s="1"/>
    </row>
    <row r="70" spans="1:27" x14ac:dyDescent="0.6">
      <c r="F70" s="238"/>
      <c r="G70" s="398"/>
      <c r="H70" s="1292"/>
      <c r="I70" s="83"/>
      <c r="J70" s="278"/>
      <c r="K70" s="411"/>
      <c r="L70" s="278"/>
      <c r="M70" s="412"/>
      <c r="N70" s="413"/>
      <c r="O70" s="278"/>
      <c r="P70" s="278"/>
      <c r="Q70" s="414"/>
      <c r="R70" s="414"/>
      <c r="S70" s="414"/>
      <c r="T70" s="278"/>
      <c r="U70" s="415"/>
      <c r="V70" s="397"/>
      <c r="W70" s="276"/>
    </row>
    <row r="71" spans="1:27" x14ac:dyDescent="0.6">
      <c r="G71" s="398"/>
      <c r="H71" s="1292"/>
      <c r="I71" s="83"/>
      <c r="J71" s="278"/>
      <c r="K71" s="411"/>
      <c r="L71" s="278"/>
      <c r="M71" s="412"/>
      <c r="N71" s="413"/>
      <c r="O71" s="278"/>
      <c r="P71" s="278"/>
      <c r="Q71" s="414"/>
      <c r="R71" s="414"/>
      <c r="S71" s="414"/>
      <c r="T71" s="278"/>
      <c r="U71" s="415"/>
      <c r="V71" s="397"/>
      <c r="W71" s="276"/>
    </row>
    <row r="72" spans="1:27" x14ac:dyDescent="0.6">
      <c r="G72" s="398"/>
      <c r="H72" s="1292"/>
      <c r="I72" s="83"/>
      <c r="J72" s="278"/>
      <c r="K72" s="411"/>
      <c r="L72" s="278"/>
      <c r="M72" s="412"/>
      <c r="N72" s="413"/>
      <c r="O72" s="278"/>
      <c r="P72" s="278"/>
      <c r="Q72" s="414"/>
      <c r="R72" s="414"/>
      <c r="S72" s="414"/>
      <c r="T72" s="278"/>
      <c r="U72" s="415"/>
      <c r="V72" s="397"/>
      <c r="W72" s="276"/>
    </row>
    <row r="73" spans="1:27" x14ac:dyDescent="0.6">
      <c r="G73" s="398"/>
      <c r="H73" s="1292"/>
      <c r="I73" s="83"/>
      <c r="J73" s="278"/>
      <c r="K73" s="411"/>
      <c r="L73" s="278"/>
      <c r="M73" s="412"/>
      <c r="N73" s="413"/>
      <c r="O73" s="278"/>
      <c r="P73" s="278"/>
      <c r="Q73" s="414"/>
      <c r="R73" s="414"/>
      <c r="S73" s="414"/>
      <c r="T73" s="278"/>
      <c r="U73" s="415"/>
      <c r="V73" s="397"/>
      <c r="W73" s="276"/>
    </row>
    <row r="74" spans="1:27" x14ac:dyDescent="0.6">
      <c r="G74" s="398"/>
      <c r="H74" s="1292"/>
      <c r="I74" s="83"/>
      <c r="J74" s="278"/>
      <c r="K74" s="411"/>
      <c r="L74" s="278"/>
      <c r="M74" s="412"/>
      <c r="N74" s="413"/>
      <c r="O74" s="278"/>
      <c r="P74" s="278"/>
      <c r="Q74" s="414"/>
      <c r="R74" s="414"/>
      <c r="S74" s="414"/>
      <c r="T74" s="278"/>
      <c r="U74" s="415"/>
      <c r="V74" s="397"/>
      <c r="W74" s="276"/>
    </row>
    <row r="75" spans="1:27" x14ac:dyDescent="0.6">
      <c r="G75" s="398"/>
      <c r="H75" s="1292"/>
      <c r="I75" s="83"/>
      <c r="J75" s="278"/>
      <c r="K75" s="411"/>
      <c r="L75" s="278"/>
      <c r="M75" s="412"/>
      <c r="N75" s="413"/>
      <c r="O75" s="278"/>
      <c r="P75" s="278"/>
      <c r="Q75" s="414"/>
      <c r="R75" s="414"/>
      <c r="S75" s="414"/>
      <c r="T75" s="278"/>
      <c r="U75" s="415"/>
      <c r="V75" s="397"/>
      <c r="W75" s="276"/>
    </row>
    <row r="76" spans="1:27" x14ac:dyDescent="0.6">
      <c r="G76" s="398"/>
      <c r="H76" s="1292"/>
      <c r="I76" s="83"/>
      <c r="J76" s="278"/>
      <c r="K76" s="411"/>
      <c r="L76" s="278"/>
      <c r="M76" s="412"/>
      <c r="N76" s="413"/>
      <c r="O76" s="278"/>
      <c r="P76" s="278"/>
      <c r="Q76" s="414"/>
      <c r="R76" s="414"/>
      <c r="S76" s="414"/>
      <c r="T76" s="278"/>
      <c r="U76" s="415"/>
      <c r="V76" s="397"/>
      <c r="W76" s="276"/>
    </row>
    <row r="77" spans="1:27" x14ac:dyDescent="0.6">
      <c r="G77" s="398"/>
      <c r="H77" s="1292"/>
      <c r="I77" s="83"/>
      <c r="J77" s="278"/>
      <c r="K77" s="411"/>
      <c r="L77" s="278"/>
      <c r="M77" s="412"/>
      <c r="N77" s="413"/>
      <c r="O77" s="278"/>
      <c r="P77" s="278"/>
      <c r="Q77" s="414"/>
      <c r="R77" s="414"/>
      <c r="S77" s="414"/>
      <c r="T77" s="278"/>
      <c r="U77" s="415"/>
      <c r="V77" s="397"/>
      <c r="W77" s="276"/>
    </row>
    <row r="78" spans="1:27" x14ac:dyDescent="0.6">
      <c r="G78" s="398"/>
      <c r="H78" s="1292"/>
      <c r="I78" s="83"/>
      <c r="J78" s="278"/>
      <c r="K78" s="411"/>
      <c r="L78" s="278"/>
      <c r="M78" s="412"/>
      <c r="N78" s="413"/>
      <c r="O78" s="278"/>
      <c r="P78" s="278"/>
      <c r="Q78" s="414"/>
      <c r="R78" s="414"/>
      <c r="S78" s="414"/>
      <c r="T78" s="278"/>
      <c r="U78" s="415"/>
      <c r="V78" s="397"/>
      <c r="W78" s="276"/>
    </row>
    <row r="79" spans="1:27" x14ac:dyDescent="0.6">
      <c r="G79" s="398"/>
      <c r="H79" s="1292"/>
      <c r="I79" s="83"/>
      <c r="J79" s="278"/>
      <c r="K79" s="411"/>
      <c r="L79" s="278"/>
      <c r="M79" s="412"/>
      <c r="N79" s="413"/>
      <c r="O79" s="278"/>
      <c r="P79" s="278"/>
      <c r="Q79" s="414"/>
      <c r="R79" s="414"/>
      <c r="S79" s="414"/>
      <c r="T79" s="278"/>
      <c r="U79" s="415"/>
      <c r="V79" s="397"/>
      <c r="W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0.09765625" style="1" customWidth="1"/>
    <col min="3" max="4" width="10.5" style="21" customWidth="1"/>
    <col min="5" max="5" width="18.59765625" style="21" bestFit="1" customWidth="1"/>
    <col min="6" max="6" width="10.5" style="55" customWidth="1"/>
    <col min="7" max="7" width="10.84765625" style="7" bestFit="1" customWidth="1"/>
    <col min="8" max="8" width="11.09765625" style="1" bestFit="1" customWidth="1"/>
    <col min="9" max="9" width="11.09765625" style="10" bestFit="1" customWidth="1"/>
    <col min="10" max="10" width="12.5" style="5" bestFit="1" customWidth="1"/>
    <col min="11" max="11" width="13" style="10" bestFit="1" customWidth="1"/>
    <col min="12" max="12" width="9.5" style="28" customWidth="1"/>
    <col min="13" max="13" width="9.5" style="331" customWidth="1"/>
    <col min="14" max="15" width="10.34765625" style="10" customWidth="1"/>
    <col min="16" max="16" width="15" style="271" customWidth="1"/>
    <col min="17" max="17" width="9.5" style="271" customWidth="1"/>
    <col min="18" max="18" width="15.84765625" style="271" customWidth="1"/>
    <col min="19" max="19" width="9.5" style="10" customWidth="1"/>
    <col min="20" max="20" width="16" style="70" customWidth="1"/>
    <col min="21" max="21" width="19.59765625" style="57" customWidth="1"/>
    <col min="22" max="22" width="15" style="17" bestFit="1" customWidth="1"/>
    <col min="23" max="23" width="17.5" style="17" bestFit="1" customWidth="1"/>
    <col min="24" max="24" width="10.59765625" style="10" bestFit="1" customWidth="1"/>
    <col min="25" max="25" width="18.5" style="17" bestFit="1" customWidth="1"/>
    <col min="26" max="26" width="17.5" style="10" bestFit="1" customWidth="1"/>
    <col min="27" max="16384" width="10.84765625" style="1"/>
  </cols>
  <sheetData>
    <row r="1" spans="1:26" x14ac:dyDescent="0.6">
      <c r="A1" s="24" t="s">
        <v>644</v>
      </c>
      <c r="C1" s="74"/>
      <c r="D1" s="74"/>
      <c r="F1" s="107"/>
      <c r="K1" s="54"/>
    </row>
    <row r="2" spans="1:26" s="2" customFormat="1" x14ac:dyDescent="0.6">
      <c r="A2" s="24" t="s">
        <v>238</v>
      </c>
      <c r="C2" s="64"/>
      <c r="D2" s="64" t="s">
        <v>1248</v>
      </c>
      <c r="E2" s="64"/>
      <c r="F2" s="56"/>
      <c r="G2" s="8" t="s">
        <v>87</v>
      </c>
      <c r="H2" s="11" t="s">
        <v>638</v>
      </c>
      <c r="I2" s="11" t="s">
        <v>638</v>
      </c>
      <c r="J2" s="6" t="s">
        <v>627</v>
      </c>
      <c r="K2" s="11" t="s">
        <v>627</v>
      </c>
      <c r="L2" s="71" t="s">
        <v>194</v>
      </c>
      <c r="M2" s="332" t="s">
        <v>194</v>
      </c>
      <c r="N2" s="11" t="s">
        <v>194</v>
      </c>
      <c r="O2" s="11" t="s">
        <v>650</v>
      </c>
      <c r="P2" s="272" t="s">
        <v>397</v>
      </c>
      <c r="Q2" s="272" t="s">
        <v>881</v>
      </c>
      <c r="R2" s="272" t="s">
        <v>42</v>
      </c>
      <c r="S2" s="11" t="s">
        <v>881</v>
      </c>
      <c r="T2" s="114"/>
      <c r="U2" s="58" t="s">
        <v>622</v>
      </c>
      <c r="V2" s="18" t="s">
        <v>42</v>
      </c>
      <c r="W2" s="18"/>
      <c r="X2" s="11" t="s">
        <v>645</v>
      </c>
      <c r="Y2" s="18"/>
      <c r="Z2" s="11"/>
    </row>
    <row r="3" spans="1:26" s="2" customFormat="1" x14ac:dyDescent="0.6">
      <c r="C3" s="64" t="s">
        <v>1223</v>
      </c>
      <c r="D3" s="64" t="s">
        <v>21</v>
      </c>
      <c r="E3" s="64" t="s">
        <v>25</v>
      </c>
      <c r="F3" s="56" t="s">
        <v>41</v>
      </c>
      <c r="G3" s="8" t="s">
        <v>22</v>
      </c>
      <c r="H3" s="11" t="s">
        <v>649</v>
      </c>
      <c r="I3" s="11" t="s">
        <v>639</v>
      </c>
      <c r="J3" s="6" t="s">
        <v>661</v>
      </c>
      <c r="K3" s="11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272" t="s">
        <v>79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707</v>
      </c>
      <c r="V3" s="18" t="s">
        <v>77</v>
      </c>
      <c r="W3" s="18" t="s">
        <v>34</v>
      </c>
      <c r="X3" s="11" t="s">
        <v>639</v>
      </c>
      <c r="Y3" s="18" t="s">
        <v>642</v>
      </c>
      <c r="Z3" s="11"/>
    </row>
    <row r="4" spans="1:26" x14ac:dyDescent="0.6">
      <c r="A4" s="61">
        <v>1</v>
      </c>
      <c r="B4" s="44" t="s">
        <v>37</v>
      </c>
      <c r="C4" s="961">
        <v>9562</v>
      </c>
      <c r="D4" s="961">
        <v>464</v>
      </c>
      <c r="E4" s="348">
        <f>(C4*Assumptions!$C$38)+('Other petroleum products'!D4*Assumptions!$C$13)</f>
        <v>3779156000</v>
      </c>
      <c r="F4" s="399">
        <v>1</v>
      </c>
      <c r="G4" s="297">
        <f>Assumptions!$C$115</f>
        <v>3.7854100000000002</v>
      </c>
      <c r="H4" s="389"/>
      <c r="I4" s="301">
        <f>Assumptions!$C$98</f>
        <v>2</v>
      </c>
      <c r="J4" s="87"/>
      <c r="K4" s="306"/>
      <c r="L4" s="329"/>
      <c r="M4" s="329"/>
      <c r="N4" s="329"/>
      <c r="O4" s="313"/>
      <c r="P4" s="314"/>
      <c r="Q4" s="1053">
        <f>'State LPG - Ind'!Q60</f>
        <v>0</v>
      </c>
      <c r="R4" s="1047">
        <f>Q4*E4</f>
        <v>0</v>
      </c>
      <c r="S4" s="310">
        <f>'State LPG - Ind'!Q62</f>
        <v>0</v>
      </c>
      <c r="T4" s="366">
        <f>S4*E4</f>
        <v>0</v>
      </c>
      <c r="U4" s="336">
        <f>-'OECD Other oil subsidies'!B2</f>
        <v>-7877691</v>
      </c>
      <c r="V4" s="342">
        <f>U4*F4</f>
        <v>-7877691</v>
      </c>
      <c r="W4" s="111">
        <f>T4+V4</f>
        <v>-7877691</v>
      </c>
      <c r="X4" s="320">
        <f>I4</f>
        <v>2</v>
      </c>
      <c r="Y4" s="342">
        <f>X4*E4+V4</f>
        <v>7550434309</v>
      </c>
    </row>
    <row r="5" spans="1:26" s="2" customFormat="1" x14ac:dyDescent="0.6">
      <c r="A5" s="40" t="s">
        <v>640</v>
      </c>
      <c r="B5" s="40"/>
      <c r="C5" s="1153"/>
      <c r="D5" s="1153"/>
      <c r="E5" s="1284"/>
      <c r="F5" s="418"/>
      <c r="G5" s="298"/>
      <c r="H5" s="385"/>
      <c r="I5" s="302"/>
      <c r="J5" s="426"/>
      <c r="K5" s="307"/>
      <c r="L5" s="358"/>
      <c r="M5" s="333"/>
      <c r="N5" s="316"/>
      <c r="O5" s="316"/>
      <c r="P5" s="317"/>
      <c r="Q5" s="1051"/>
      <c r="R5" s="1052"/>
      <c r="S5" s="311"/>
      <c r="T5" s="367"/>
      <c r="U5" s="338"/>
      <c r="V5" s="343"/>
      <c r="W5" s="165"/>
      <c r="X5" s="316"/>
      <c r="Y5" s="343"/>
      <c r="Z5" s="11"/>
    </row>
    <row r="6" spans="1:26" x14ac:dyDescent="0.6">
      <c r="A6" s="46">
        <f>A4+1</f>
        <v>2</v>
      </c>
      <c r="B6" s="44" t="s">
        <v>0</v>
      </c>
      <c r="C6" s="961">
        <v>4258</v>
      </c>
      <c r="D6" s="961">
        <v>2</v>
      </c>
      <c r="E6" s="348">
        <f>(C6*Assumptions!$C$38)+('Other petroleum products'!D6*Assumptions!$C$13)</f>
        <v>1610234000</v>
      </c>
      <c r="F6" s="391">
        <f>Assumptions!$H$3</f>
        <v>1.1863330000000001</v>
      </c>
      <c r="G6" s="297">
        <f>Assumptions!$C$115</f>
        <v>3.7854100000000002</v>
      </c>
      <c r="H6" s="422"/>
      <c r="I6" s="1077">
        <f>IF(E6=0,0,Assumptions!$C$98)</f>
        <v>2</v>
      </c>
      <c r="J6" s="427"/>
      <c r="K6" s="286">
        <f>J6*G6*F6</f>
        <v>0</v>
      </c>
      <c r="L6" s="322"/>
      <c r="M6" s="329"/>
      <c r="N6" s="281"/>
      <c r="O6" s="281"/>
      <c r="P6" s="314">
        <f t="shared" ref="P6:P26" si="0">M6*E6</f>
        <v>0</v>
      </c>
      <c r="Q6" s="1053">
        <f t="shared" ref="Q6:Q39" si="1">K6+O6</f>
        <v>0</v>
      </c>
      <c r="R6" s="1047">
        <f t="shared" ref="R6:R26" si="2">Q6*E6</f>
        <v>0</v>
      </c>
      <c r="S6" s="268">
        <f t="shared" ref="S6:S26" si="3">N6+K6</f>
        <v>0</v>
      </c>
      <c r="T6" s="366">
        <f t="shared" ref="T6:T26" si="4">E6*S6</f>
        <v>0</v>
      </c>
      <c r="U6" s="336">
        <f>-'OECD Other oil subsidies'!B8</f>
        <v>0</v>
      </c>
      <c r="V6" s="342">
        <f t="shared" ref="V6:V26" si="5">U6*F6</f>
        <v>0</v>
      </c>
      <c r="W6" s="111">
        <f t="shared" ref="W6:W26" si="6">T6+V6</f>
        <v>0</v>
      </c>
      <c r="X6" s="281">
        <f t="shared" ref="X6:X26" si="7">(I6+K6)*(1+L6)</f>
        <v>2</v>
      </c>
      <c r="Y6" s="342">
        <f t="shared" ref="Y6:Y26" si="8">X6*E6+V6</f>
        <v>3220468000</v>
      </c>
    </row>
    <row r="7" spans="1:26" x14ac:dyDescent="0.6">
      <c r="A7" s="46">
        <f t="shared" ref="A7:A26" si="9">A6+1</f>
        <v>3</v>
      </c>
      <c r="B7" s="44" t="s">
        <v>1</v>
      </c>
      <c r="C7" s="961">
        <v>651</v>
      </c>
      <c r="D7" s="961">
        <v>3</v>
      </c>
      <c r="E7" s="348">
        <f>(C7*Assumptions!$C$38)+('Other petroleum products'!D7*Assumptions!$C$13)</f>
        <v>247143000</v>
      </c>
      <c r="F7" s="391">
        <f>Assumptions!$H$15</f>
        <v>4.5997000000000003E-2</v>
      </c>
      <c r="G7" s="297">
        <f>Assumptions!$C$115</f>
        <v>3.7854100000000002</v>
      </c>
      <c r="H7" s="386"/>
      <c r="I7" s="1077">
        <f>IF(E7=0,0,Assumptions!$C$98)</f>
        <v>2</v>
      </c>
      <c r="J7" s="428"/>
      <c r="K7" s="286">
        <f t="shared" ref="K7:K39" si="10">J7*G7*F7</f>
        <v>0</v>
      </c>
      <c r="L7" s="322"/>
      <c r="M7" s="329"/>
      <c r="N7" s="281"/>
      <c r="O7" s="281"/>
      <c r="P7" s="314">
        <f t="shared" si="0"/>
        <v>0</v>
      </c>
      <c r="Q7" s="1053">
        <f t="shared" si="1"/>
        <v>0</v>
      </c>
      <c r="R7" s="1047">
        <f t="shared" si="2"/>
        <v>0</v>
      </c>
      <c r="S7" s="268">
        <f t="shared" si="3"/>
        <v>0</v>
      </c>
      <c r="T7" s="366">
        <f t="shared" si="4"/>
        <v>0</v>
      </c>
      <c r="U7" s="336">
        <f>-'OECD Other oil subsidies'!B10</f>
        <v>0</v>
      </c>
      <c r="V7" s="342">
        <f t="shared" si="5"/>
        <v>0</v>
      </c>
      <c r="W7" s="111">
        <f t="shared" si="6"/>
        <v>0</v>
      </c>
      <c r="X7" s="281">
        <f t="shared" si="7"/>
        <v>2</v>
      </c>
      <c r="Y7" s="342">
        <f t="shared" si="8"/>
        <v>494286000</v>
      </c>
    </row>
    <row r="8" spans="1:26" x14ac:dyDescent="0.6">
      <c r="A8" s="46">
        <f t="shared" si="9"/>
        <v>4</v>
      </c>
      <c r="B8" s="44" t="s">
        <v>2</v>
      </c>
      <c r="C8" s="961">
        <v>0</v>
      </c>
      <c r="D8" s="961">
        <v>1</v>
      </c>
      <c r="E8" s="348">
        <f>(C8*Assumptions!$C$38)+('Other petroleum products'!D8*Assumptions!$C$13)</f>
        <v>355000</v>
      </c>
      <c r="F8" s="391">
        <f>Assumptions!$H$16</f>
        <v>0.15934999999999999</v>
      </c>
      <c r="G8" s="297">
        <f>Assumptions!$C$115</f>
        <v>3.7854100000000002</v>
      </c>
      <c r="H8" s="423"/>
      <c r="I8" s="1077">
        <f>IF(E8=0,0,Assumptions!$C$98)</f>
        <v>2</v>
      </c>
      <c r="J8" s="437"/>
      <c r="K8" s="286">
        <f t="shared" si="10"/>
        <v>0</v>
      </c>
      <c r="L8" s="322"/>
      <c r="M8" s="329"/>
      <c r="N8" s="281"/>
      <c r="O8" s="281"/>
      <c r="P8" s="314">
        <f t="shared" si="0"/>
        <v>0</v>
      </c>
      <c r="Q8" s="1053">
        <f t="shared" si="1"/>
        <v>0</v>
      </c>
      <c r="R8" s="1047">
        <f t="shared" si="2"/>
        <v>0</v>
      </c>
      <c r="S8" s="268">
        <f t="shared" si="3"/>
        <v>0</v>
      </c>
      <c r="T8" s="366">
        <f t="shared" si="4"/>
        <v>0</v>
      </c>
      <c r="U8" s="336">
        <f>-'OECD Other oil subsidies'!B12</f>
        <v>0</v>
      </c>
      <c r="V8" s="342">
        <f t="shared" si="5"/>
        <v>0</v>
      </c>
      <c r="W8" s="111">
        <f t="shared" si="6"/>
        <v>0</v>
      </c>
      <c r="X8" s="281">
        <f t="shared" si="7"/>
        <v>2</v>
      </c>
      <c r="Y8" s="342">
        <f t="shared" si="8"/>
        <v>710000</v>
      </c>
    </row>
    <row r="9" spans="1:26" x14ac:dyDescent="0.6">
      <c r="A9" s="46">
        <f t="shared" si="9"/>
        <v>5</v>
      </c>
      <c r="B9" s="44" t="s">
        <v>3</v>
      </c>
      <c r="C9" s="961">
        <v>11624</v>
      </c>
      <c r="D9" s="961">
        <v>13</v>
      </c>
      <c r="E9" s="348">
        <f>(C9*Assumptions!$C$38)+('Other petroleum products'!D9*Assumptions!$C$13)</f>
        <v>4398487000</v>
      </c>
      <c r="F9" s="391">
        <f>Assumptions!$H$3</f>
        <v>1.1863330000000001</v>
      </c>
      <c r="G9" s="297">
        <f>Assumptions!$C$115</f>
        <v>3.7854100000000002</v>
      </c>
      <c r="H9" s="422"/>
      <c r="I9" s="1077">
        <f>IF(E9=0,0,Assumptions!$C$98)</f>
        <v>2</v>
      </c>
      <c r="J9" s="434">
        <f>-U9/E9/G9</f>
        <v>2.067067814309758E-2</v>
      </c>
      <c r="K9" s="286">
        <f t="shared" si="10"/>
        <v>9.282698846335298E-2</v>
      </c>
      <c r="L9" s="322"/>
      <c r="M9" s="329"/>
      <c r="N9" s="281"/>
      <c r="O9" s="281"/>
      <c r="P9" s="314">
        <f t="shared" si="0"/>
        <v>0</v>
      </c>
      <c r="Q9" s="1053">
        <f t="shared" si="1"/>
        <v>9.282698846335298E-2</v>
      </c>
      <c r="R9" s="1047">
        <f t="shared" si="2"/>
        <v>408298302.00520808</v>
      </c>
      <c r="S9" s="268">
        <f t="shared" si="3"/>
        <v>9.282698846335298E-2</v>
      </c>
      <c r="T9" s="366">
        <f t="shared" si="4"/>
        <v>408298302.00520808</v>
      </c>
      <c r="U9" s="336">
        <f>-'OECD Other oil subsidies'!B15</f>
        <v>-344168376</v>
      </c>
      <c r="V9" s="342">
        <f t="shared" si="5"/>
        <v>-408298302.00520802</v>
      </c>
      <c r="W9" s="111">
        <f t="shared" si="6"/>
        <v>0</v>
      </c>
      <c r="X9" s="281">
        <f t="shared" si="7"/>
        <v>2.092826988463353</v>
      </c>
      <c r="Y9" s="342">
        <f t="shared" si="8"/>
        <v>8796974000</v>
      </c>
    </row>
    <row r="10" spans="1:26" x14ac:dyDescent="0.6">
      <c r="A10" s="46">
        <f t="shared" si="9"/>
        <v>6</v>
      </c>
      <c r="B10" s="44" t="s">
        <v>4</v>
      </c>
      <c r="C10" s="961">
        <v>0</v>
      </c>
      <c r="D10" s="961">
        <v>0</v>
      </c>
      <c r="E10" s="348">
        <f>(C10*Assumptions!$C$38)+('Other petroleum products'!D10*Assumptions!$C$13)</f>
        <v>0</v>
      </c>
      <c r="F10" s="391">
        <f>Assumptions!$H$3</f>
        <v>1.1863330000000001</v>
      </c>
      <c r="G10" s="297">
        <f>Assumptions!$C$115</f>
        <v>3.7854100000000002</v>
      </c>
      <c r="H10" s="422"/>
      <c r="I10" s="1077">
        <f>IF(E10=0,0,Assumptions!$C$98)</f>
        <v>0</v>
      </c>
      <c r="J10" s="434"/>
      <c r="K10" s="286">
        <f t="shared" si="10"/>
        <v>0</v>
      </c>
      <c r="L10" s="322"/>
      <c r="M10" s="329"/>
      <c r="N10" s="281"/>
      <c r="O10" s="281"/>
      <c r="P10" s="314">
        <f t="shared" si="0"/>
        <v>0</v>
      </c>
      <c r="Q10" s="1053">
        <f t="shared" si="1"/>
        <v>0</v>
      </c>
      <c r="R10" s="1047">
        <f t="shared" si="2"/>
        <v>0</v>
      </c>
      <c r="S10" s="268">
        <f t="shared" si="3"/>
        <v>0</v>
      </c>
      <c r="T10" s="366">
        <f t="shared" si="4"/>
        <v>0</v>
      </c>
      <c r="U10" s="336">
        <f>'OECD Other oil subsidies'!B22</f>
        <v>0</v>
      </c>
      <c r="V10" s="342">
        <f t="shared" si="5"/>
        <v>0</v>
      </c>
      <c r="W10" s="111">
        <f t="shared" si="6"/>
        <v>0</v>
      </c>
      <c r="X10" s="281">
        <f t="shared" si="7"/>
        <v>0</v>
      </c>
      <c r="Y10" s="342">
        <f t="shared" si="8"/>
        <v>0</v>
      </c>
    </row>
    <row r="11" spans="1:26" x14ac:dyDescent="0.6">
      <c r="A11" s="46">
        <f t="shared" si="9"/>
        <v>7</v>
      </c>
      <c r="B11" s="44" t="s">
        <v>5</v>
      </c>
      <c r="C11" s="961">
        <v>4</v>
      </c>
      <c r="D11" s="961">
        <v>1</v>
      </c>
      <c r="E11" s="348">
        <f>(C11*Assumptions!$C$38)+('Other petroleum products'!D11*Assumptions!$C$13)</f>
        <v>1867000</v>
      </c>
      <c r="F11" s="391">
        <f>Assumptions!$H$3</f>
        <v>1.1863330000000001</v>
      </c>
      <c r="G11" s="297">
        <f>Assumptions!$C$115</f>
        <v>3.7854100000000002</v>
      </c>
      <c r="H11" s="422"/>
      <c r="I11" s="1077">
        <f>IF(E11=0,0,Assumptions!$C$98)</f>
        <v>2</v>
      </c>
      <c r="J11" s="434">
        <f>-U11/E11/G11</f>
        <v>2.5274358193307207E-2</v>
      </c>
      <c r="K11" s="286">
        <f t="shared" si="10"/>
        <v>0.11350099596089984</v>
      </c>
      <c r="L11" s="322"/>
      <c r="M11" s="329"/>
      <c r="N11" s="281"/>
      <c r="O11" s="281"/>
      <c r="P11" s="314">
        <f t="shared" si="0"/>
        <v>0</v>
      </c>
      <c r="Q11" s="1053">
        <f t="shared" si="1"/>
        <v>0.11350099596089984</v>
      </c>
      <c r="R11" s="1047">
        <f t="shared" si="2"/>
        <v>211906.359459</v>
      </c>
      <c r="S11" s="268">
        <f t="shared" si="3"/>
        <v>0.11350099596089984</v>
      </c>
      <c r="T11" s="366">
        <f t="shared" si="4"/>
        <v>211906.359459</v>
      </c>
      <c r="U11" s="336">
        <f>-'OECD Other oil subsidies'!B25</f>
        <v>-178623</v>
      </c>
      <c r="V11" s="342">
        <f t="shared" si="5"/>
        <v>-211906.35945900003</v>
      </c>
      <c r="W11" s="111">
        <f t="shared" si="6"/>
        <v>0</v>
      </c>
      <c r="X11" s="281">
        <f t="shared" si="7"/>
        <v>2.1135009959608997</v>
      </c>
      <c r="Y11" s="342">
        <f t="shared" si="8"/>
        <v>3733999.9999999995</v>
      </c>
    </row>
    <row r="12" spans="1:26" x14ac:dyDescent="0.6">
      <c r="A12" s="46">
        <f t="shared" si="9"/>
        <v>8</v>
      </c>
      <c r="B12" s="44" t="s">
        <v>6</v>
      </c>
      <c r="C12" s="961">
        <v>1457</v>
      </c>
      <c r="D12" s="961">
        <v>4</v>
      </c>
      <c r="E12" s="348">
        <f>(C12*Assumptions!$C$38)+('Other petroleum products'!D12*Assumptions!$C$13)</f>
        <v>552166000</v>
      </c>
      <c r="F12" s="391">
        <f>Assumptions!$H$3</f>
        <v>1.1863330000000001</v>
      </c>
      <c r="G12" s="297">
        <f>Assumptions!$C$115</f>
        <v>3.7854100000000002</v>
      </c>
      <c r="H12" s="422"/>
      <c r="I12" s="1077">
        <f>IF(E12=0,0,Assumptions!$C$98)</f>
        <v>2</v>
      </c>
      <c r="J12" s="434"/>
      <c r="K12" s="286">
        <f t="shared" si="10"/>
        <v>0</v>
      </c>
      <c r="L12" s="322"/>
      <c r="M12" s="329"/>
      <c r="N12" s="281"/>
      <c r="O12" s="281"/>
      <c r="P12" s="314">
        <f t="shared" si="0"/>
        <v>0</v>
      </c>
      <c r="Q12" s="1053">
        <f t="shared" si="1"/>
        <v>0</v>
      </c>
      <c r="R12" s="1047">
        <f t="shared" si="2"/>
        <v>0</v>
      </c>
      <c r="S12" s="268">
        <f t="shared" si="3"/>
        <v>0</v>
      </c>
      <c r="T12" s="366">
        <f t="shared" si="4"/>
        <v>0</v>
      </c>
      <c r="U12" s="336">
        <f>-'OECD Other oil subsidies'!B27</f>
        <v>0</v>
      </c>
      <c r="V12" s="342">
        <f t="shared" si="5"/>
        <v>0</v>
      </c>
      <c r="W12" s="111">
        <f t="shared" si="6"/>
        <v>0</v>
      </c>
      <c r="X12" s="281">
        <f t="shared" si="7"/>
        <v>2</v>
      </c>
      <c r="Y12" s="342">
        <f t="shared" si="8"/>
        <v>1104332000</v>
      </c>
    </row>
    <row r="13" spans="1:26" x14ac:dyDescent="0.6">
      <c r="A13" s="46">
        <f t="shared" si="9"/>
        <v>9</v>
      </c>
      <c r="B13" s="44" t="s">
        <v>7</v>
      </c>
      <c r="C13" s="961">
        <v>4276</v>
      </c>
      <c r="D13" s="961">
        <v>20</v>
      </c>
      <c r="E13" s="348">
        <f>(C13*Assumptions!$C$38)+('Other petroleum products'!D13*Assumptions!$C$13)</f>
        <v>1623428000</v>
      </c>
      <c r="F13" s="391">
        <f>Assumptions!$H$3</f>
        <v>1.1863330000000001</v>
      </c>
      <c r="G13" s="297">
        <f>Assumptions!$C$115</f>
        <v>3.7854100000000002</v>
      </c>
      <c r="H13" s="422"/>
      <c r="I13" s="1077">
        <f>IF(E13=0,0,Assumptions!$C$98)</f>
        <v>2</v>
      </c>
      <c r="J13" s="434">
        <f>-U13/E13/G13</f>
        <v>1.9152832843487816E-2</v>
      </c>
      <c r="K13" s="286">
        <f t="shared" si="10"/>
        <v>8.6010714360460094E-2</v>
      </c>
      <c r="L13" s="322"/>
      <c r="M13" s="329"/>
      <c r="N13" s="281"/>
      <c r="O13" s="281"/>
      <c r="P13" s="314">
        <f t="shared" si="0"/>
        <v>0</v>
      </c>
      <c r="Q13" s="1053">
        <f t="shared" si="1"/>
        <v>8.6010714360460094E-2</v>
      </c>
      <c r="R13" s="1047">
        <f t="shared" si="2"/>
        <v>139632201.992773</v>
      </c>
      <c r="S13" s="268">
        <f t="shared" si="3"/>
        <v>8.6010714360460094E-2</v>
      </c>
      <c r="T13" s="366">
        <f t="shared" si="4"/>
        <v>139632201.992773</v>
      </c>
      <c r="U13" s="336">
        <f>-'OECD Other oil subsidies'!B30</f>
        <v>-117700681</v>
      </c>
      <c r="V13" s="342">
        <f t="shared" si="5"/>
        <v>-139632201.992773</v>
      </c>
      <c r="W13" s="111">
        <f t="shared" si="6"/>
        <v>0</v>
      </c>
      <c r="X13" s="281">
        <f t="shared" si="7"/>
        <v>2.08601071436046</v>
      </c>
      <c r="Y13" s="342">
        <f t="shared" si="8"/>
        <v>3246856000</v>
      </c>
    </row>
    <row r="14" spans="1:26" x14ac:dyDescent="0.6">
      <c r="A14" s="46">
        <f t="shared" si="9"/>
        <v>10</v>
      </c>
      <c r="B14" s="44" t="s">
        <v>8</v>
      </c>
      <c r="C14" s="961">
        <v>0</v>
      </c>
      <c r="D14" s="961">
        <v>0</v>
      </c>
      <c r="E14" s="348">
        <f>(C14*Assumptions!$C$38)+('Other petroleum products'!D14*Assumptions!$C$13)</f>
        <v>0</v>
      </c>
      <c r="F14" s="391">
        <f>Assumptions!$H$3</f>
        <v>1.1863330000000001</v>
      </c>
      <c r="G14" s="297">
        <f>Assumptions!$C$115</f>
        <v>3.7854100000000002</v>
      </c>
      <c r="H14" s="422"/>
      <c r="I14" s="1077">
        <f>IF(E14=0,0,Assumptions!$C$98)</f>
        <v>0</v>
      </c>
      <c r="J14" s="434"/>
      <c r="K14" s="286">
        <f t="shared" si="10"/>
        <v>0</v>
      </c>
      <c r="L14" s="322"/>
      <c r="M14" s="329"/>
      <c r="N14" s="281"/>
      <c r="O14" s="281"/>
      <c r="P14" s="314">
        <f t="shared" si="0"/>
        <v>0</v>
      </c>
      <c r="Q14" s="1053">
        <f t="shared" si="1"/>
        <v>0</v>
      </c>
      <c r="R14" s="1047">
        <f t="shared" si="2"/>
        <v>0</v>
      </c>
      <c r="S14" s="268">
        <f t="shared" si="3"/>
        <v>0</v>
      </c>
      <c r="T14" s="366">
        <f t="shared" si="4"/>
        <v>0</v>
      </c>
      <c r="U14" s="336">
        <f>-'OECD Other oil subsidies'!B47</f>
        <v>-6212864</v>
      </c>
      <c r="V14" s="342">
        <f t="shared" si="5"/>
        <v>-7370525.5877120001</v>
      </c>
      <c r="W14" s="111">
        <f t="shared" si="6"/>
        <v>-7370525.5877120001</v>
      </c>
      <c r="X14" s="281">
        <f t="shared" si="7"/>
        <v>0</v>
      </c>
      <c r="Y14" s="342">
        <f t="shared" si="8"/>
        <v>-7370525.5877120001</v>
      </c>
    </row>
    <row r="15" spans="1:26" x14ac:dyDescent="0.6">
      <c r="A15" s="46">
        <f t="shared" si="9"/>
        <v>11</v>
      </c>
      <c r="B15" s="44" t="s">
        <v>9</v>
      </c>
      <c r="C15" s="961">
        <v>2254</v>
      </c>
      <c r="D15" s="961">
        <v>2</v>
      </c>
      <c r="E15" s="348">
        <f>(C15*Assumptions!$C$38)+('Other petroleum products'!D15*Assumptions!$C$13)</f>
        <v>852722000</v>
      </c>
      <c r="F15" s="391">
        <f>Assumptions!$H$3</f>
        <v>1.1863330000000001</v>
      </c>
      <c r="G15" s="297">
        <f>Assumptions!$C$115</f>
        <v>3.7854100000000002</v>
      </c>
      <c r="H15" s="422"/>
      <c r="I15" s="1077">
        <f>IF(E15=0,0,Assumptions!$C$98)</f>
        <v>2</v>
      </c>
      <c r="J15" s="434">
        <f>('OECD Other oil subsidies'!B58+'OECD Other oil subsidies'!B59)/E15/G15</f>
        <v>5.7911075876890467E-4</v>
      </c>
      <c r="K15" s="286">
        <f t="shared" si="10"/>
        <v>2.6006455787806579E-3</v>
      </c>
      <c r="L15" s="322"/>
      <c r="M15" s="329"/>
      <c r="N15" s="281"/>
      <c r="O15" s="281"/>
      <c r="P15" s="314">
        <f t="shared" si="0"/>
        <v>0</v>
      </c>
      <c r="Q15" s="1053">
        <f t="shared" si="1"/>
        <v>2.6006455787806579E-3</v>
      </c>
      <c r="R15" s="1047">
        <f t="shared" si="2"/>
        <v>2217627.6992290001</v>
      </c>
      <c r="S15" s="268">
        <f t="shared" si="3"/>
        <v>2.6006455787806579E-3</v>
      </c>
      <c r="T15" s="366">
        <f t="shared" si="4"/>
        <v>2217627.6992290001</v>
      </c>
      <c r="U15" s="336">
        <f>-'OECD Other oil subsidies'!B51</f>
        <v>-36175851</v>
      </c>
      <c r="V15" s="342">
        <f t="shared" si="5"/>
        <v>-42916605.844383001</v>
      </c>
      <c r="W15" s="111">
        <f t="shared" si="6"/>
        <v>-40698978.145153999</v>
      </c>
      <c r="X15" s="281">
        <f t="shared" si="7"/>
        <v>2.0026006455787808</v>
      </c>
      <c r="Y15" s="342">
        <f t="shared" si="8"/>
        <v>1664745021.8548462</v>
      </c>
    </row>
    <row r="16" spans="1:26" x14ac:dyDescent="0.6">
      <c r="A16" s="46">
        <f t="shared" si="9"/>
        <v>12</v>
      </c>
      <c r="B16" s="44" t="s">
        <v>10</v>
      </c>
      <c r="C16" s="961">
        <v>0</v>
      </c>
      <c r="D16" s="961">
        <v>0</v>
      </c>
      <c r="E16" s="348">
        <f>(C16*Assumptions!$C$38)+('Other petroleum products'!D16*Assumptions!$C$13)</f>
        <v>0</v>
      </c>
      <c r="F16" s="391">
        <f>Assumptions!$H$3</f>
        <v>1.1863330000000001</v>
      </c>
      <c r="G16" s="297">
        <f>Assumptions!$C$115</f>
        <v>3.7854100000000002</v>
      </c>
      <c r="H16" s="422"/>
      <c r="I16" s="1077">
        <f>IF(E16=0,0,Assumptions!$C$98)</f>
        <v>0</v>
      </c>
      <c r="J16" s="434"/>
      <c r="K16" s="286">
        <f t="shared" si="10"/>
        <v>0</v>
      </c>
      <c r="L16" s="322"/>
      <c r="M16" s="329"/>
      <c r="N16" s="281"/>
      <c r="O16" s="281"/>
      <c r="P16" s="314">
        <f t="shared" si="0"/>
        <v>0</v>
      </c>
      <c r="Q16" s="1053">
        <f t="shared" si="1"/>
        <v>0</v>
      </c>
      <c r="R16" s="1047">
        <f t="shared" si="2"/>
        <v>0</v>
      </c>
      <c r="S16" s="268">
        <f t="shared" si="3"/>
        <v>0</v>
      </c>
      <c r="T16" s="366">
        <f t="shared" si="4"/>
        <v>0</v>
      </c>
      <c r="U16" s="336">
        <f>-'OECD Other oil subsidies'!B62</f>
        <v>0</v>
      </c>
      <c r="V16" s="342">
        <f t="shared" si="5"/>
        <v>0</v>
      </c>
      <c r="W16" s="111">
        <f t="shared" si="6"/>
        <v>0</v>
      </c>
      <c r="X16" s="281">
        <f t="shared" si="7"/>
        <v>0</v>
      </c>
      <c r="Y16" s="342">
        <f t="shared" si="8"/>
        <v>0</v>
      </c>
    </row>
    <row r="17" spans="1:26" x14ac:dyDescent="0.6">
      <c r="A17" s="46">
        <f t="shared" si="9"/>
        <v>13</v>
      </c>
      <c r="B17" s="44" t="s">
        <v>11</v>
      </c>
      <c r="C17" s="961">
        <v>940</v>
      </c>
      <c r="D17" s="961">
        <v>0</v>
      </c>
      <c r="E17" s="348">
        <f>(C17*Assumptions!$C$38)+('Other petroleum products'!D17*Assumptions!$C$13)</f>
        <v>355320000</v>
      </c>
      <c r="F17" s="391">
        <f>Assumptions!$H$17</f>
        <v>3.8049999999999998E-3</v>
      </c>
      <c r="G17" s="297">
        <f>Assumptions!$C$115</f>
        <v>3.7854100000000002</v>
      </c>
      <c r="H17" s="459"/>
      <c r="I17" s="1077">
        <f>IF(E17=0,0,Assumptions!$C$98)</f>
        <v>2</v>
      </c>
      <c r="J17" s="468">
        <f>('OECD Other oil subsidies'!B65+'OECD Other oil subsidies'!B66)/E17/G17</f>
        <v>2.5793913739090928</v>
      </c>
      <c r="K17" s="286">
        <f t="shared" si="10"/>
        <v>3.7152225092198579E-2</v>
      </c>
      <c r="L17" s="322"/>
      <c r="M17" s="329"/>
      <c r="N17" s="281"/>
      <c r="O17" s="281"/>
      <c r="P17" s="314">
        <f t="shared" si="0"/>
        <v>0</v>
      </c>
      <c r="Q17" s="1053">
        <f t="shared" si="1"/>
        <v>3.7152225092198579E-2</v>
      </c>
      <c r="R17" s="1047">
        <f t="shared" si="2"/>
        <v>13200928.619759999</v>
      </c>
      <c r="S17" s="268">
        <f t="shared" si="3"/>
        <v>3.7152225092198579E-2</v>
      </c>
      <c r="T17" s="366">
        <f t="shared" si="4"/>
        <v>13200928.619759999</v>
      </c>
      <c r="U17" s="336">
        <f>-'OECD Other oil subsidies'!B64</f>
        <v>-8824285020</v>
      </c>
      <c r="V17" s="342">
        <f t="shared" si="5"/>
        <v>-33576404.501099996</v>
      </c>
      <c r="W17" s="111">
        <f t="shared" si="6"/>
        <v>-20375475.881339997</v>
      </c>
      <c r="X17" s="281">
        <f t="shared" si="7"/>
        <v>2.0371522250921985</v>
      </c>
      <c r="Y17" s="342">
        <f t="shared" si="8"/>
        <v>690264524.11865997</v>
      </c>
      <c r="Z17" s="1"/>
    </row>
    <row r="18" spans="1:26" x14ac:dyDescent="0.6">
      <c r="A18" s="46">
        <f t="shared" si="9"/>
        <v>14</v>
      </c>
      <c r="B18" s="44" t="s">
        <v>12</v>
      </c>
      <c r="C18" s="961">
        <v>4010</v>
      </c>
      <c r="D18" s="961">
        <v>1</v>
      </c>
      <c r="E18" s="348">
        <f>(C18*Assumptions!$C$38)+('Other petroleum products'!D18*Assumptions!$C$13)</f>
        <v>1516135000</v>
      </c>
      <c r="F18" s="391">
        <f>Assumptions!$H$3</f>
        <v>1.1863330000000001</v>
      </c>
      <c r="G18" s="297">
        <f>Assumptions!$C$115</f>
        <v>3.7854100000000002</v>
      </c>
      <c r="H18" s="422"/>
      <c r="I18" s="1077">
        <f>IF(E18=0,0,Assumptions!$C$98)</f>
        <v>2</v>
      </c>
      <c r="J18" s="434"/>
      <c r="K18" s="286">
        <f t="shared" si="10"/>
        <v>0</v>
      </c>
      <c r="L18" s="322"/>
      <c r="M18" s="329"/>
      <c r="N18" s="281"/>
      <c r="O18" s="281"/>
      <c r="P18" s="314">
        <f t="shared" si="0"/>
        <v>0</v>
      </c>
      <c r="Q18" s="1053">
        <f t="shared" si="1"/>
        <v>0</v>
      </c>
      <c r="R18" s="1047">
        <f t="shared" si="2"/>
        <v>0</v>
      </c>
      <c r="S18" s="268">
        <f t="shared" si="3"/>
        <v>0</v>
      </c>
      <c r="T18" s="366">
        <f t="shared" si="4"/>
        <v>0</v>
      </c>
      <c r="U18" s="336">
        <f>-'OECD Other oil subsidies'!B72</f>
        <v>0</v>
      </c>
      <c r="V18" s="342">
        <f t="shared" si="5"/>
        <v>0</v>
      </c>
      <c r="W18" s="111">
        <f t="shared" si="6"/>
        <v>0</v>
      </c>
      <c r="X18" s="281">
        <f t="shared" si="7"/>
        <v>2</v>
      </c>
      <c r="Y18" s="342">
        <f t="shared" si="8"/>
        <v>3032270000</v>
      </c>
      <c r="Z18" s="1"/>
    </row>
    <row r="19" spans="1:26" x14ac:dyDescent="0.6">
      <c r="A19" s="46">
        <f t="shared" si="9"/>
        <v>15</v>
      </c>
      <c r="B19" s="44" t="s">
        <v>13</v>
      </c>
      <c r="C19" s="961">
        <v>945</v>
      </c>
      <c r="D19" s="961">
        <v>3</v>
      </c>
      <c r="E19" s="348">
        <f>(C19*Assumptions!$C$38)+('Other petroleum products'!D19*Assumptions!$C$13)</f>
        <v>358275000</v>
      </c>
      <c r="F19" s="391">
        <f>Assumptions!$H$3</f>
        <v>1.1863330000000001</v>
      </c>
      <c r="G19" s="297">
        <f>Assumptions!$C$115</f>
        <v>3.7854100000000002</v>
      </c>
      <c r="H19" s="422"/>
      <c r="I19" s="1077">
        <f>IF(E19=0,0,Assumptions!$C$98)</f>
        <v>2</v>
      </c>
      <c r="J19" s="434">
        <f>-U19/E19/G19</f>
        <v>3.1750653194463721E-3</v>
      </c>
      <c r="K19" s="286">
        <f t="shared" si="10"/>
        <v>1.425844617860582E-2</v>
      </c>
      <c r="L19" s="322"/>
      <c r="M19" s="329"/>
      <c r="N19" s="281"/>
      <c r="O19" s="281"/>
      <c r="P19" s="314">
        <f t="shared" si="0"/>
        <v>0</v>
      </c>
      <c r="Q19" s="1053">
        <f t="shared" si="1"/>
        <v>1.425844617860582E-2</v>
      </c>
      <c r="R19" s="1047">
        <f t="shared" si="2"/>
        <v>5108444.8046400007</v>
      </c>
      <c r="S19" s="268">
        <f t="shared" si="3"/>
        <v>1.425844617860582E-2</v>
      </c>
      <c r="T19" s="366">
        <f t="shared" si="4"/>
        <v>5108444.8046400007</v>
      </c>
      <c r="U19" s="336">
        <f>-'OECD Other oil subsidies'!B74</f>
        <v>-4306080</v>
      </c>
      <c r="V19" s="342">
        <f t="shared" si="5"/>
        <v>-5108444.8046400007</v>
      </c>
      <c r="W19" s="111">
        <f t="shared" si="6"/>
        <v>0</v>
      </c>
      <c r="X19" s="281">
        <f t="shared" si="7"/>
        <v>2.0142584461786059</v>
      </c>
      <c r="Y19" s="342">
        <f t="shared" si="8"/>
        <v>716550000</v>
      </c>
      <c r="Z19" s="1"/>
    </row>
    <row r="20" spans="1:26" x14ac:dyDescent="0.6">
      <c r="A20" s="46">
        <f t="shared" si="9"/>
        <v>16</v>
      </c>
      <c r="B20" s="44" t="s">
        <v>14</v>
      </c>
      <c r="C20" s="961">
        <v>958</v>
      </c>
      <c r="D20" s="961">
        <v>4</v>
      </c>
      <c r="E20" s="348">
        <f>(C20*Assumptions!$C$38)+('Other petroleum products'!D20*Assumptions!$C$13)</f>
        <v>363544000</v>
      </c>
      <c r="F20" s="391">
        <f>Assumptions!$H$18</f>
        <v>0.28262100000000001</v>
      </c>
      <c r="G20" s="297">
        <f>Assumptions!$C$115</f>
        <v>3.7854100000000002</v>
      </c>
      <c r="H20" s="424"/>
      <c r="I20" s="1077">
        <f>IF(E20=0,0,Assumptions!$C$98)</f>
        <v>2</v>
      </c>
      <c r="J20" s="431"/>
      <c r="K20" s="286">
        <f t="shared" si="10"/>
        <v>0</v>
      </c>
      <c r="L20" s="322"/>
      <c r="M20" s="329"/>
      <c r="N20" s="281"/>
      <c r="O20" s="281"/>
      <c r="P20" s="314">
        <f t="shared" si="0"/>
        <v>0</v>
      </c>
      <c r="Q20" s="1053">
        <f t="shared" si="1"/>
        <v>0</v>
      </c>
      <c r="R20" s="1047">
        <f t="shared" si="2"/>
        <v>0</v>
      </c>
      <c r="S20" s="268">
        <f t="shared" si="3"/>
        <v>0</v>
      </c>
      <c r="T20" s="366">
        <f t="shared" si="4"/>
        <v>0</v>
      </c>
      <c r="U20" s="336">
        <f>-'OECD Other oil subsidies'!B77</f>
        <v>-6919884</v>
      </c>
      <c r="V20" s="342">
        <f t="shared" si="5"/>
        <v>-1955704.535964</v>
      </c>
      <c r="W20" s="111">
        <f t="shared" si="6"/>
        <v>-1955704.535964</v>
      </c>
      <c r="X20" s="281">
        <f t="shared" si="7"/>
        <v>2</v>
      </c>
      <c r="Y20" s="342">
        <f t="shared" si="8"/>
        <v>725132295.46403599</v>
      </c>
      <c r="Z20" s="1"/>
    </row>
    <row r="21" spans="1:26" x14ac:dyDescent="0.6">
      <c r="A21" s="46">
        <f t="shared" si="9"/>
        <v>17</v>
      </c>
      <c r="B21" s="44" t="s">
        <v>15</v>
      </c>
      <c r="C21" s="961">
        <v>661</v>
      </c>
      <c r="D21" s="961">
        <v>1</v>
      </c>
      <c r="E21" s="348">
        <f>(C21*Assumptions!$C$38)+('Other petroleum products'!D21*Assumptions!$C$13)</f>
        <v>250213000</v>
      </c>
      <c r="F21" s="391">
        <f>Assumptions!$H$3</f>
        <v>1.1863330000000001</v>
      </c>
      <c r="G21" s="297">
        <f>Assumptions!$C$115</f>
        <v>3.7854100000000002</v>
      </c>
      <c r="H21" s="422"/>
      <c r="I21" s="1077">
        <f>IF(E21=0,0,Assumptions!$C$98)</f>
        <v>2</v>
      </c>
      <c r="J21" s="434"/>
      <c r="K21" s="286">
        <f t="shared" si="10"/>
        <v>0</v>
      </c>
      <c r="L21" s="322"/>
      <c r="M21" s="329"/>
      <c r="N21" s="281"/>
      <c r="O21" s="281"/>
      <c r="P21" s="314">
        <f t="shared" si="0"/>
        <v>0</v>
      </c>
      <c r="Q21" s="1053">
        <f t="shared" si="1"/>
        <v>0</v>
      </c>
      <c r="R21" s="1047">
        <f t="shared" si="2"/>
        <v>0</v>
      </c>
      <c r="S21" s="268">
        <f t="shared" si="3"/>
        <v>0</v>
      </c>
      <c r="T21" s="366">
        <f t="shared" si="4"/>
        <v>0</v>
      </c>
      <c r="U21" s="336">
        <f>-'OECD Other oil subsidies'!B79</f>
        <v>0</v>
      </c>
      <c r="V21" s="342">
        <f t="shared" si="5"/>
        <v>0</v>
      </c>
      <c r="W21" s="111">
        <f t="shared" si="6"/>
        <v>0</v>
      </c>
      <c r="X21" s="281">
        <f t="shared" si="7"/>
        <v>2</v>
      </c>
      <c r="Y21" s="342">
        <f t="shared" si="8"/>
        <v>500426000</v>
      </c>
      <c r="Z21" s="1"/>
    </row>
    <row r="22" spans="1:26" x14ac:dyDescent="0.6">
      <c r="A22" s="46">
        <f t="shared" si="9"/>
        <v>18</v>
      </c>
      <c r="B22" s="44" t="s">
        <v>16</v>
      </c>
      <c r="C22" s="961">
        <v>0</v>
      </c>
      <c r="D22" s="961">
        <v>1</v>
      </c>
      <c r="E22" s="348">
        <f>(C22*Assumptions!$C$38)+('Other petroleum products'!D22*Assumptions!$C$13)</f>
        <v>355000</v>
      </c>
      <c r="F22" s="391">
        <f>Assumptions!$H$3</f>
        <v>1.1863330000000001</v>
      </c>
      <c r="G22" s="297">
        <f>Assumptions!$C$115</f>
        <v>3.7854100000000002</v>
      </c>
      <c r="H22" s="422"/>
      <c r="I22" s="1077">
        <f>IF(E22=0,0,Assumptions!$C$98)</f>
        <v>2</v>
      </c>
      <c r="J22" s="434"/>
      <c r="K22" s="286">
        <f t="shared" si="10"/>
        <v>0</v>
      </c>
      <c r="L22" s="322"/>
      <c r="M22" s="329"/>
      <c r="N22" s="281"/>
      <c r="O22" s="281"/>
      <c r="P22" s="314">
        <f t="shared" si="0"/>
        <v>0</v>
      </c>
      <c r="Q22" s="1053">
        <f t="shared" si="1"/>
        <v>0</v>
      </c>
      <c r="R22" s="1047">
        <f t="shared" si="2"/>
        <v>0</v>
      </c>
      <c r="S22" s="268">
        <f t="shared" si="3"/>
        <v>0</v>
      </c>
      <c r="T22" s="366">
        <f t="shared" si="4"/>
        <v>0</v>
      </c>
      <c r="U22" s="336">
        <f>-'OECD Other oil subsidies'!B81</f>
        <v>0</v>
      </c>
      <c r="V22" s="342">
        <f t="shared" si="5"/>
        <v>0</v>
      </c>
      <c r="W22" s="111">
        <f t="shared" si="6"/>
        <v>0</v>
      </c>
      <c r="X22" s="281">
        <f t="shared" si="7"/>
        <v>2</v>
      </c>
      <c r="Y22" s="342">
        <f t="shared" si="8"/>
        <v>710000</v>
      </c>
      <c r="Z22" s="1"/>
    </row>
    <row r="23" spans="1:26" x14ac:dyDescent="0.6">
      <c r="A23" s="46">
        <f t="shared" si="9"/>
        <v>19</v>
      </c>
      <c r="B23" s="44" t="s">
        <v>17</v>
      </c>
      <c r="C23" s="961">
        <v>204</v>
      </c>
      <c r="D23" s="961">
        <v>0</v>
      </c>
      <c r="E23" s="348">
        <f>(C23*Assumptions!$C$38)+('Other petroleum products'!D23*Assumptions!$C$13)</f>
        <v>77112000</v>
      </c>
      <c r="F23" s="391">
        <f>Assumptions!$H$3</f>
        <v>1.1863330000000001</v>
      </c>
      <c r="G23" s="297">
        <f>Assumptions!$C$115</f>
        <v>3.7854100000000002</v>
      </c>
      <c r="H23" s="422"/>
      <c r="I23" s="1077">
        <f>IF(E23=0,0,Assumptions!$C$98)</f>
        <v>2</v>
      </c>
      <c r="J23" s="434"/>
      <c r="K23" s="286">
        <f t="shared" si="10"/>
        <v>0</v>
      </c>
      <c r="L23" s="322"/>
      <c r="M23" s="329"/>
      <c r="N23" s="281"/>
      <c r="O23" s="281"/>
      <c r="P23" s="314">
        <f t="shared" si="0"/>
        <v>0</v>
      </c>
      <c r="Q23" s="1053">
        <f t="shared" si="1"/>
        <v>0</v>
      </c>
      <c r="R23" s="1047">
        <f t="shared" si="2"/>
        <v>0</v>
      </c>
      <c r="S23" s="268">
        <f t="shared" si="3"/>
        <v>0</v>
      </c>
      <c r="T23" s="366">
        <f t="shared" si="4"/>
        <v>0</v>
      </c>
      <c r="U23" s="336">
        <f>-'OECD Other oil subsidies'!B83</f>
        <v>0</v>
      </c>
      <c r="V23" s="342">
        <f t="shared" si="5"/>
        <v>0</v>
      </c>
      <c r="W23" s="111">
        <f t="shared" si="6"/>
        <v>0</v>
      </c>
      <c r="X23" s="281">
        <f t="shared" si="7"/>
        <v>2</v>
      </c>
      <c r="Y23" s="342">
        <f t="shared" si="8"/>
        <v>154224000</v>
      </c>
      <c r="Z23" s="1"/>
    </row>
    <row r="24" spans="1:26" x14ac:dyDescent="0.6">
      <c r="A24" s="46">
        <f t="shared" si="9"/>
        <v>20</v>
      </c>
      <c r="B24" s="44" t="s">
        <v>18</v>
      </c>
      <c r="C24" s="961">
        <v>291</v>
      </c>
      <c r="D24" s="961">
        <v>1</v>
      </c>
      <c r="E24" s="348">
        <f>(C24*Assumptions!$C$38)+('Other petroleum products'!D24*Assumptions!$C$13)</f>
        <v>110353000</v>
      </c>
      <c r="F24" s="391">
        <f>Assumptions!$H$3</f>
        <v>1.1863330000000001</v>
      </c>
      <c r="G24" s="297">
        <f>Assumptions!$C$115</f>
        <v>3.7854100000000002</v>
      </c>
      <c r="H24" s="422"/>
      <c r="I24" s="1077">
        <f>IF(E24=0,0,Assumptions!$C$98)</f>
        <v>2</v>
      </c>
      <c r="J24" s="427"/>
      <c r="K24" s="286">
        <f t="shared" si="10"/>
        <v>0</v>
      </c>
      <c r="L24" s="322"/>
      <c r="M24" s="329"/>
      <c r="N24" s="281"/>
      <c r="O24" s="281"/>
      <c r="P24" s="314">
        <f t="shared" si="0"/>
        <v>0</v>
      </c>
      <c r="Q24" s="1053">
        <f t="shared" si="1"/>
        <v>0</v>
      </c>
      <c r="R24" s="1047">
        <f t="shared" si="2"/>
        <v>0</v>
      </c>
      <c r="S24" s="268">
        <f t="shared" si="3"/>
        <v>0</v>
      </c>
      <c r="T24" s="366">
        <f t="shared" si="4"/>
        <v>0</v>
      </c>
      <c r="U24" s="336">
        <f>-'OECD Other oil subsidies'!B85</f>
        <v>0</v>
      </c>
      <c r="V24" s="342">
        <f t="shared" si="5"/>
        <v>0</v>
      </c>
      <c r="W24" s="111">
        <f t="shared" si="6"/>
        <v>0</v>
      </c>
      <c r="X24" s="281">
        <f t="shared" si="7"/>
        <v>2</v>
      </c>
      <c r="Y24" s="342">
        <f t="shared" si="8"/>
        <v>220706000</v>
      </c>
      <c r="Z24" s="1"/>
    </row>
    <row r="25" spans="1:26" x14ac:dyDescent="0.6">
      <c r="A25" s="46">
        <f t="shared" si="9"/>
        <v>21</v>
      </c>
      <c r="B25" s="44" t="s">
        <v>19</v>
      </c>
      <c r="C25" s="961">
        <v>239</v>
      </c>
      <c r="D25" s="961">
        <v>2</v>
      </c>
      <c r="E25" s="348">
        <f>(C25*Assumptions!$C$38)+('Other petroleum products'!D25*Assumptions!$C$13)</f>
        <v>91052000</v>
      </c>
      <c r="F25" s="391">
        <f>Assumptions!$H$19</f>
        <v>0.119739</v>
      </c>
      <c r="G25" s="297">
        <f>Assumptions!$C$115</f>
        <v>3.7854100000000002</v>
      </c>
      <c r="H25" s="425"/>
      <c r="I25" s="1077">
        <f>IF(E25=0,0,Assumptions!$C$98)</f>
        <v>2</v>
      </c>
      <c r="J25" s="1184">
        <f>-U25/E25/G25</f>
        <v>0.12741240355226346</v>
      </c>
      <c r="K25" s="286">
        <f t="shared" si="10"/>
        <v>5.7751099947008305E-2</v>
      </c>
      <c r="L25" s="322"/>
      <c r="M25" s="329"/>
      <c r="N25" s="281"/>
      <c r="O25" s="281"/>
      <c r="P25" s="314">
        <f t="shared" si="0"/>
        <v>0</v>
      </c>
      <c r="Q25" s="1053">
        <f t="shared" si="1"/>
        <v>5.7751099947008305E-2</v>
      </c>
      <c r="R25" s="1047">
        <f t="shared" si="2"/>
        <v>5258353.1523750005</v>
      </c>
      <c r="S25" s="268">
        <f t="shared" si="3"/>
        <v>5.7751099947008305E-2</v>
      </c>
      <c r="T25" s="366">
        <f t="shared" si="4"/>
        <v>5258353.1523750005</v>
      </c>
      <c r="U25" s="336">
        <f>-'OECD Other oil subsidies'!B87</f>
        <v>-43915125</v>
      </c>
      <c r="V25" s="342">
        <f t="shared" si="5"/>
        <v>-5258353.1523749996</v>
      </c>
      <c r="W25" s="111">
        <f t="shared" si="6"/>
        <v>0</v>
      </c>
      <c r="X25" s="281">
        <f t="shared" si="7"/>
        <v>2.0577510999470081</v>
      </c>
      <c r="Y25" s="342">
        <f t="shared" si="8"/>
        <v>182103999.99999997</v>
      </c>
      <c r="Z25" s="1"/>
    </row>
    <row r="26" spans="1:26" ht="15.9" thickBot="1" x14ac:dyDescent="0.65">
      <c r="A26" s="15">
        <f t="shared" si="9"/>
        <v>22</v>
      </c>
      <c r="B26" s="47" t="s">
        <v>20</v>
      </c>
      <c r="C26" s="962">
        <v>1115</v>
      </c>
      <c r="D26" s="962">
        <v>1</v>
      </c>
      <c r="E26" s="349">
        <f>(C26*Assumptions!$C$38)+('Other petroleum products'!D26*Assumptions!$C$13)</f>
        <v>421825000</v>
      </c>
      <c r="F26" s="419">
        <f>Assumptions!$H$20</f>
        <v>1.337591</v>
      </c>
      <c r="G26" s="299">
        <f>Assumptions!$C$115</f>
        <v>3.7854100000000002</v>
      </c>
      <c r="H26" s="421"/>
      <c r="I26" s="1055">
        <f>IF(E26=0,0,Assumptions!$C$98)</f>
        <v>2</v>
      </c>
      <c r="J26" s="433"/>
      <c r="K26" s="308">
        <f t="shared" si="10"/>
        <v>0</v>
      </c>
      <c r="L26" s="359"/>
      <c r="M26" s="334"/>
      <c r="N26" s="318"/>
      <c r="O26" s="318"/>
      <c r="P26" s="319">
        <f t="shared" si="0"/>
        <v>0</v>
      </c>
      <c r="Q26" s="1054">
        <f t="shared" si="1"/>
        <v>0</v>
      </c>
      <c r="R26" s="1048">
        <f t="shared" si="2"/>
        <v>0</v>
      </c>
      <c r="S26" s="269">
        <f t="shared" si="3"/>
        <v>0</v>
      </c>
      <c r="T26" s="368">
        <f t="shared" si="4"/>
        <v>0</v>
      </c>
      <c r="U26" s="340">
        <f>-'OECD Other oil subsidies'!B93</f>
        <v>0</v>
      </c>
      <c r="V26" s="344">
        <f t="shared" si="5"/>
        <v>0</v>
      </c>
      <c r="W26" s="163">
        <f t="shared" si="6"/>
        <v>0</v>
      </c>
      <c r="X26" s="318">
        <f t="shared" si="7"/>
        <v>2</v>
      </c>
      <c r="Y26" s="344">
        <f t="shared" si="8"/>
        <v>843650000</v>
      </c>
      <c r="Z26" s="1"/>
    </row>
    <row r="27" spans="1:26" ht="15.9" thickTop="1" x14ac:dyDescent="0.6">
      <c r="A27" s="48" t="s">
        <v>882</v>
      </c>
      <c r="B27" s="44"/>
      <c r="C27" s="961"/>
      <c r="D27" s="961"/>
      <c r="E27" s="348"/>
      <c r="F27" s="399"/>
      <c r="G27" s="297"/>
      <c r="H27" s="383"/>
      <c r="I27" s="1077"/>
      <c r="J27" s="393"/>
      <c r="K27" s="306"/>
      <c r="L27" s="322"/>
      <c r="M27" s="329"/>
      <c r="N27" s="320"/>
      <c r="O27" s="320"/>
      <c r="P27" s="314"/>
      <c r="Q27" s="1053"/>
      <c r="R27" s="1047"/>
      <c r="S27" s="310"/>
      <c r="T27" s="366"/>
      <c r="U27" s="336"/>
      <c r="V27" s="342"/>
      <c r="W27" s="111"/>
      <c r="X27" s="320"/>
      <c r="Y27" s="342"/>
      <c r="Z27" s="1"/>
    </row>
    <row r="28" spans="1:26" x14ac:dyDescent="0.6">
      <c r="A28" s="61">
        <f>A26+1</f>
        <v>23</v>
      </c>
      <c r="B28" s="44" t="s">
        <v>38</v>
      </c>
      <c r="C28" s="961">
        <v>3965</v>
      </c>
      <c r="D28" s="961">
        <v>46</v>
      </c>
      <c r="E28" s="348">
        <f>(C28*Assumptions!$C$38)+('Other petroleum products'!D28*Assumptions!$C$13)</f>
        <v>1515100000</v>
      </c>
      <c r="F28" s="399">
        <f>Assumptions!$H$4</f>
        <v>0.78824099999999997</v>
      </c>
      <c r="G28" s="297">
        <f>Assumptions!$C$115</f>
        <v>3.7854100000000002</v>
      </c>
      <c r="H28" s="441"/>
      <c r="I28" s="1077">
        <f>IF(E28=0,0,Assumptions!$C$98)</f>
        <v>2</v>
      </c>
      <c r="J28" s="447">
        <f>('OECD Other oil subsidies'!B102+'OECD Other oil subsidies'!B103)/E28/G28</f>
        <v>7.5096542572907427E-3</v>
      </c>
      <c r="K28" s="306">
        <f t="shared" si="10"/>
        <v>2.2407421749805291E-2</v>
      </c>
      <c r="L28" s="322"/>
      <c r="M28" s="329"/>
      <c r="N28" s="320"/>
      <c r="O28" s="320"/>
      <c r="P28" s="314">
        <f t="shared" ref="P28:P34" si="11">M28*E28</f>
        <v>0</v>
      </c>
      <c r="Q28" s="1053">
        <f t="shared" si="1"/>
        <v>2.2407421749805291E-2</v>
      </c>
      <c r="R28" s="1047">
        <f t="shared" ref="R28:R34" si="12">Q28*E28</f>
        <v>33949484.693129994</v>
      </c>
      <c r="S28" s="310">
        <f t="shared" ref="S28:S34" si="13">N28+K28</f>
        <v>2.2407421749805291E-2</v>
      </c>
      <c r="T28" s="366">
        <f t="shared" ref="T28:T34" si="14">E28*S28</f>
        <v>33949484.693129994</v>
      </c>
      <c r="U28" s="336">
        <f>-'OECD Other oil subsidies'!B95</f>
        <v>-173333450</v>
      </c>
      <c r="V28" s="342">
        <f t="shared" ref="V28:V34" si="15">U28*F28</f>
        <v>-136628531.96144998</v>
      </c>
      <c r="W28" s="111">
        <f t="shared" ref="W28:W34" si="16">T28+V28</f>
        <v>-102679047.26831999</v>
      </c>
      <c r="X28" s="320">
        <f t="shared" ref="X28:X38" si="17">(I28+K28)*(1+L28)</f>
        <v>2.0224074217498051</v>
      </c>
      <c r="Y28" s="342">
        <f t="shared" ref="Y28:Y34" si="18">X28*E28+V28</f>
        <v>2927520952.7316794</v>
      </c>
      <c r="Z28" s="1"/>
    </row>
    <row r="29" spans="1:26" x14ac:dyDescent="0.6">
      <c r="A29" s="61">
        <f t="shared" ref="A29:A34" si="19">A28+1</f>
        <v>24</v>
      </c>
      <c r="B29" s="44" t="s">
        <v>39</v>
      </c>
      <c r="C29" s="961">
        <v>0</v>
      </c>
      <c r="D29" s="961">
        <v>3</v>
      </c>
      <c r="E29" s="348">
        <f>(C29*Assumptions!$C$38)+('Other petroleum products'!D29*Assumptions!$C$13)</f>
        <v>1065000</v>
      </c>
      <c r="F29" s="399">
        <f>Assumptions!$H$5</f>
        <v>0.12035</v>
      </c>
      <c r="G29" s="297">
        <f>Assumptions!$C$115</f>
        <v>3.7854100000000002</v>
      </c>
      <c r="H29" s="442"/>
      <c r="I29" s="1077">
        <f>IF(E29=0,0,Assumptions!$C$98)</f>
        <v>2</v>
      </c>
      <c r="J29" s="448">
        <f>-U29/E29/G29</f>
        <v>0.64429559933926195</v>
      </c>
      <c r="K29" s="306">
        <f t="shared" si="10"/>
        <v>0.29352438361502348</v>
      </c>
      <c r="L29" s="322"/>
      <c r="M29" s="329"/>
      <c r="N29" s="320"/>
      <c r="O29" s="320"/>
      <c r="P29" s="314">
        <f t="shared" si="11"/>
        <v>0</v>
      </c>
      <c r="Q29" s="1053">
        <f t="shared" si="1"/>
        <v>0.29352438361502348</v>
      </c>
      <c r="R29" s="1047">
        <f t="shared" si="12"/>
        <v>312603.46854999999</v>
      </c>
      <c r="S29" s="310">
        <f t="shared" si="13"/>
        <v>0.29352438361502348</v>
      </c>
      <c r="T29" s="366">
        <f t="shared" si="14"/>
        <v>312603.46854999999</v>
      </c>
      <c r="U29" s="336">
        <f>-'OECD Other oil subsidies'!B105</f>
        <v>-2597453</v>
      </c>
      <c r="V29" s="342">
        <f t="shared" si="15"/>
        <v>-312603.46854999999</v>
      </c>
      <c r="W29" s="111">
        <f t="shared" si="16"/>
        <v>0</v>
      </c>
      <c r="X29" s="320">
        <f t="shared" si="17"/>
        <v>2.2935243836150234</v>
      </c>
      <c r="Y29" s="342">
        <f t="shared" si="18"/>
        <v>2130000</v>
      </c>
      <c r="Z29" s="1"/>
    </row>
    <row r="30" spans="1:26" x14ac:dyDescent="0.6">
      <c r="A30" s="61">
        <f t="shared" si="19"/>
        <v>25</v>
      </c>
      <c r="B30" s="44" t="s">
        <v>40</v>
      </c>
      <c r="C30" s="961">
        <v>24</v>
      </c>
      <c r="D30" s="961">
        <v>3</v>
      </c>
      <c r="E30" s="348">
        <f>(C30*Assumptions!$C$38)+('Other petroleum products'!D30*Assumptions!$C$13)</f>
        <v>10137000</v>
      </c>
      <c r="F30" s="399">
        <f>Assumptions!$H$6</f>
        <v>1.010632</v>
      </c>
      <c r="G30" s="297">
        <f>Assumptions!$C$115</f>
        <v>3.7854100000000002</v>
      </c>
      <c r="H30" s="443"/>
      <c r="I30" s="1077">
        <f>IF(E30=0,0,Assumptions!$C$98)</f>
        <v>2</v>
      </c>
      <c r="J30" s="449">
        <f>-U30/E30/G30</f>
        <v>0.26989439586538233</v>
      </c>
      <c r="K30" s="306">
        <f t="shared" si="10"/>
        <v>1.0325232442205781</v>
      </c>
      <c r="L30" s="322"/>
      <c r="M30" s="329"/>
      <c r="N30" s="320"/>
      <c r="O30" s="320"/>
      <c r="P30" s="314">
        <f t="shared" si="11"/>
        <v>0</v>
      </c>
      <c r="Q30" s="1053">
        <f t="shared" si="1"/>
        <v>1.0325232442205781</v>
      </c>
      <c r="R30" s="1047">
        <f t="shared" si="12"/>
        <v>10466688.126664</v>
      </c>
      <c r="S30" s="310">
        <f t="shared" si="13"/>
        <v>1.0325232442205781</v>
      </c>
      <c r="T30" s="366">
        <f t="shared" si="14"/>
        <v>10466688.126664</v>
      </c>
      <c r="U30" s="336">
        <f>-'OECD Other oil subsidies'!B112</f>
        <v>-10356577</v>
      </c>
      <c r="V30" s="342">
        <f t="shared" si="15"/>
        <v>-10466688.126664</v>
      </c>
      <c r="W30" s="111">
        <f t="shared" si="16"/>
        <v>0</v>
      </c>
      <c r="X30" s="320">
        <f t="shared" si="17"/>
        <v>3.0325232442205783</v>
      </c>
      <c r="Y30" s="342">
        <f t="shared" si="18"/>
        <v>20274000</v>
      </c>
      <c r="Z30" s="1"/>
    </row>
    <row r="31" spans="1:26" x14ac:dyDescent="0.6">
      <c r="A31" s="46">
        <f t="shared" si="19"/>
        <v>26</v>
      </c>
      <c r="B31" s="44" t="s">
        <v>31</v>
      </c>
      <c r="C31" s="961">
        <v>30378</v>
      </c>
      <c r="D31" s="961">
        <v>1</v>
      </c>
      <c r="E31" s="348">
        <f>(C31*Assumptions!$C$38)+('Other petroleum products'!D31*Assumptions!$C$13)</f>
        <v>11483239000</v>
      </c>
      <c r="F31" s="399">
        <f>Assumptions!$H$7</f>
        <v>8.829E-3</v>
      </c>
      <c r="G31" s="297">
        <f>Assumptions!$C$115</f>
        <v>3.7854100000000002</v>
      </c>
      <c r="H31" s="484"/>
      <c r="I31" s="1077">
        <f>IF(E31=0,0,Assumptions!$C$98)</f>
        <v>2</v>
      </c>
      <c r="J31" s="469">
        <f>'Kero-Comm'!I31</f>
        <v>0</v>
      </c>
      <c r="K31" s="842">
        <f t="shared" si="10"/>
        <v>0</v>
      </c>
      <c r="L31" s="322"/>
      <c r="M31" s="329"/>
      <c r="N31" s="320"/>
      <c r="O31" s="320"/>
      <c r="P31" s="314">
        <f t="shared" si="11"/>
        <v>0</v>
      </c>
      <c r="Q31" s="1053">
        <f t="shared" si="1"/>
        <v>0</v>
      </c>
      <c r="R31" s="1047">
        <f t="shared" si="12"/>
        <v>0</v>
      </c>
      <c r="S31" s="310">
        <f t="shared" si="13"/>
        <v>0</v>
      </c>
      <c r="T31" s="366">
        <f t="shared" si="14"/>
        <v>0</v>
      </c>
      <c r="U31" s="336">
        <f>-'OECD Other oil subsidies'!B116</f>
        <v>0</v>
      </c>
      <c r="V31" s="342">
        <f t="shared" si="15"/>
        <v>0</v>
      </c>
      <c r="W31" s="111">
        <f t="shared" si="16"/>
        <v>0</v>
      </c>
      <c r="X31" s="320">
        <f t="shared" si="17"/>
        <v>2</v>
      </c>
      <c r="Y31" s="342">
        <f t="shared" si="18"/>
        <v>22966478000</v>
      </c>
      <c r="Z31" s="1"/>
    </row>
    <row r="32" spans="1:26" x14ac:dyDescent="0.6">
      <c r="A32" s="46">
        <f t="shared" si="19"/>
        <v>27</v>
      </c>
      <c r="B32" s="44" t="s">
        <v>47</v>
      </c>
      <c r="C32" s="961">
        <v>39870</v>
      </c>
      <c r="D32" s="961">
        <v>4</v>
      </c>
      <c r="E32" s="348">
        <f>(C32*Assumptions!$C$38)+('Other petroleum products'!D32*Assumptions!$C$13)</f>
        <v>15072280000</v>
      </c>
      <c r="F32" s="399">
        <f>Assumptions!$H$8</f>
        <v>9.3000000000000005E-4</v>
      </c>
      <c r="G32" s="297">
        <f>Assumptions!$C$115</f>
        <v>3.7854100000000002</v>
      </c>
      <c r="H32" s="446"/>
      <c r="I32" s="1077">
        <f>IF(E32=0,0,Assumptions!$C$98)</f>
        <v>2</v>
      </c>
      <c r="J32" s="470">
        <f>-U32/E32/G32</f>
        <v>2.9164963913335847E-2</v>
      </c>
      <c r="K32" s="306">
        <f t="shared" si="10"/>
        <v>1.02673251823878E-4</v>
      </c>
      <c r="L32" s="322"/>
      <c r="M32" s="329"/>
      <c r="N32" s="320"/>
      <c r="O32" s="320"/>
      <c r="P32" s="314">
        <f t="shared" si="11"/>
        <v>0</v>
      </c>
      <c r="Q32" s="1053">
        <f t="shared" si="1"/>
        <v>1.02673251823878E-4</v>
      </c>
      <c r="R32" s="1047">
        <f t="shared" si="12"/>
        <v>1547520</v>
      </c>
      <c r="S32" s="310">
        <f t="shared" si="13"/>
        <v>1.02673251823878E-4</v>
      </c>
      <c r="T32" s="366">
        <f t="shared" si="14"/>
        <v>1547520</v>
      </c>
      <c r="U32" s="336">
        <f>-'OECD Other oil subsidies'!B118</f>
        <v>-1664000000</v>
      </c>
      <c r="V32" s="342">
        <f t="shared" si="15"/>
        <v>-1547520</v>
      </c>
      <c r="W32" s="111">
        <f t="shared" si="16"/>
        <v>0</v>
      </c>
      <c r="X32" s="320">
        <f t="shared" si="17"/>
        <v>2.0001026732518237</v>
      </c>
      <c r="Y32" s="342">
        <f t="shared" si="18"/>
        <v>30144559999.999996</v>
      </c>
      <c r="Z32" s="1"/>
    </row>
    <row r="33" spans="1:27" x14ac:dyDescent="0.6">
      <c r="A33" s="46">
        <f t="shared" si="19"/>
        <v>28</v>
      </c>
      <c r="B33" s="44" t="s">
        <v>32</v>
      </c>
      <c r="C33" s="961">
        <v>52</v>
      </c>
      <c r="D33" s="961">
        <v>48</v>
      </c>
      <c r="E33" s="348">
        <f>(C33*Assumptions!$C$38)+('Other petroleum products'!D33*Assumptions!$C$13)</f>
        <v>36696000</v>
      </c>
      <c r="F33" s="399">
        <f>Assumptions!$H$9</f>
        <v>0.77382200000000001</v>
      </c>
      <c r="G33" s="297">
        <f>Assumptions!$C$115</f>
        <v>3.7854100000000002</v>
      </c>
      <c r="H33" s="389"/>
      <c r="I33" s="1077">
        <f>IF(E33=0,0,Assumptions!$C$98)</f>
        <v>2</v>
      </c>
      <c r="J33" s="452">
        <f>-U33/E33/G33</f>
        <v>0.15902555296922335</v>
      </c>
      <c r="K33" s="306">
        <f t="shared" si="10"/>
        <v>0.46582298300059954</v>
      </c>
      <c r="L33" s="322"/>
      <c r="M33" s="329"/>
      <c r="N33" s="320"/>
      <c r="O33" s="320"/>
      <c r="P33" s="314">
        <f t="shared" si="11"/>
        <v>0</v>
      </c>
      <c r="Q33" s="1053">
        <f t="shared" si="1"/>
        <v>0.46582298300059954</v>
      </c>
      <c r="R33" s="1047">
        <f t="shared" si="12"/>
        <v>17093840.184190001</v>
      </c>
      <c r="S33" s="310">
        <f t="shared" si="13"/>
        <v>0.46582298300059954</v>
      </c>
      <c r="T33" s="366">
        <f t="shared" si="14"/>
        <v>17093840.184190001</v>
      </c>
      <c r="U33" s="336">
        <f>-'OECD Other oil subsidies'!B121</f>
        <v>-22090145</v>
      </c>
      <c r="V33" s="342">
        <f t="shared" si="15"/>
        <v>-17093840.184190001</v>
      </c>
      <c r="W33" s="111">
        <f t="shared" si="16"/>
        <v>0</v>
      </c>
      <c r="X33" s="320">
        <f t="shared" si="17"/>
        <v>2.4658229830005993</v>
      </c>
      <c r="Y33" s="342">
        <f t="shared" si="18"/>
        <v>73391999.999999985</v>
      </c>
    </row>
    <row r="34" spans="1:27" ht="15.9" thickBot="1" x14ac:dyDescent="0.65">
      <c r="A34" s="15">
        <f t="shared" si="19"/>
        <v>29</v>
      </c>
      <c r="B34" s="47" t="s">
        <v>33</v>
      </c>
      <c r="C34" s="962">
        <v>0</v>
      </c>
      <c r="D34" s="962">
        <v>10</v>
      </c>
      <c r="E34" s="349">
        <f>(C34*Assumptions!$C$38)+('Other petroleum products'!D34*Assumptions!$C$13)</f>
        <v>3550000</v>
      </c>
      <c r="F34" s="417">
        <f>Assumptions!$H$10</f>
        <v>0.70460400000000001</v>
      </c>
      <c r="G34" s="299">
        <f>Assumptions!$C$115</f>
        <v>3.7854100000000002</v>
      </c>
      <c r="H34" s="445"/>
      <c r="I34" s="1055">
        <f>IF(E34=0,0,Assumptions!$C$98)</f>
        <v>2</v>
      </c>
      <c r="J34" s="453">
        <f>'Kero-Comm'!I34</f>
        <v>0</v>
      </c>
      <c r="K34" s="309">
        <f t="shared" si="10"/>
        <v>0</v>
      </c>
      <c r="L34" s="359"/>
      <c r="M34" s="334"/>
      <c r="N34" s="321"/>
      <c r="O34" s="321"/>
      <c r="P34" s="319">
        <f t="shared" si="11"/>
        <v>0</v>
      </c>
      <c r="Q34" s="1054">
        <f t="shared" si="1"/>
        <v>0</v>
      </c>
      <c r="R34" s="1048">
        <f t="shared" si="12"/>
        <v>0</v>
      </c>
      <c r="S34" s="312">
        <f t="shared" si="13"/>
        <v>0</v>
      </c>
      <c r="T34" s="368">
        <f t="shared" si="14"/>
        <v>0</v>
      </c>
      <c r="U34" s="340">
        <f>-'OECD Other oil subsidies'!B123</f>
        <v>0</v>
      </c>
      <c r="V34" s="344">
        <f t="shared" si="15"/>
        <v>0</v>
      </c>
      <c r="W34" s="163">
        <f t="shared" si="16"/>
        <v>0</v>
      </c>
      <c r="X34" s="321">
        <f t="shared" si="17"/>
        <v>2</v>
      </c>
      <c r="Y34" s="344">
        <f t="shared" si="18"/>
        <v>7100000</v>
      </c>
    </row>
    <row r="35" spans="1:27" ht="15.9" thickTop="1" x14ac:dyDescent="0.6">
      <c r="A35" s="49" t="s">
        <v>883</v>
      </c>
      <c r="B35" s="50"/>
      <c r="C35" s="961"/>
      <c r="D35" s="961"/>
      <c r="E35" s="348"/>
      <c r="F35" s="391"/>
      <c r="G35" s="297"/>
      <c r="H35" s="295"/>
      <c r="I35" s="304"/>
      <c r="J35" s="393"/>
      <c r="K35" s="306"/>
      <c r="L35" s="322"/>
      <c r="M35" s="329"/>
      <c r="N35" s="320"/>
      <c r="O35" s="320"/>
      <c r="P35" s="314"/>
      <c r="Q35" s="1053"/>
      <c r="R35" s="1047"/>
      <c r="S35" s="310"/>
      <c r="T35" s="366"/>
      <c r="U35" s="336"/>
      <c r="V35" s="342"/>
      <c r="W35" s="111"/>
      <c r="X35" s="320"/>
      <c r="Y35" s="342"/>
    </row>
    <row r="36" spans="1:27" x14ac:dyDescent="0.6">
      <c r="A36" s="72">
        <f>A34+1</f>
        <v>30</v>
      </c>
      <c r="B36" s="50" t="s">
        <v>46</v>
      </c>
      <c r="C36" s="961">
        <v>45737</v>
      </c>
      <c r="D36" s="961">
        <v>0</v>
      </c>
      <c r="E36" s="348">
        <f>(C36*Assumptions!$C$38)+('Other petroleum products'!D36*Assumptions!$C$13)</f>
        <v>17288586000</v>
      </c>
      <c r="F36" s="399">
        <f>Assumptions!$H$11</f>
        <v>0.152529</v>
      </c>
      <c r="G36" s="297">
        <f>Assumptions!$C$115</f>
        <v>3.7854100000000002</v>
      </c>
      <c r="H36" s="295"/>
      <c r="I36" s="1163">
        <f>IF(E36=0,0,Assumptions!$C$98)</f>
        <v>2</v>
      </c>
      <c r="J36" s="1058"/>
      <c r="K36" s="306">
        <f t="shared" si="10"/>
        <v>0</v>
      </c>
      <c r="L36" s="322"/>
      <c r="M36" s="329"/>
      <c r="N36" s="320"/>
      <c r="O36" s="320"/>
      <c r="P36" s="314">
        <f>M36*E36</f>
        <v>0</v>
      </c>
      <c r="Q36" s="1053">
        <f t="shared" si="1"/>
        <v>0</v>
      </c>
      <c r="R36" s="1047">
        <f>Q36*E36</f>
        <v>0</v>
      </c>
      <c r="S36" s="310">
        <f t="shared" ref="S36:S39" si="20">N36+K36</f>
        <v>0</v>
      </c>
      <c r="T36" s="366">
        <f>E36*S36</f>
        <v>0</v>
      </c>
      <c r="U36" s="336">
        <f>-'OECD Other oil subsidies'!B125</f>
        <v>0</v>
      </c>
      <c r="V36" s="342">
        <f>U36*F36</f>
        <v>0</v>
      </c>
      <c r="W36" s="111">
        <f>T36+V36</f>
        <v>0</v>
      </c>
      <c r="X36" s="320">
        <f t="shared" si="17"/>
        <v>2</v>
      </c>
      <c r="Y36" s="342">
        <f>X36*E36+V36</f>
        <v>34577172000</v>
      </c>
    </row>
    <row r="37" spans="1:27" x14ac:dyDescent="0.6">
      <c r="A37" s="46">
        <f>A36+1</f>
        <v>31</v>
      </c>
      <c r="B37" s="50" t="s">
        <v>49</v>
      </c>
      <c r="C37" s="961">
        <v>13220</v>
      </c>
      <c r="D37" s="961">
        <v>0</v>
      </c>
      <c r="E37" s="348">
        <f>(C37*Assumptions!$C$38)+('Other petroleum products'!D37*Assumptions!$C$13)</f>
        <v>4997160000</v>
      </c>
      <c r="F37" s="399">
        <f>Assumptions!$H$12</f>
        <v>1.5587E-2</v>
      </c>
      <c r="G37" s="297">
        <f>Assumptions!$C$115</f>
        <v>3.7854100000000002</v>
      </c>
      <c r="H37" s="1057"/>
      <c r="I37" s="1163">
        <f>IF(E37=0,0,Assumptions!$C$98)</f>
        <v>2</v>
      </c>
      <c r="J37" s="1056">
        <f>'Kero-Comm'!I37</f>
        <v>0</v>
      </c>
      <c r="K37" s="306">
        <f t="shared" si="10"/>
        <v>0</v>
      </c>
      <c r="L37" s="322"/>
      <c r="M37" s="329"/>
      <c r="N37" s="320"/>
      <c r="O37" s="320"/>
      <c r="P37" s="314">
        <f>M37*E37</f>
        <v>0</v>
      </c>
      <c r="Q37" s="1053">
        <f t="shared" si="1"/>
        <v>0</v>
      </c>
      <c r="R37" s="1047">
        <f>Q37*E37</f>
        <v>0</v>
      </c>
      <c r="S37" s="310">
        <f t="shared" si="20"/>
        <v>0</v>
      </c>
      <c r="T37" s="366">
        <f>E37*S37</f>
        <v>0</v>
      </c>
      <c r="U37" s="336">
        <f>-'OECD Other oil subsidies'!B130</f>
        <v>0</v>
      </c>
      <c r="V37" s="342">
        <f>U37*F37</f>
        <v>0</v>
      </c>
      <c r="W37" s="111">
        <f>T37+V37</f>
        <v>0</v>
      </c>
      <c r="X37" s="320">
        <f t="shared" si="17"/>
        <v>2</v>
      </c>
      <c r="Y37" s="342">
        <f>X37*E37+V37</f>
        <v>9994320000</v>
      </c>
    </row>
    <row r="38" spans="1:27" x14ac:dyDescent="0.6">
      <c r="A38" s="46">
        <f>A37+1</f>
        <v>32</v>
      </c>
      <c r="B38" s="44" t="s">
        <v>50</v>
      </c>
      <c r="C38" s="961">
        <v>6518</v>
      </c>
      <c r="D38" s="961">
        <v>46</v>
      </c>
      <c r="E38" s="348">
        <f>(C38*Assumptions!$C$38)+('Other petroleum products'!D38*Assumptions!$C$13)</f>
        <v>2480134000</v>
      </c>
      <c r="F38" s="399">
        <f>Assumptions!$H$13</f>
        <v>0.30204900000000001</v>
      </c>
      <c r="G38" s="297">
        <f>Assumptions!$C$115</f>
        <v>3.7854100000000002</v>
      </c>
      <c r="H38" s="1045"/>
      <c r="I38" s="1077">
        <f>IF(E38=0,0,Assumptions!$C$98)</f>
        <v>2</v>
      </c>
      <c r="J38" s="1044">
        <f>-U38/E38/G38</f>
        <v>3.5432761098535978E-2</v>
      </c>
      <c r="K38" s="306">
        <f t="shared" si="10"/>
        <v>4.0513085762264055E-2</v>
      </c>
      <c r="L38" s="322"/>
      <c r="M38" s="329"/>
      <c r="N38" s="320"/>
      <c r="O38" s="320"/>
      <c r="P38" s="314">
        <f>M38*E38</f>
        <v>0</v>
      </c>
      <c r="Q38" s="1053">
        <f t="shared" si="1"/>
        <v>4.0513085762264055E-2</v>
      </c>
      <c r="R38" s="1047">
        <f>Q38*E38</f>
        <v>100477881.44390699</v>
      </c>
      <c r="S38" s="310">
        <f t="shared" si="20"/>
        <v>4.0513085762264055E-2</v>
      </c>
      <c r="T38" s="366">
        <f>E38*S38</f>
        <v>100477881.44390699</v>
      </c>
      <c r="U38" s="336">
        <f>-'OECD Other oil subsidies'!B132</f>
        <v>-332654243</v>
      </c>
      <c r="V38" s="342">
        <f>U38*F38</f>
        <v>-100477881.44390701</v>
      </c>
      <c r="W38" s="111">
        <f t="shared" ref="W38" si="21">T38+V38</f>
        <v>0</v>
      </c>
      <c r="X38" s="320">
        <f t="shared" si="17"/>
        <v>2.0405130857622642</v>
      </c>
      <c r="Y38" s="342">
        <f>X38*E38+V38</f>
        <v>4960268000.000001</v>
      </c>
    </row>
    <row r="39" spans="1:27" ht="15.9" thickBot="1" x14ac:dyDescent="0.65">
      <c r="A39" s="15">
        <f>A38+1</f>
        <v>33</v>
      </c>
      <c r="B39" s="47" t="s">
        <v>51</v>
      </c>
      <c r="C39" s="962">
        <v>25986</v>
      </c>
      <c r="D39" s="962">
        <v>8</v>
      </c>
      <c r="E39" s="349">
        <f>(C39*Assumptions!$C$38)+('Other petroleum products'!D39*Assumptions!$C$13)</f>
        <v>9825548000</v>
      </c>
      <c r="F39" s="417">
        <f>Assumptions!$H$14</f>
        <v>1.7344999999999999E-2</v>
      </c>
      <c r="G39" s="299">
        <f>Assumptions!$C$115</f>
        <v>3.7854100000000002</v>
      </c>
      <c r="H39" s="296"/>
      <c r="I39" s="1055">
        <f>IF(E39=0,0,Assumptions!$C$98)</f>
        <v>2</v>
      </c>
      <c r="J39" s="1076">
        <f>-U39/E39/G39</f>
        <v>6.4277856798770731E-4</v>
      </c>
      <c r="K39" s="309">
        <f t="shared" si="10"/>
        <v>4.2203514368358889E-5</v>
      </c>
      <c r="L39" s="359"/>
      <c r="M39" s="334"/>
      <c r="N39" s="321"/>
      <c r="O39" s="321"/>
      <c r="P39" s="319">
        <f>M39*E39</f>
        <v>0</v>
      </c>
      <c r="Q39" s="1054">
        <f t="shared" si="1"/>
        <v>4.2203514368358889E-5</v>
      </c>
      <c r="R39" s="1048">
        <f>Q39*E39</f>
        <v>414672.65619499993</v>
      </c>
      <c r="S39" s="312">
        <f t="shared" si="20"/>
        <v>4.2203514368358889E-5</v>
      </c>
      <c r="T39" s="368">
        <f>E39*S39</f>
        <v>414672.65619499993</v>
      </c>
      <c r="U39" s="340">
        <f>-'OECD Other oil subsidies'!B136</f>
        <v>-23907331</v>
      </c>
      <c r="V39" s="344">
        <f>U39*F39</f>
        <v>-414672.65619499999</v>
      </c>
      <c r="W39" s="163">
        <f>T39+V39</f>
        <v>0</v>
      </c>
      <c r="X39" s="321">
        <f>I39</f>
        <v>2</v>
      </c>
      <c r="Y39" s="344">
        <f>X39*E39+V39</f>
        <v>19650681327.343803</v>
      </c>
    </row>
    <row r="40" spans="1:27" ht="15.9" thickTop="1" x14ac:dyDescent="0.6">
      <c r="A40" s="48" t="s">
        <v>52</v>
      </c>
      <c r="B40" s="44"/>
      <c r="C40" s="961"/>
      <c r="D40" s="961"/>
      <c r="E40" s="348"/>
      <c r="F40" s="391"/>
      <c r="G40" s="390"/>
      <c r="H40" s="293"/>
      <c r="I40" s="301"/>
      <c r="J40" s="393"/>
      <c r="K40" s="394"/>
      <c r="L40" s="322"/>
      <c r="M40" s="329"/>
      <c r="N40" s="320"/>
      <c r="O40" s="320"/>
      <c r="P40" s="314"/>
      <c r="Q40" s="1046"/>
      <c r="R40" s="1047"/>
      <c r="S40" s="395"/>
      <c r="T40" s="396"/>
      <c r="U40" s="542"/>
      <c r="V40" s="543"/>
      <c r="W40" s="573"/>
      <c r="X40" s="571"/>
      <c r="Y40" s="548"/>
      <c r="AA40" s="55"/>
    </row>
    <row r="41" spans="1:27" x14ac:dyDescent="0.6">
      <c r="A41" s="61">
        <f>A39+1</f>
        <v>34</v>
      </c>
      <c r="B41" s="44" t="s">
        <v>48</v>
      </c>
      <c r="C41" s="961">
        <v>745</v>
      </c>
      <c r="D41" s="961">
        <v>14</v>
      </c>
      <c r="E41" s="348">
        <f>(C41*Assumptions!$C$38)+('Other petroleum products'!D41*Assumptions!$C$13)</f>
        <v>286580000</v>
      </c>
      <c r="F41" s="399"/>
      <c r="G41" s="390">
        <f>Assumptions!$C$115</f>
        <v>3.7854100000000002</v>
      </c>
      <c r="H41" s="1128"/>
      <c r="I41" s="1163">
        <f>IF(E41=0,0,Assumptions!$C$98)</f>
        <v>2</v>
      </c>
      <c r="J41" s="382"/>
      <c r="K41" s="394"/>
      <c r="L41" s="322"/>
      <c r="M41" s="329"/>
      <c r="N41" s="320"/>
      <c r="O41" s="320"/>
      <c r="P41" s="314"/>
      <c r="Q41" s="1046"/>
      <c r="R41" s="1047"/>
      <c r="S41" s="395"/>
      <c r="T41" s="396"/>
      <c r="U41" s="336"/>
      <c r="V41" s="342"/>
      <c r="W41" s="574"/>
      <c r="X41" s="1043">
        <f t="shared" ref="X41:X65" si="22">I41</f>
        <v>2</v>
      </c>
      <c r="Y41" s="342">
        <f t="shared" ref="Y41:Y65" si="23">X41*E41</f>
        <v>573160000</v>
      </c>
    </row>
    <row r="42" spans="1:27" x14ac:dyDescent="0.6">
      <c r="A42" s="46">
        <f>A41+1</f>
        <v>35</v>
      </c>
      <c r="B42" s="44" t="s">
        <v>53</v>
      </c>
      <c r="C42" s="961">
        <v>25</v>
      </c>
      <c r="D42" s="961">
        <v>0</v>
      </c>
      <c r="E42" s="348">
        <f>(C42*Assumptions!$C$38)+('Other petroleum products'!D42*Assumptions!$C$13)</f>
        <v>9450000</v>
      </c>
      <c r="F42" s="391"/>
      <c r="G42" s="390">
        <f>Assumptions!$C$115</f>
        <v>3.7854100000000002</v>
      </c>
      <c r="H42" s="1128"/>
      <c r="I42" s="1163">
        <f>IF(E42=0,0,Assumptions!$C$98)</f>
        <v>2</v>
      </c>
      <c r="J42" s="382"/>
      <c r="K42" s="394"/>
      <c r="L42" s="322"/>
      <c r="M42" s="329"/>
      <c r="N42" s="320"/>
      <c r="O42" s="320"/>
      <c r="P42" s="314"/>
      <c r="Q42" s="1046"/>
      <c r="R42" s="1047"/>
      <c r="S42" s="395"/>
      <c r="T42" s="394"/>
      <c r="U42" s="336"/>
      <c r="V42" s="342"/>
      <c r="W42" s="574"/>
      <c r="X42" s="1043">
        <f t="shared" si="22"/>
        <v>2</v>
      </c>
      <c r="Y42" s="342">
        <f t="shared" si="23"/>
        <v>18900000</v>
      </c>
    </row>
    <row r="43" spans="1:27" x14ac:dyDescent="0.6">
      <c r="A43" s="46">
        <f t="shared" ref="A43:A65" si="24">A42+1</f>
        <v>36</v>
      </c>
      <c r="B43" s="44" t="s">
        <v>54</v>
      </c>
      <c r="C43" s="961">
        <v>29</v>
      </c>
      <c r="D43" s="961">
        <v>0</v>
      </c>
      <c r="E43" s="348">
        <f>(C43*Assumptions!$C$38)+('Other petroleum products'!D43*Assumptions!$C$13)</f>
        <v>10962000</v>
      </c>
      <c r="F43" s="391"/>
      <c r="G43" s="390">
        <f>Assumptions!$C$115</f>
        <v>3.7854100000000002</v>
      </c>
      <c r="H43" s="1128"/>
      <c r="I43" s="1163">
        <f>IF(E43=0,0,Assumptions!$C$98)</f>
        <v>2</v>
      </c>
      <c r="J43" s="382"/>
      <c r="K43" s="394"/>
      <c r="L43" s="322"/>
      <c r="M43" s="329"/>
      <c r="N43" s="320"/>
      <c r="O43" s="320"/>
      <c r="P43" s="314"/>
      <c r="Q43" s="1046"/>
      <c r="R43" s="1047"/>
      <c r="S43" s="395"/>
      <c r="T43" s="396"/>
      <c r="U43" s="336"/>
      <c r="V43" s="342"/>
      <c r="W43" s="574"/>
      <c r="X43" s="1043">
        <f t="shared" si="22"/>
        <v>2</v>
      </c>
      <c r="Y43" s="342">
        <f t="shared" si="23"/>
        <v>21924000</v>
      </c>
    </row>
    <row r="44" spans="1:27" s="85" customFormat="1" x14ac:dyDescent="0.6">
      <c r="A44" s="61">
        <f t="shared" si="24"/>
        <v>37</v>
      </c>
      <c r="B44" s="86" t="s">
        <v>55</v>
      </c>
      <c r="C44" s="961">
        <v>223</v>
      </c>
      <c r="D44" s="961">
        <v>0</v>
      </c>
      <c r="E44" s="348">
        <f>(C44*Assumptions!$C$38)+('Other petroleum products'!D44*Assumptions!$C$13)</f>
        <v>84294000</v>
      </c>
      <c r="F44" s="1005"/>
      <c r="G44" s="1006">
        <f>Assumptions!$C$115</f>
        <v>3.7854100000000002</v>
      </c>
      <c r="H44" s="1128"/>
      <c r="I44" s="1163">
        <f>IF(E44=0,0,Assumptions!$C$98)</f>
        <v>2</v>
      </c>
      <c r="J44" s="393"/>
      <c r="K44" s="394"/>
      <c r="L44" s="322"/>
      <c r="M44" s="329"/>
      <c r="N44" s="320"/>
      <c r="O44" s="320"/>
      <c r="P44" s="314"/>
      <c r="Q44" s="1046"/>
      <c r="R44" s="1047"/>
      <c r="S44" s="395"/>
      <c r="T44" s="396"/>
      <c r="U44" s="1007"/>
      <c r="V44" s="847"/>
      <c r="W44" s="1008"/>
      <c r="X44" s="1043">
        <f t="shared" si="22"/>
        <v>2</v>
      </c>
      <c r="Y44" s="847">
        <f t="shared" si="23"/>
        <v>168588000</v>
      </c>
      <c r="Z44" s="506"/>
    </row>
    <row r="45" spans="1:27" s="85" customFormat="1" x14ac:dyDescent="0.6">
      <c r="A45" s="61">
        <f t="shared" si="24"/>
        <v>38</v>
      </c>
      <c r="B45" s="86" t="s">
        <v>56</v>
      </c>
      <c r="C45" s="961">
        <v>0</v>
      </c>
      <c r="D45" s="961">
        <v>0</v>
      </c>
      <c r="E45" s="348">
        <f>(C45*Assumptions!$C$38)+('Other petroleum products'!D45*Assumptions!$C$13)</f>
        <v>0</v>
      </c>
      <c r="F45" s="1005"/>
      <c r="G45" s="1006">
        <f>Assumptions!$C$115</f>
        <v>3.7854100000000002</v>
      </c>
      <c r="H45" s="1128"/>
      <c r="I45" s="1163">
        <f>IF(E45=0,0,Assumptions!$C$98)</f>
        <v>0</v>
      </c>
      <c r="J45" s="393"/>
      <c r="K45" s="394"/>
      <c r="L45" s="322"/>
      <c r="M45" s="329"/>
      <c r="N45" s="320"/>
      <c r="O45" s="320"/>
      <c r="P45" s="314"/>
      <c r="Q45" s="1046"/>
      <c r="R45" s="1047"/>
      <c r="S45" s="395"/>
      <c r="T45" s="396"/>
      <c r="U45" s="1007"/>
      <c r="V45" s="847"/>
      <c r="W45" s="1008"/>
      <c r="X45" s="1043">
        <f t="shared" si="22"/>
        <v>0</v>
      </c>
      <c r="Y45" s="847">
        <f t="shared" si="23"/>
        <v>0</v>
      </c>
      <c r="Z45" s="506"/>
    </row>
    <row r="46" spans="1:27" x14ac:dyDescent="0.6">
      <c r="A46" s="46">
        <f t="shared" si="24"/>
        <v>39</v>
      </c>
      <c r="B46" s="44" t="s">
        <v>57</v>
      </c>
      <c r="C46" s="961">
        <v>0</v>
      </c>
      <c r="D46" s="961">
        <v>0</v>
      </c>
      <c r="E46" s="348">
        <f>(C46*Assumptions!$C$38)+('Other petroleum products'!D46*Assumptions!$C$13)</f>
        <v>0</v>
      </c>
      <c r="F46" s="391"/>
      <c r="G46" s="390">
        <f>Assumptions!$C$115</f>
        <v>3.7854100000000002</v>
      </c>
      <c r="H46" s="1128"/>
      <c r="I46" s="1163">
        <f>IF(E46=0,0,Assumptions!$C$98)</f>
        <v>0</v>
      </c>
      <c r="J46" s="382"/>
      <c r="K46" s="400"/>
      <c r="L46" s="323"/>
      <c r="M46" s="329"/>
      <c r="N46" s="324"/>
      <c r="O46" s="324"/>
      <c r="P46" s="314"/>
      <c r="Q46" s="1046"/>
      <c r="R46" s="1047"/>
      <c r="S46" s="401"/>
      <c r="T46" s="396"/>
      <c r="U46" s="336"/>
      <c r="V46" s="342"/>
      <c r="W46" s="574"/>
      <c r="X46" s="1043">
        <f t="shared" si="22"/>
        <v>0</v>
      </c>
      <c r="Y46" s="342">
        <f t="shared" si="23"/>
        <v>0</v>
      </c>
    </row>
    <row r="47" spans="1:27" x14ac:dyDescent="0.6">
      <c r="A47" s="46">
        <f t="shared" si="24"/>
        <v>40</v>
      </c>
      <c r="B47" s="44" t="s">
        <v>58</v>
      </c>
      <c r="C47" s="961">
        <v>0</v>
      </c>
      <c r="D47" s="961">
        <v>4</v>
      </c>
      <c r="E47" s="348">
        <f>(C47*Assumptions!$C$38)+('Other petroleum products'!D47*Assumptions!$C$13)</f>
        <v>1420000</v>
      </c>
      <c r="F47" s="391"/>
      <c r="G47" s="390">
        <f>Assumptions!$C$115</f>
        <v>3.7854100000000002</v>
      </c>
      <c r="H47" s="1128"/>
      <c r="I47" s="1163">
        <f>IF(E47=0,0,Assumptions!$C$98)</f>
        <v>2</v>
      </c>
      <c r="J47" s="382"/>
      <c r="K47" s="392"/>
      <c r="L47" s="325"/>
      <c r="M47" s="329"/>
      <c r="N47" s="281"/>
      <c r="O47" s="281"/>
      <c r="P47" s="314"/>
      <c r="Q47" s="1046"/>
      <c r="R47" s="1047"/>
      <c r="S47" s="402"/>
      <c r="T47" s="403"/>
      <c r="U47" s="336"/>
      <c r="V47" s="342"/>
      <c r="W47" s="574"/>
      <c r="X47" s="1043">
        <f t="shared" si="22"/>
        <v>2</v>
      </c>
      <c r="Y47" s="342">
        <f t="shared" si="23"/>
        <v>2840000</v>
      </c>
    </row>
    <row r="48" spans="1:27" x14ac:dyDescent="0.6">
      <c r="A48" s="46">
        <f t="shared" si="24"/>
        <v>41</v>
      </c>
      <c r="B48" s="44" t="s">
        <v>59</v>
      </c>
      <c r="C48" s="961">
        <v>0</v>
      </c>
      <c r="D48" s="961">
        <v>0</v>
      </c>
      <c r="E48" s="348">
        <f>(C48*Assumptions!$C$38)+('Other petroleum products'!D48*Assumptions!$C$13)</f>
        <v>0</v>
      </c>
      <c r="F48" s="391"/>
      <c r="G48" s="390">
        <f>Assumptions!$C$115</f>
        <v>3.7854100000000002</v>
      </c>
      <c r="H48" s="1128"/>
      <c r="I48" s="1163">
        <f>IF(E48=0,0,Assumptions!$C$98)</f>
        <v>0</v>
      </c>
      <c r="J48" s="382"/>
      <c r="K48" s="392"/>
      <c r="L48" s="325"/>
      <c r="M48" s="329"/>
      <c r="N48" s="281"/>
      <c r="O48" s="281"/>
      <c r="P48" s="314"/>
      <c r="Q48" s="1046"/>
      <c r="R48" s="1047"/>
      <c r="S48" s="402"/>
      <c r="T48" s="396"/>
      <c r="U48" s="336"/>
      <c r="V48" s="342"/>
      <c r="W48" s="574"/>
      <c r="X48" s="1043">
        <f t="shared" si="22"/>
        <v>0</v>
      </c>
      <c r="Y48" s="342">
        <f t="shared" si="23"/>
        <v>0</v>
      </c>
    </row>
    <row r="49" spans="1:26" x14ac:dyDescent="0.6">
      <c r="A49" s="46">
        <f t="shared" si="24"/>
        <v>42</v>
      </c>
      <c r="B49" s="44" t="s">
        <v>60</v>
      </c>
      <c r="C49" s="961">
        <v>0</v>
      </c>
      <c r="D49" s="961">
        <v>0</v>
      </c>
      <c r="E49" s="348">
        <f>(C49*Assumptions!$C$38)+('Other petroleum products'!D49*Assumptions!$C$13)</f>
        <v>0</v>
      </c>
      <c r="F49" s="391"/>
      <c r="G49" s="390">
        <f>Assumptions!$C$115</f>
        <v>3.7854100000000002</v>
      </c>
      <c r="H49" s="1128"/>
      <c r="I49" s="1163">
        <f>IF(E49=0,0,Assumptions!$C$98)</f>
        <v>0</v>
      </c>
      <c r="J49" s="382"/>
      <c r="K49" s="392"/>
      <c r="L49" s="325"/>
      <c r="M49" s="329"/>
      <c r="N49" s="281"/>
      <c r="O49" s="281"/>
      <c r="P49" s="314"/>
      <c r="Q49" s="1046"/>
      <c r="R49" s="1047"/>
      <c r="S49" s="402"/>
      <c r="T49" s="396"/>
      <c r="U49" s="336"/>
      <c r="V49" s="342"/>
      <c r="W49" s="574"/>
      <c r="X49" s="1043">
        <f t="shared" si="22"/>
        <v>0</v>
      </c>
      <c r="Y49" s="342">
        <f t="shared" si="23"/>
        <v>0</v>
      </c>
    </row>
    <row r="50" spans="1:26" s="85" customFormat="1" x14ac:dyDescent="0.6">
      <c r="A50" s="61">
        <f t="shared" si="24"/>
        <v>43</v>
      </c>
      <c r="B50" s="86" t="s">
        <v>61</v>
      </c>
      <c r="C50" s="961">
        <v>1289</v>
      </c>
      <c r="D50" s="961">
        <v>0</v>
      </c>
      <c r="E50" s="348">
        <f>(C50*Assumptions!$C$38)+('Other petroleum products'!D50*Assumptions!$C$13)</f>
        <v>487242000</v>
      </c>
      <c r="F50" s="1009"/>
      <c r="G50" s="1006">
        <f>Assumptions!$C$115</f>
        <v>3.7854100000000002</v>
      </c>
      <c r="H50" s="1128"/>
      <c r="I50" s="1163">
        <f>IF(E50=0,0,Assumptions!$C$98)</f>
        <v>2</v>
      </c>
      <c r="J50" s="393"/>
      <c r="K50" s="394"/>
      <c r="L50" s="322"/>
      <c r="M50" s="329"/>
      <c r="N50" s="320"/>
      <c r="O50" s="320"/>
      <c r="P50" s="314"/>
      <c r="Q50" s="1046"/>
      <c r="R50" s="1047"/>
      <c r="S50" s="395"/>
      <c r="T50" s="396"/>
      <c r="U50" s="1007"/>
      <c r="V50" s="847"/>
      <c r="W50" s="1008"/>
      <c r="X50" s="1043">
        <f t="shared" si="22"/>
        <v>2</v>
      </c>
      <c r="Y50" s="847">
        <f t="shared" si="23"/>
        <v>974484000</v>
      </c>
      <c r="Z50" s="506"/>
    </row>
    <row r="51" spans="1:26" s="85" customFormat="1" x14ac:dyDescent="0.6">
      <c r="A51" s="61">
        <f t="shared" si="24"/>
        <v>44</v>
      </c>
      <c r="B51" s="86" t="s">
        <v>62</v>
      </c>
      <c r="C51" s="961">
        <v>0</v>
      </c>
      <c r="D51" s="961">
        <v>0</v>
      </c>
      <c r="E51" s="348">
        <f>(C51*Assumptions!$C$38)+('Other petroleum products'!D51*Assumptions!$C$13)</f>
        <v>0</v>
      </c>
      <c r="F51" s="1005"/>
      <c r="G51" s="1006">
        <f>Assumptions!$C$115</f>
        <v>3.7854100000000002</v>
      </c>
      <c r="H51" s="1128"/>
      <c r="I51" s="1163">
        <f>IF(E51=0,0,Assumptions!$C$98)</f>
        <v>0</v>
      </c>
      <c r="J51" s="393"/>
      <c r="K51" s="394"/>
      <c r="L51" s="322"/>
      <c r="M51" s="329"/>
      <c r="N51" s="320"/>
      <c r="O51" s="320"/>
      <c r="P51" s="314"/>
      <c r="Q51" s="1046"/>
      <c r="R51" s="1047"/>
      <c r="S51" s="395"/>
      <c r="T51" s="396"/>
      <c r="U51" s="1007"/>
      <c r="V51" s="847"/>
      <c r="W51" s="1008"/>
      <c r="X51" s="1043">
        <f t="shared" si="22"/>
        <v>0</v>
      </c>
      <c r="Y51" s="847">
        <f t="shared" si="23"/>
        <v>0</v>
      </c>
      <c r="Z51" s="506"/>
    </row>
    <row r="52" spans="1:26" s="85" customFormat="1" x14ac:dyDescent="0.6">
      <c r="A52" s="61">
        <f t="shared" si="24"/>
        <v>45</v>
      </c>
      <c r="B52" s="86" t="s">
        <v>63</v>
      </c>
      <c r="C52" s="961">
        <v>1634</v>
      </c>
      <c r="D52" s="961">
        <v>0</v>
      </c>
      <c r="E52" s="348">
        <f>(C52*Assumptions!$C$38)+('Other petroleum products'!D52*Assumptions!$C$13)</f>
        <v>617652000</v>
      </c>
      <c r="F52" s="1005"/>
      <c r="G52" s="1006">
        <f>Assumptions!$C$115</f>
        <v>3.7854100000000002</v>
      </c>
      <c r="H52" s="1128"/>
      <c r="I52" s="1163">
        <f>IF(E52=0,0,Assumptions!$C$98)</f>
        <v>2</v>
      </c>
      <c r="J52" s="393"/>
      <c r="K52" s="394"/>
      <c r="L52" s="322"/>
      <c r="M52" s="329"/>
      <c r="N52" s="320"/>
      <c r="O52" s="320"/>
      <c r="P52" s="314"/>
      <c r="Q52" s="1046"/>
      <c r="R52" s="1047"/>
      <c r="S52" s="395"/>
      <c r="T52" s="396"/>
      <c r="U52" s="1007"/>
      <c r="V52" s="847"/>
      <c r="W52" s="1008"/>
      <c r="X52" s="1043">
        <f t="shared" si="22"/>
        <v>2</v>
      </c>
      <c r="Y52" s="847">
        <f t="shared" si="23"/>
        <v>1235304000</v>
      </c>
      <c r="Z52" s="70"/>
    </row>
    <row r="53" spans="1:26" s="85" customFormat="1" x14ac:dyDescent="0.6">
      <c r="A53" s="61">
        <f t="shared" si="24"/>
        <v>46</v>
      </c>
      <c r="B53" s="86" t="s">
        <v>64</v>
      </c>
      <c r="C53" s="961">
        <v>0</v>
      </c>
      <c r="D53" s="961">
        <v>4</v>
      </c>
      <c r="E53" s="348">
        <f>(C53*Assumptions!$C$38)+('Other petroleum products'!D53*Assumptions!$C$13)</f>
        <v>1420000</v>
      </c>
      <c r="F53" s="1005"/>
      <c r="G53" s="1006">
        <f>Assumptions!$C$115</f>
        <v>3.7854100000000002</v>
      </c>
      <c r="H53" s="1128"/>
      <c r="I53" s="1163">
        <f>IF(E53=0,0,Assumptions!$C$98)</f>
        <v>2</v>
      </c>
      <c r="J53" s="393"/>
      <c r="K53" s="394"/>
      <c r="L53" s="322"/>
      <c r="M53" s="329"/>
      <c r="N53" s="320"/>
      <c r="O53" s="320"/>
      <c r="P53" s="314"/>
      <c r="Q53" s="1046"/>
      <c r="R53" s="1047"/>
      <c r="S53" s="395"/>
      <c r="T53" s="396"/>
      <c r="U53" s="1007"/>
      <c r="V53" s="847"/>
      <c r="W53" s="1008"/>
      <c r="X53" s="1043">
        <f t="shared" si="22"/>
        <v>2</v>
      </c>
      <c r="Y53" s="847">
        <f t="shared" si="23"/>
        <v>2840000</v>
      </c>
      <c r="Z53" s="506"/>
    </row>
    <row r="54" spans="1:26" s="85" customFormat="1" x14ac:dyDescent="0.6">
      <c r="A54" s="61">
        <f t="shared" si="24"/>
        <v>47</v>
      </c>
      <c r="B54" s="86" t="s">
        <v>65</v>
      </c>
      <c r="C54" s="961">
        <v>0</v>
      </c>
      <c r="D54" s="961">
        <v>0</v>
      </c>
      <c r="E54" s="348">
        <f>(C54*Assumptions!$C$38)+('Other petroleum products'!D54*Assumptions!$C$13)</f>
        <v>0</v>
      </c>
      <c r="F54" s="1005"/>
      <c r="G54" s="1006">
        <f>Assumptions!$C$115</f>
        <v>3.7854100000000002</v>
      </c>
      <c r="H54" s="1128"/>
      <c r="I54" s="1163">
        <f>IF(E54=0,0,Assumptions!$C$98)</f>
        <v>0</v>
      </c>
      <c r="J54" s="393"/>
      <c r="K54" s="394"/>
      <c r="L54" s="322"/>
      <c r="M54" s="329"/>
      <c r="N54" s="320"/>
      <c r="O54" s="320"/>
      <c r="P54" s="314"/>
      <c r="Q54" s="1046"/>
      <c r="R54" s="1047"/>
      <c r="S54" s="395"/>
      <c r="T54" s="396"/>
      <c r="U54" s="1007"/>
      <c r="V54" s="1010"/>
      <c r="W54" s="1011"/>
      <c r="X54" s="1043">
        <f t="shared" si="22"/>
        <v>0</v>
      </c>
      <c r="Y54" s="847">
        <f t="shared" si="23"/>
        <v>0</v>
      </c>
      <c r="Z54" s="70"/>
    </row>
    <row r="55" spans="1:26" s="85" customFormat="1" x14ac:dyDescent="0.6">
      <c r="A55" s="61">
        <f t="shared" si="24"/>
        <v>48</v>
      </c>
      <c r="B55" s="86" t="s">
        <v>66</v>
      </c>
      <c r="C55" s="961">
        <v>411</v>
      </c>
      <c r="D55" s="961">
        <v>2</v>
      </c>
      <c r="E55" s="348">
        <f>(C55*Assumptions!$C$38)+('Other petroleum products'!D55*Assumptions!$C$13)</f>
        <v>156068000</v>
      </c>
      <c r="F55" s="1005"/>
      <c r="G55" s="1006">
        <f>Assumptions!$C$115</f>
        <v>3.7854100000000002</v>
      </c>
      <c r="H55" s="1128"/>
      <c r="I55" s="1163">
        <f>IF(E55=0,0,Assumptions!$C$98)</f>
        <v>2</v>
      </c>
      <c r="J55" s="393"/>
      <c r="K55" s="394"/>
      <c r="L55" s="322"/>
      <c r="M55" s="329"/>
      <c r="N55" s="320"/>
      <c r="O55" s="320"/>
      <c r="P55" s="314"/>
      <c r="Q55" s="1046"/>
      <c r="R55" s="1047"/>
      <c r="S55" s="395"/>
      <c r="T55" s="396"/>
      <c r="U55" s="1007"/>
      <c r="V55" s="1010"/>
      <c r="W55" s="1011"/>
      <c r="X55" s="1043">
        <f t="shared" si="22"/>
        <v>2</v>
      </c>
      <c r="Y55" s="847">
        <f t="shared" si="23"/>
        <v>312136000</v>
      </c>
      <c r="Z55" s="506"/>
    </row>
    <row r="56" spans="1:26" s="85" customFormat="1" x14ac:dyDescent="0.6">
      <c r="A56" s="61">
        <f t="shared" si="24"/>
        <v>49</v>
      </c>
      <c r="B56" s="86" t="s">
        <v>67</v>
      </c>
      <c r="C56" s="961">
        <v>0</v>
      </c>
      <c r="D56" s="961">
        <v>0</v>
      </c>
      <c r="E56" s="348">
        <f>(C56*Assumptions!$C$38)+('Other petroleum products'!D56*Assumptions!$C$13)</f>
        <v>0</v>
      </c>
      <c r="F56" s="1005"/>
      <c r="G56" s="1006">
        <f>Assumptions!$C$115</f>
        <v>3.7854100000000002</v>
      </c>
      <c r="H56" s="1128"/>
      <c r="I56" s="1163">
        <f>IF(E56=0,0,Assumptions!$C$98)</f>
        <v>0</v>
      </c>
      <c r="J56" s="393"/>
      <c r="K56" s="394"/>
      <c r="L56" s="322"/>
      <c r="M56" s="329"/>
      <c r="N56" s="320"/>
      <c r="O56" s="320"/>
      <c r="P56" s="314"/>
      <c r="Q56" s="1046"/>
      <c r="R56" s="1047"/>
      <c r="S56" s="395"/>
      <c r="T56" s="396"/>
      <c r="U56" s="1007"/>
      <c r="V56" s="1010"/>
      <c r="W56" s="1011"/>
      <c r="X56" s="1043">
        <f t="shared" si="22"/>
        <v>0</v>
      </c>
      <c r="Y56" s="847">
        <f t="shared" si="23"/>
        <v>0</v>
      </c>
      <c r="Z56" s="506"/>
    </row>
    <row r="57" spans="1:26" s="85" customFormat="1" x14ac:dyDescent="0.6">
      <c r="A57" s="61">
        <f t="shared" si="24"/>
        <v>50</v>
      </c>
      <c r="B57" s="86" t="s">
        <v>68</v>
      </c>
      <c r="C57" s="961">
        <v>0</v>
      </c>
      <c r="D57" s="961">
        <v>0</v>
      </c>
      <c r="E57" s="348">
        <f>(C57*Assumptions!$C$38)+('Other petroleum products'!D57*Assumptions!$C$13)</f>
        <v>0</v>
      </c>
      <c r="F57" s="1005"/>
      <c r="G57" s="1006">
        <f>Assumptions!$C$115</f>
        <v>3.7854100000000002</v>
      </c>
      <c r="H57" s="1128"/>
      <c r="I57" s="1163">
        <f>IF(E57=0,0,Assumptions!$C$98)</f>
        <v>0</v>
      </c>
      <c r="J57" s="393"/>
      <c r="K57" s="394"/>
      <c r="L57" s="322"/>
      <c r="M57" s="329"/>
      <c r="N57" s="320"/>
      <c r="O57" s="320"/>
      <c r="P57" s="314"/>
      <c r="Q57" s="1046"/>
      <c r="R57" s="1047"/>
      <c r="S57" s="395"/>
      <c r="T57" s="396"/>
      <c r="U57" s="1007"/>
      <c r="V57" s="1010"/>
      <c r="W57" s="1011"/>
      <c r="X57" s="1043">
        <f t="shared" si="22"/>
        <v>0</v>
      </c>
      <c r="Y57" s="847">
        <f t="shared" si="23"/>
        <v>0</v>
      </c>
      <c r="Z57" s="506"/>
    </row>
    <row r="58" spans="1:26" s="85" customFormat="1" x14ac:dyDescent="0.6">
      <c r="A58" s="61">
        <f t="shared" si="24"/>
        <v>51</v>
      </c>
      <c r="B58" s="86" t="s">
        <v>695</v>
      </c>
      <c r="C58" s="961">
        <v>509</v>
      </c>
      <c r="D58" s="961">
        <v>0</v>
      </c>
      <c r="E58" s="348">
        <f>(C58*Assumptions!$C$38)+('Other petroleum products'!D58*Assumptions!$C$13)</f>
        <v>192402000</v>
      </c>
      <c r="F58" s="1005"/>
      <c r="G58" s="1006">
        <f>Assumptions!$C$115</f>
        <v>3.7854100000000002</v>
      </c>
      <c r="H58" s="1128"/>
      <c r="I58" s="1163">
        <f>IF(E58=0,0,Assumptions!$C$98)</f>
        <v>2</v>
      </c>
      <c r="J58" s="393"/>
      <c r="K58" s="394"/>
      <c r="L58" s="322"/>
      <c r="M58" s="329"/>
      <c r="N58" s="320"/>
      <c r="O58" s="320"/>
      <c r="P58" s="314"/>
      <c r="Q58" s="1046"/>
      <c r="R58" s="1047"/>
      <c r="S58" s="395"/>
      <c r="T58" s="396"/>
      <c r="U58" s="1007"/>
      <c r="V58" s="1010"/>
      <c r="W58" s="1011"/>
      <c r="X58" s="1043">
        <f t="shared" si="22"/>
        <v>2</v>
      </c>
      <c r="Y58" s="847">
        <f t="shared" si="23"/>
        <v>384804000</v>
      </c>
      <c r="Z58" s="506"/>
    </row>
    <row r="59" spans="1:26" s="85" customFormat="1" x14ac:dyDescent="0.6">
      <c r="A59" s="61">
        <f t="shared" si="24"/>
        <v>52</v>
      </c>
      <c r="B59" s="86" t="s">
        <v>69</v>
      </c>
      <c r="C59" s="961">
        <v>0</v>
      </c>
      <c r="D59" s="961">
        <v>0</v>
      </c>
      <c r="E59" s="348">
        <f>(C59*Assumptions!$C$38)+('Other petroleum products'!D59*Assumptions!$C$13)</f>
        <v>0</v>
      </c>
      <c r="F59" s="1005"/>
      <c r="G59" s="1006">
        <f>Assumptions!$C$115</f>
        <v>3.7854100000000002</v>
      </c>
      <c r="H59" s="1128"/>
      <c r="I59" s="1163">
        <f>IF(E59=0,0,Assumptions!$C$98)</f>
        <v>0</v>
      </c>
      <c r="J59" s="393"/>
      <c r="K59" s="394"/>
      <c r="L59" s="322"/>
      <c r="M59" s="329"/>
      <c r="N59" s="320"/>
      <c r="O59" s="320"/>
      <c r="P59" s="314"/>
      <c r="Q59" s="1046"/>
      <c r="R59" s="1047"/>
      <c r="S59" s="395"/>
      <c r="T59" s="396"/>
      <c r="U59" s="1007"/>
      <c r="V59" s="1010"/>
      <c r="W59" s="1011"/>
      <c r="X59" s="1043">
        <f t="shared" si="22"/>
        <v>0</v>
      </c>
      <c r="Y59" s="847">
        <f t="shared" si="23"/>
        <v>0</v>
      </c>
      <c r="Z59" s="70"/>
    </row>
    <row r="60" spans="1:26" s="85" customFormat="1" x14ac:dyDescent="0.6">
      <c r="A60" s="61">
        <f t="shared" si="24"/>
        <v>53</v>
      </c>
      <c r="B60" s="86" t="s">
        <v>70</v>
      </c>
      <c r="C60" s="961">
        <v>2482</v>
      </c>
      <c r="D60" s="961">
        <v>0</v>
      </c>
      <c r="E60" s="348">
        <f>(C60*Assumptions!$C$38)+('Other petroleum products'!D60*Assumptions!$C$13)</f>
        <v>938196000</v>
      </c>
      <c r="F60" s="1005"/>
      <c r="G60" s="1006">
        <f>Assumptions!$C$115</f>
        <v>3.7854100000000002</v>
      </c>
      <c r="H60" s="1128"/>
      <c r="I60" s="1163">
        <f>IF(E60=0,0,Assumptions!$C$98)</f>
        <v>2</v>
      </c>
      <c r="J60" s="393"/>
      <c r="K60" s="394"/>
      <c r="L60" s="322"/>
      <c r="M60" s="329"/>
      <c r="N60" s="320"/>
      <c r="O60" s="320"/>
      <c r="P60" s="314"/>
      <c r="Q60" s="1046"/>
      <c r="R60" s="1047"/>
      <c r="S60" s="395"/>
      <c r="T60" s="396"/>
      <c r="U60" s="1007"/>
      <c r="V60" s="1010"/>
      <c r="W60" s="1011"/>
      <c r="X60" s="1043">
        <f t="shared" si="22"/>
        <v>2</v>
      </c>
      <c r="Y60" s="847">
        <f t="shared" si="23"/>
        <v>1876392000</v>
      </c>
      <c r="Z60" s="70"/>
    </row>
    <row r="61" spans="1:26" s="85" customFormat="1" x14ac:dyDescent="0.6">
      <c r="A61" s="61">
        <f t="shared" si="24"/>
        <v>54</v>
      </c>
      <c r="B61" s="86" t="s">
        <v>71</v>
      </c>
      <c r="C61" s="961">
        <v>0</v>
      </c>
      <c r="D61" s="961">
        <v>1</v>
      </c>
      <c r="E61" s="348">
        <f>(C61*Assumptions!$C$38)+('Other petroleum products'!D61*Assumptions!$C$13)</f>
        <v>355000</v>
      </c>
      <c r="F61" s="1005"/>
      <c r="G61" s="1006">
        <f>Assumptions!$C$115</f>
        <v>3.7854100000000002</v>
      </c>
      <c r="H61" s="1128"/>
      <c r="I61" s="1163">
        <f>IF(E61=0,0,Assumptions!$C$98)</f>
        <v>2</v>
      </c>
      <c r="J61" s="393"/>
      <c r="K61" s="394"/>
      <c r="L61" s="322"/>
      <c r="M61" s="329"/>
      <c r="N61" s="320"/>
      <c r="O61" s="320"/>
      <c r="P61" s="314"/>
      <c r="Q61" s="1046"/>
      <c r="R61" s="1047"/>
      <c r="S61" s="395"/>
      <c r="T61" s="396"/>
      <c r="U61" s="1007"/>
      <c r="V61" s="1010"/>
      <c r="W61" s="1011"/>
      <c r="X61" s="1043">
        <f t="shared" si="22"/>
        <v>2</v>
      </c>
      <c r="Y61" s="847">
        <f t="shared" si="23"/>
        <v>710000</v>
      </c>
      <c r="Z61" s="506"/>
    </row>
    <row r="62" spans="1:26" s="85" customFormat="1" x14ac:dyDescent="0.6">
      <c r="A62" s="61">
        <f t="shared" si="24"/>
        <v>55</v>
      </c>
      <c r="B62" s="86" t="s">
        <v>72</v>
      </c>
      <c r="C62" s="961">
        <v>0</v>
      </c>
      <c r="D62" s="961">
        <v>0</v>
      </c>
      <c r="E62" s="348">
        <f>(C62*Assumptions!$C$38)+('Other petroleum products'!D62*Assumptions!$C$13)</f>
        <v>0</v>
      </c>
      <c r="F62" s="1005"/>
      <c r="G62" s="1006">
        <f>Assumptions!$C$115</f>
        <v>3.7854100000000002</v>
      </c>
      <c r="H62" s="1128"/>
      <c r="I62" s="1163">
        <f>IF(E62=0,0,Assumptions!$C$98)</f>
        <v>0</v>
      </c>
      <c r="J62" s="393"/>
      <c r="K62" s="394"/>
      <c r="L62" s="322"/>
      <c r="M62" s="329"/>
      <c r="N62" s="320"/>
      <c r="O62" s="320"/>
      <c r="P62" s="314"/>
      <c r="Q62" s="1046"/>
      <c r="R62" s="1047"/>
      <c r="S62" s="395"/>
      <c r="T62" s="396"/>
      <c r="U62" s="1007"/>
      <c r="V62" s="1010"/>
      <c r="W62" s="1011"/>
      <c r="X62" s="1043">
        <f t="shared" si="22"/>
        <v>0</v>
      </c>
      <c r="Y62" s="847">
        <f t="shared" si="23"/>
        <v>0</v>
      </c>
      <c r="Z62" s="506"/>
    </row>
    <row r="63" spans="1:26" s="85" customFormat="1" x14ac:dyDescent="0.6">
      <c r="A63" s="61">
        <f t="shared" si="24"/>
        <v>56</v>
      </c>
      <c r="B63" s="86" t="s">
        <v>73</v>
      </c>
      <c r="C63" s="961">
        <v>0</v>
      </c>
      <c r="D63" s="961">
        <v>0</v>
      </c>
      <c r="E63" s="348">
        <f>(C63*Assumptions!$C$38)+('Other petroleum products'!D63*Assumptions!$C$13)</f>
        <v>0</v>
      </c>
      <c r="F63" s="1005"/>
      <c r="G63" s="1006">
        <f>Assumptions!$C$115</f>
        <v>3.7854100000000002</v>
      </c>
      <c r="H63" s="1128"/>
      <c r="I63" s="1163">
        <f>IF(E63=0,0,Assumptions!$C$98)</f>
        <v>0</v>
      </c>
      <c r="J63" s="393"/>
      <c r="K63" s="394"/>
      <c r="L63" s="322"/>
      <c r="M63" s="329"/>
      <c r="N63" s="320"/>
      <c r="O63" s="320"/>
      <c r="P63" s="314"/>
      <c r="Q63" s="1046"/>
      <c r="R63" s="1047"/>
      <c r="S63" s="395"/>
      <c r="T63" s="396"/>
      <c r="U63" s="1007"/>
      <c r="V63" s="1010"/>
      <c r="W63" s="1011"/>
      <c r="X63" s="1043">
        <f t="shared" si="22"/>
        <v>0</v>
      </c>
      <c r="Y63" s="847">
        <f t="shared" si="23"/>
        <v>0</v>
      </c>
      <c r="Z63" s="70"/>
    </row>
    <row r="64" spans="1:26" s="85" customFormat="1" x14ac:dyDescent="0.6">
      <c r="A64" s="61">
        <f t="shared" si="24"/>
        <v>57</v>
      </c>
      <c r="B64" s="86" t="s">
        <v>74</v>
      </c>
      <c r="C64" s="961">
        <v>0</v>
      </c>
      <c r="D64" s="961">
        <v>2</v>
      </c>
      <c r="E64" s="348">
        <f>(C64*Assumptions!$C$38)+('Other petroleum products'!D64*Assumptions!$C$13)</f>
        <v>710000</v>
      </c>
      <c r="F64" s="1005"/>
      <c r="G64" s="1006">
        <f>Assumptions!$C$115</f>
        <v>3.7854100000000002</v>
      </c>
      <c r="H64" s="1128"/>
      <c r="I64" s="1163">
        <f>IF(E64=0,0,Assumptions!$C$98)</f>
        <v>2</v>
      </c>
      <c r="J64" s="393"/>
      <c r="K64" s="394"/>
      <c r="L64" s="322"/>
      <c r="M64" s="329"/>
      <c r="N64" s="320"/>
      <c r="O64" s="320"/>
      <c r="P64" s="314"/>
      <c r="Q64" s="1046"/>
      <c r="R64" s="1047"/>
      <c r="S64" s="395"/>
      <c r="T64" s="396"/>
      <c r="U64" s="1007"/>
      <c r="V64" s="1010"/>
      <c r="W64" s="1011"/>
      <c r="X64" s="1043">
        <f t="shared" si="22"/>
        <v>2</v>
      </c>
      <c r="Y64" s="847">
        <f t="shared" si="23"/>
        <v>1420000</v>
      </c>
      <c r="Z64" s="506"/>
    </row>
    <row r="65" spans="1:26" s="85" customFormat="1" x14ac:dyDescent="0.6">
      <c r="A65" s="63">
        <f t="shared" si="24"/>
        <v>58</v>
      </c>
      <c r="B65" s="90" t="s">
        <v>75</v>
      </c>
      <c r="C65" s="963">
        <v>0</v>
      </c>
      <c r="D65" s="963">
        <v>0</v>
      </c>
      <c r="E65" s="350">
        <f>(C65*Assumptions!$C$38)+('Other petroleum products'!D65*Assumptions!$C$13)</f>
        <v>0</v>
      </c>
      <c r="F65" s="1012"/>
      <c r="G65" s="1013">
        <f>Assumptions!$C$115</f>
        <v>3.7854100000000002</v>
      </c>
      <c r="H65" s="1129"/>
      <c r="I65" s="1164">
        <f>IF(E65=0,0,Assumptions!$C$98)</f>
        <v>0</v>
      </c>
      <c r="J65" s="819"/>
      <c r="K65" s="858"/>
      <c r="L65" s="967"/>
      <c r="M65" s="335"/>
      <c r="N65" s="1014"/>
      <c r="O65" s="1014"/>
      <c r="P65" s="328"/>
      <c r="Q65" s="1049"/>
      <c r="R65" s="1050"/>
      <c r="S65" s="1015"/>
      <c r="T65" s="409"/>
      <c r="U65" s="1016"/>
      <c r="V65" s="1017"/>
      <c r="W65" s="1018"/>
      <c r="X65" s="1172">
        <f t="shared" si="22"/>
        <v>0</v>
      </c>
      <c r="Y65" s="1019">
        <f t="shared" si="23"/>
        <v>0</v>
      </c>
      <c r="Z65" s="506"/>
    </row>
    <row r="66" spans="1:26" x14ac:dyDescent="0.6">
      <c r="B66" s="1" t="s">
        <v>42</v>
      </c>
      <c r="C66" s="21">
        <f t="shared" ref="C66:D66" si="25">SUM(C4:C65)</f>
        <v>216546</v>
      </c>
      <c r="D66" s="21">
        <f t="shared" si="25"/>
        <v>720</v>
      </c>
      <c r="E66" s="21">
        <f>(C66*Assumptions!$C$38)+('Other petroleum products'!D66*Assumptions!$C$13)</f>
        <v>82109988000</v>
      </c>
      <c r="F66" s="398"/>
      <c r="G66" s="410"/>
      <c r="H66" s="83"/>
      <c r="I66" s="278"/>
      <c r="J66" s="411"/>
      <c r="K66" s="278"/>
      <c r="L66" s="412"/>
      <c r="M66" s="413"/>
      <c r="N66" s="278"/>
      <c r="O66" s="278"/>
      <c r="P66" s="414"/>
      <c r="Q66" s="414"/>
      <c r="R66" s="414"/>
      <c r="S66" s="278"/>
      <c r="T66" s="415"/>
      <c r="U66" s="397"/>
      <c r="V66" s="83"/>
      <c r="W66" s="1"/>
    </row>
    <row r="67" spans="1:26" x14ac:dyDescent="0.6">
      <c r="B67" s="1" t="s">
        <v>357</v>
      </c>
      <c r="C67" s="21">
        <v>254640</v>
      </c>
      <c r="D67" s="21">
        <v>1161</v>
      </c>
      <c r="E67" s="21">
        <f>(C67*Assumptions!$C$38)+('Other petroleum products'!D67*Assumptions!$C$13)</f>
        <v>96666075000</v>
      </c>
      <c r="F67" s="398"/>
      <c r="G67" s="410"/>
      <c r="H67" s="83"/>
      <c r="I67" s="278"/>
      <c r="J67" s="411"/>
      <c r="K67" s="278"/>
      <c r="L67" s="412"/>
      <c r="M67" s="413"/>
      <c r="N67" s="278"/>
      <c r="O67" s="278"/>
      <c r="P67" s="414"/>
      <c r="Q67" s="414"/>
      <c r="R67" s="414"/>
      <c r="S67" s="278"/>
      <c r="T67" s="415"/>
      <c r="U67" s="397"/>
      <c r="V67" s="83"/>
      <c r="W67" s="1"/>
    </row>
    <row r="68" spans="1:26" x14ac:dyDescent="0.6">
      <c r="C68" s="360">
        <f t="shared" ref="C68:D68" si="26">C66/C67</f>
        <v>0.85040056550424126</v>
      </c>
      <c r="D68" s="360">
        <f t="shared" si="26"/>
        <v>0.62015503875968991</v>
      </c>
      <c r="E68" s="360">
        <f>E66/E67</f>
        <v>0.84941886799479549</v>
      </c>
      <c r="F68" s="398"/>
      <c r="G68" s="410"/>
      <c r="H68" s="83"/>
      <c r="I68" s="278"/>
      <c r="J68" s="411"/>
      <c r="K68" s="278"/>
      <c r="L68" s="412"/>
      <c r="M68" s="413"/>
      <c r="N68" s="278"/>
      <c r="O68" s="278"/>
      <c r="P68" s="414"/>
      <c r="Q68" s="414"/>
      <c r="R68" s="414"/>
      <c r="S68" s="278"/>
      <c r="T68" s="415"/>
      <c r="U68" s="397"/>
      <c r="V68" s="83"/>
      <c r="W68" s="1"/>
    </row>
    <row r="69" spans="1:26" x14ac:dyDescent="0.6">
      <c r="A69" s="1"/>
      <c r="E69" s="85"/>
      <c r="F69" s="398"/>
      <c r="G69" s="83"/>
      <c r="H69" s="83"/>
      <c r="I69" s="278"/>
      <c r="J69" s="83"/>
      <c r="K69" s="83"/>
      <c r="L69" s="412"/>
      <c r="M69" s="413"/>
      <c r="N69" s="83"/>
      <c r="O69" s="83"/>
      <c r="P69" s="414"/>
      <c r="Q69" s="414"/>
      <c r="R69" s="414"/>
      <c r="S69" s="83"/>
      <c r="T69" s="416"/>
      <c r="U69" s="397"/>
      <c r="V69" s="83"/>
      <c r="W69" s="1"/>
    </row>
    <row r="70" spans="1:26" x14ac:dyDescent="0.6">
      <c r="E70" s="238"/>
      <c r="F70" s="398"/>
      <c r="G70" s="410"/>
      <c r="H70" s="83"/>
      <c r="I70" s="278"/>
      <c r="J70" s="411"/>
      <c r="K70" s="278"/>
      <c r="L70" s="412"/>
      <c r="M70" s="413"/>
      <c r="N70" s="278"/>
      <c r="O70" s="278"/>
      <c r="P70" s="414"/>
      <c r="Q70" s="414"/>
      <c r="R70" s="414"/>
      <c r="S70" s="278"/>
      <c r="T70" s="415"/>
      <c r="U70" s="397"/>
      <c r="V70" s="276"/>
    </row>
    <row r="71" spans="1:26" x14ac:dyDescent="0.6">
      <c r="F71" s="398"/>
      <c r="G71" s="410"/>
      <c r="H71" s="83"/>
      <c r="I71" s="278"/>
      <c r="J71" s="411"/>
      <c r="K71" s="278"/>
      <c r="L71" s="412"/>
      <c r="M71" s="413"/>
      <c r="N71" s="278"/>
      <c r="O71" s="278"/>
      <c r="P71" s="414"/>
      <c r="Q71" s="414"/>
      <c r="R71" s="414"/>
      <c r="S71" s="278"/>
      <c r="T71" s="415"/>
      <c r="U71" s="397"/>
      <c r="V71" s="276"/>
    </row>
    <row r="72" spans="1:26" x14ac:dyDescent="0.6">
      <c r="F72" s="398"/>
      <c r="G72" s="410"/>
      <c r="H72" s="83"/>
      <c r="I72" s="278"/>
      <c r="J72" s="411"/>
      <c r="K72" s="278"/>
      <c r="L72" s="412"/>
      <c r="M72" s="413"/>
      <c r="N72" s="278"/>
      <c r="O72" s="278"/>
      <c r="P72" s="414"/>
      <c r="Q72" s="414"/>
      <c r="R72" s="414"/>
      <c r="S72" s="278"/>
      <c r="T72" s="415"/>
      <c r="U72" s="397"/>
      <c r="V72" s="276"/>
    </row>
    <row r="73" spans="1:26" x14ac:dyDescent="0.6">
      <c r="F73" s="398"/>
      <c r="G73" s="410"/>
      <c r="H73" s="83"/>
      <c r="I73" s="278"/>
      <c r="J73" s="411"/>
      <c r="K73" s="278"/>
      <c r="L73" s="412"/>
      <c r="M73" s="413"/>
      <c r="N73" s="278"/>
      <c r="O73" s="278"/>
      <c r="P73" s="414"/>
      <c r="Q73" s="414"/>
      <c r="R73" s="414"/>
      <c r="S73" s="278"/>
      <c r="T73" s="415"/>
      <c r="U73" s="397"/>
      <c r="V73" s="276"/>
    </row>
    <row r="74" spans="1:26" x14ac:dyDescent="0.6">
      <c r="F74" s="398"/>
      <c r="G74" s="410"/>
      <c r="H74" s="83"/>
      <c r="I74" s="278"/>
      <c r="J74" s="411"/>
      <c r="K74" s="278"/>
      <c r="L74" s="412"/>
      <c r="M74" s="413"/>
      <c r="N74" s="278"/>
      <c r="O74" s="278"/>
      <c r="P74" s="414"/>
      <c r="Q74" s="414"/>
      <c r="R74" s="414"/>
      <c r="S74" s="278"/>
      <c r="T74" s="415"/>
      <c r="U74" s="397"/>
      <c r="V74" s="276"/>
    </row>
    <row r="75" spans="1:26" x14ac:dyDescent="0.6">
      <c r="F75" s="398"/>
      <c r="G75" s="410"/>
      <c r="H75" s="83"/>
      <c r="I75" s="278"/>
      <c r="J75" s="411"/>
      <c r="K75" s="278"/>
      <c r="L75" s="412"/>
      <c r="M75" s="413"/>
      <c r="N75" s="278"/>
      <c r="O75" s="278"/>
      <c r="P75" s="414"/>
      <c r="Q75" s="414"/>
      <c r="R75" s="414"/>
      <c r="S75" s="278"/>
      <c r="T75" s="415"/>
      <c r="U75" s="397"/>
      <c r="V75" s="276"/>
    </row>
    <row r="76" spans="1:26" x14ac:dyDescent="0.6">
      <c r="F76" s="398"/>
      <c r="G76" s="410"/>
      <c r="H76" s="83"/>
      <c r="I76" s="278"/>
      <c r="J76" s="411"/>
      <c r="K76" s="278"/>
      <c r="L76" s="412"/>
      <c r="M76" s="413"/>
      <c r="N76" s="278"/>
      <c r="O76" s="278"/>
      <c r="P76" s="414"/>
      <c r="Q76" s="414"/>
      <c r="R76" s="414"/>
      <c r="S76" s="278"/>
      <c r="T76" s="415"/>
      <c r="U76" s="397"/>
      <c r="V76" s="276"/>
    </row>
    <row r="77" spans="1:26" x14ac:dyDescent="0.6">
      <c r="F77" s="398"/>
      <c r="G77" s="410"/>
      <c r="H77" s="83"/>
      <c r="I77" s="278"/>
      <c r="J77" s="411"/>
      <c r="K77" s="278"/>
      <c r="L77" s="412"/>
      <c r="M77" s="413"/>
      <c r="N77" s="278"/>
      <c r="O77" s="278"/>
      <c r="P77" s="414"/>
      <c r="Q77" s="414"/>
      <c r="R77" s="414"/>
      <c r="S77" s="278"/>
      <c r="T77" s="415"/>
      <c r="U77" s="397"/>
      <c r="V77" s="276"/>
    </row>
    <row r="78" spans="1:26" x14ac:dyDescent="0.6">
      <c r="F78" s="398"/>
      <c r="G78" s="410"/>
      <c r="H78" s="83"/>
      <c r="I78" s="278"/>
      <c r="J78" s="411"/>
      <c r="K78" s="278"/>
      <c r="L78" s="412"/>
      <c r="M78" s="413"/>
      <c r="N78" s="278"/>
      <c r="O78" s="278"/>
      <c r="P78" s="414"/>
      <c r="Q78" s="414"/>
      <c r="R78" s="414"/>
      <c r="S78" s="278"/>
      <c r="T78" s="415"/>
      <c r="U78" s="397"/>
      <c r="V78" s="276"/>
    </row>
    <row r="79" spans="1:26" x14ac:dyDescent="0.6">
      <c r="F79" s="398"/>
      <c r="G79" s="410"/>
      <c r="H79" s="83"/>
      <c r="I79" s="278"/>
      <c r="J79" s="411"/>
      <c r="K79" s="278"/>
      <c r="L79" s="412"/>
      <c r="M79" s="413"/>
      <c r="N79" s="278"/>
      <c r="O79" s="278"/>
      <c r="P79" s="414"/>
      <c r="Q79" s="414"/>
      <c r="R79" s="414"/>
      <c r="S79" s="278"/>
      <c r="T79" s="415"/>
      <c r="U79" s="397"/>
      <c r="V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94"/>
  <sheetViews>
    <sheetView showGridLines="0" showZeros="0" zoomScale="115" zoomScaleNormal="115" zoomScalePageLayoutView="115" workbookViewId="0"/>
  </sheetViews>
  <sheetFormatPr defaultColWidth="10.84765625" defaultRowHeight="15.6" x14ac:dyDescent="0.6"/>
  <cols>
    <col min="1" max="1" width="18.59765625" style="1" bestFit="1" customWidth="1"/>
    <col min="2" max="2" width="21.84765625" style="1" bestFit="1" customWidth="1"/>
    <col min="3" max="3" width="21" style="1" bestFit="1" customWidth="1"/>
    <col min="4" max="4" width="12.09765625" style="1" bestFit="1" customWidth="1"/>
    <col min="5" max="5" width="17.5" style="1" bestFit="1" customWidth="1"/>
    <col min="6" max="6" width="16" style="1" bestFit="1" customWidth="1"/>
    <col min="7" max="7" width="18.09765625" style="85" bestFit="1" customWidth="1"/>
    <col min="8" max="8" width="13.59765625" style="1067" bestFit="1" customWidth="1"/>
    <col min="9" max="10" width="10.84765625" style="85"/>
    <col min="11" max="11" width="18.59765625" style="85" bestFit="1" customWidth="1"/>
    <col min="12" max="12" width="17.5" style="85" bestFit="1" customWidth="1"/>
    <col min="13" max="15" width="10.84765625" style="85"/>
    <col min="16" max="16384" width="10.84765625" style="1"/>
  </cols>
  <sheetData>
    <row r="1" spans="1:12" x14ac:dyDescent="0.6">
      <c r="C1" s="23"/>
    </row>
    <row r="2" spans="1:12" x14ac:dyDescent="0.6">
      <c r="A2" s="112"/>
      <c r="G2" s="1068" t="s">
        <v>876</v>
      </c>
      <c r="H2" s="1069" t="s">
        <v>877</v>
      </c>
      <c r="I2" s="85" t="s">
        <v>878</v>
      </c>
    </row>
    <row r="3" spans="1:12" x14ac:dyDescent="0.6">
      <c r="A3" s="7" t="s">
        <v>1249</v>
      </c>
      <c r="C3" s="13">
        <f>39700000000</f>
        <v>39700000000</v>
      </c>
      <c r="D3" s="12" t="s">
        <v>29</v>
      </c>
      <c r="G3" s="85" t="s">
        <v>252</v>
      </c>
      <c r="H3" s="1067">
        <v>1.1863330000000001</v>
      </c>
    </row>
    <row r="4" spans="1:12" x14ac:dyDescent="0.6">
      <c r="A4" s="7" t="s">
        <v>253</v>
      </c>
      <c r="C4" s="13">
        <v>130000</v>
      </c>
      <c r="D4" s="12" t="s">
        <v>29</v>
      </c>
      <c r="G4" s="104" t="s">
        <v>38</v>
      </c>
      <c r="H4" s="1067">
        <v>0.78824099999999997</v>
      </c>
    </row>
    <row r="5" spans="1:12" x14ac:dyDescent="0.6">
      <c r="A5" s="7" t="s">
        <v>1252</v>
      </c>
      <c r="C5" s="13">
        <f>C3/C4</f>
        <v>305384.61538461538</v>
      </c>
      <c r="D5" s="12" t="s">
        <v>30</v>
      </c>
      <c r="G5" s="104" t="s">
        <v>39</v>
      </c>
      <c r="H5" s="1067">
        <v>0.12035</v>
      </c>
    </row>
    <row r="6" spans="1:12" x14ac:dyDescent="0.6">
      <c r="A6" s="7" t="s">
        <v>1253</v>
      </c>
      <c r="C6" s="9">
        <f>C5/1000</f>
        <v>305.38461538461536</v>
      </c>
      <c r="D6" s="1" t="s">
        <v>30</v>
      </c>
      <c r="G6" s="104" t="s">
        <v>389</v>
      </c>
      <c r="H6" s="1067">
        <v>1.010632</v>
      </c>
    </row>
    <row r="7" spans="1:12" x14ac:dyDescent="0.6">
      <c r="A7" s="7" t="s">
        <v>1253</v>
      </c>
      <c r="C7" s="9">
        <f>C6*Gasoline!F6</f>
        <v>1156.0059769230768</v>
      </c>
      <c r="D7" s="1" t="s">
        <v>99</v>
      </c>
      <c r="G7" s="104" t="s">
        <v>31</v>
      </c>
      <c r="H7" s="1067">
        <v>8.829E-3</v>
      </c>
    </row>
    <row r="8" spans="1:12" x14ac:dyDescent="0.6">
      <c r="A8" s="7" t="s">
        <v>127</v>
      </c>
      <c r="C8" s="22">
        <v>125000</v>
      </c>
      <c r="D8" s="1" t="s">
        <v>29</v>
      </c>
      <c r="G8" s="104" t="s">
        <v>47</v>
      </c>
      <c r="H8" s="1067">
        <v>9.3000000000000005E-4</v>
      </c>
    </row>
    <row r="9" spans="1:12" x14ac:dyDescent="0.6">
      <c r="G9" s="104" t="s">
        <v>32</v>
      </c>
      <c r="H9" s="1067">
        <v>0.77382200000000001</v>
      </c>
    </row>
    <row r="10" spans="1:12" x14ac:dyDescent="0.6">
      <c r="A10" s="1" t="s">
        <v>81</v>
      </c>
      <c r="C10" s="13">
        <v>947817077.74899995</v>
      </c>
      <c r="D10" s="1" t="s">
        <v>29</v>
      </c>
      <c r="G10" s="104" t="s">
        <v>33</v>
      </c>
      <c r="H10" s="1067">
        <v>0.70460400000000001</v>
      </c>
      <c r="K10" s="21"/>
      <c r="L10" s="70"/>
    </row>
    <row r="11" spans="1:12" x14ac:dyDescent="0.6">
      <c r="C11" s="68"/>
      <c r="G11" s="1070" t="s">
        <v>46</v>
      </c>
      <c r="H11" s="1067">
        <v>0.152529</v>
      </c>
      <c r="K11" s="21"/>
      <c r="L11" s="70"/>
    </row>
    <row r="12" spans="1:12" x14ac:dyDescent="0.6">
      <c r="A12" s="1" t="s">
        <v>1250</v>
      </c>
      <c r="C12" s="3">
        <v>355</v>
      </c>
      <c r="D12" s="1" t="s">
        <v>30</v>
      </c>
      <c r="G12" s="1070" t="s">
        <v>49</v>
      </c>
      <c r="H12" s="1067">
        <v>1.5587E-2</v>
      </c>
      <c r="K12" s="21"/>
    </row>
    <row r="13" spans="1:12" x14ac:dyDescent="0.6">
      <c r="A13" s="1" t="s">
        <v>1251</v>
      </c>
      <c r="C13" s="13">
        <f>C12*1000</f>
        <v>355000</v>
      </c>
      <c r="G13" s="104" t="s">
        <v>50</v>
      </c>
      <c r="H13" s="1067">
        <v>0.30204900000000001</v>
      </c>
      <c r="K13" s="70"/>
    </row>
    <row r="14" spans="1:12" x14ac:dyDescent="0.6">
      <c r="G14" s="104" t="s">
        <v>51</v>
      </c>
      <c r="H14" s="1067">
        <v>1.7344999999999999E-2</v>
      </c>
    </row>
    <row r="15" spans="1:12" x14ac:dyDescent="0.6">
      <c r="A15" s="1" t="s">
        <v>89</v>
      </c>
      <c r="C15" s="1">
        <f>7.46*42</f>
        <v>313.32</v>
      </c>
      <c r="D15" s="1" t="s">
        <v>30</v>
      </c>
      <c r="G15" s="104" t="s">
        <v>1</v>
      </c>
      <c r="H15" s="1067">
        <v>4.5997000000000003E-2</v>
      </c>
    </row>
    <row r="16" spans="1:12" x14ac:dyDescent="0.6">
      <c r="A16" s="1" t="s">
        <v>90</v>
      </c>
      <c r="C16" s="13">
        <f>C15*1000</f>
        <v>313320</v>
      </c>
      <c r="G16" s="104" t="s">
        <v>2</v>
      </c>
      <c r="H16" s="1067">
        <v>0.15934999999999999</v>
      </c>
    </row>
    <row r="17" spans="1:8" x14ac:dyDescent="0.6">
      <c r="G17" s="104" t="s">
        <v>11</v>
      </c>
      <c r="H17" s="1067">
        <v>3.8049999999999998E-3</v>
      </c>
    </row>
    <row r="18" spans="1:8" x14ac:dyDescent="0.6">
      <c r="A18" s="1" t="s">
        <v>105</v>
      </c>
      <c r="C18" s="1">
        <v>333.06</v>
      </c>
      <c r="D18" s="1" t="s">
        <v>30</v>
      </c>
      <c r="G18" s="104" t="s">
        <v>14</v>
      </c>
      <c r="H18" s="1067">
        <v>0.28262100000000001</v>
      </c>
    </row>
    <row r="19" spans="1:8" x14ac:dyDescent="0.6">
      <c r="A19" s="1" t="s">
        <v>91</v>
      </c>
      <c r="C19" s="13">
        <f>C18*1000</f>
        <v>333060</v>
      </c>
      <c r="G19" s="85" t="s">
        <v>19</v>
      </c>
      <c r="H19" s="1067">
        <v>0.119739</v>
      </c>
    </row>
    <row r="20" spans="1:8" x14ac:dyDescent="0.6">
      <c r="A20" s="1" t="s">
        <v>1151</v>
      </c>
      <c r="C20" s="13">
        <v>130000</v>
      </c>
      <c r="D20" s="1" t="s">
        <v>29</v>
      </c>
      <c r="G20" s="85" t="s">
        <v>20</v>
      </c>
      <c r="H20" s="1067">
        <v>1.337591</v>
      </c>
    </row>
    <row r="21" spans="1:8" x14ac:dyDescent="0.6">
      <c r="A21" s="1" t="s">
        <v>1152</v>
      </c>
      <c r="C21" s="13">
        <f>1000000000000/C20</f>
        <v>7692307.692307692</v>
      </c>
      <c r="D21" s="1" t="s">
        <v>30</v>
      </c>
    </row>
    <row r="23" spans="1:8" x14ac:dyDescent="0.6">
      <c r="A23" s="1" t="s">
        <v>106</v>
      </c>
      <c r="C23" s="1">
        <v>324.66000000000003</v>
      </c>
      <c r="D23" s="1" t="s">
        <v>30</v>
      </c>
      <c r="G23" s="85" t="s">
        <v>61</v>
      </c>
      <c r="H23" s="1067">
        <v>7.3999999999999996E-5</v>
      </c>
    </row>
    <row r="24" spans="1:8" x14ac:dyDescent="0.6">
      <c r="A24" s="1" t="s">
        <v>107</v>
      </c>
      <c r="C24" s="13">
        <f>C23*1000</f>
        <v>324660</v>
      </c>
      <c r="G24" s="85" t="s">
        <v>70</v>
      </c>
      <c r="H24" s="1067">
        <v>0.26666699999999999</v>
      </c>
    </row>
    <row r="25" spans="1:8" x14ac:dyDescent="0.6">
      <c r="A25" s="1" t="s">
        <v>1186</v>
      </c>
      <c r="C25" s="226">
        <v>0.5</v>
      </c>
      <c r="G25" s="85" t="s">
        <v>48</v>
      </c>
      <c r="H25" s="1067">
        <v>5.0333999999999997E-2</v>
      </c>
    </row>
    <row r="26" spans="1:8" x14ac:dyDescent="0.6">
      <c r="A26" s="1" t="s">
        <v>1188</v>
      </c>
      <c r="C26" s="13">
        <f>C21</f>
        <v>7692307.692307692</v>
      </c>
      <c r="D26" s="1" t="s">
        <v>30</v>
      </c>
      <c r="G26" s="85" t="s">
        <v>59</v>
      </c>
      <c r="H26" s="1067">
        <v>0.13106999999999999</v>
      </c>
    </row>
    <row r="27" spans="1:8" x14ac:dyDescent="0.6">
      <c r="C27" s="13"/>
      <c r="G27" s="85" t="s">
        <v>63</v>
      </c>
      <c r="H27" s="1067">
        <v>2.8E-5</v>
      </c>
    </row>
    <row r="28" spans="1:8" x14ac:dyDescent="0.6">
      <c r="G28" s="85" t="s">
        <v>67</v>
      </c>
      <c r="H28" s="1067">
        <v>0.244814</v>
      </c>
    </row>
    <row r="29" spans="1:8" x14ac:dyDescent="0.6">
      <c r="A29" s="1" t="s">
        <v>95</v>
      </c>
      <c r="C29" s="1">
        <f>11.6*42</f>
        <v>487.2</v>
      </c>
      <c r="D29" s="1" t="s">
        <v>30</v>
      </c>
      <c r="G29" s="85" t="s">
        <v>73</v>
      </c>
      <c r="H29" s="1067">
        <v>0.27229399999999998</v>
      </c>
    </row>
    <row r="30" spans="1:8" x14ac:dyDescent="0.6">
      <c r="A30" s="1" t="s">
        <v>96</v>
      </c>
      <c r="C30" s="13">
        <f>C29*1000</f>
        <v>487200</v>
      </c>
    </row>
    <row r="31" spans="1:8" x14ac:dyDescent="0.6">
      <c r="A31" s="1" t="s">
        <v>401</v>
      </c>
      <c r="C31" s="13">
        <v>91000</v>
      </c>
      <c r="D31" s="1" t="s">
        <v>29</v>
      </c>
    </row>
    <row r="32" spans="1:8" x14ac:dyDescent="0.6">
      <c r="A32" s="1" t="s">
        <v>647</v>
      </c>
      <c r="C32" s="13">
        <f>1000000000000/C31</f>
        <v>10989010.98901099</v>
      </c>
      <c r="D32" s="1" t="s">
        <v>25</v>
      </c>
    </row>
    <row r="33" spans="1:7" x14ac:dyDescent="0.6">
      <c r="A33" s="1" t="s">
        <v>1137</v>
      </c>
      <c r="C33" s="13"/>
    </row>
    <row r="34" spans="1:7" x14ac:dyDescent="0.6">
      <c r="A34" s="1" t="s">
        <v>1135</v>
      </c>
      <c r="C34" s="226">
        <v>0.25</v>
      </c>
      <c r="D34" s="1" t="s">
        <v>22</v>
      </c>
    </row>
    <row r="35" spans="1:7" x14ac:dyDescent="0.6">
      <c r="A35" s="1" t="s">
        <v>1136</v>
      </c>
      <c r="C35" s="226">
        <v>0.5</v>
      </c>
      <c r="D35" s="1" t="s">
        <v>22</v>
      </c>
    </row>
    <row r="37" spans="1:7" x14ac:dyDescent="0.6">
      <c r="A37" s="1" t="s">
        <v>1221</v>
      </c>
      <c r="C37" s="1">
        <v>378</v>
      </c>
      <c r="D37" s="1" t="s">
        <v>30</v>
      </c>
    </row>
    <row r="38" spans="1:7" x14ac:dyDescent="0.6">
      <c r="A38" s="1" t="s">
        <v>1222</v>
      </c>
      <c r="C38" s="13">
        <f>C37*1000</f>
        <v>378000</v>
      </c>
    </row>
    <row r="40" spans="1:7" x14ac:dyDescent="0.6">
      <c r="A40" s="1" t="s">
        <v>103</v>
      </c>
      <c r="C40" s="1">
        <v>279.72000000000003</v>
      </c>
      <c r="D40" s="1" t="s">
        <v>30</v>
      </c>
    </row>
    <row r="41" spans="1:7" x14ac:dyDescent="0.6">
      <c r="A41" s="1" t="s">
        <v>104</v>
      </c>
      <c r="C41" s="13">
        <f>C40*1000</f>
        <v>279720</v>
      </c>
    </row>
    <row r="42" spans="1:7" x14ac:dyDescent="0.6">
      <c r="C42" s="13"/>
    </row>
    <row r="43" spans="1:7" x14ac:dyDescent="0.6">
      <c r="A43" s="1" t="s">
        <v>1224</v>
      </c>
      <c r="C43" s="1">
        <v>300</v>
      </c>
      <c r="D43" s="1" t="s">
        <v>30</v>
      </c>
    </row>
    <row r="44" spans="1:7" x14ac:dyDescent="0.6">
      <c r="A44" s="1" t="s">
        <v>1225</v>
      </c>
      <c r="C44" s="13">
        <f>C43*1000</f>
        <v>300000</v>
      </c>
    </row>
    <row r="46" spans="1:7" x14ac:dyDescent="0.6">
      <c r="A46" s="1" t="s">
        <v>110</v>
      </c>
      <c r="C46" s="3">
        <v>7.5895567698846396</v>
      </c>
      <c r="D46" s="1" t="s">
        <v>111</v>
      </c>
      <c r="G46" s="1481"/>
    </row>
    <row r="47" spans="1:7" x14ac:dyDescent="0.6">
      <c r="A47" s="1" t="s">
        <v>1618</v>
      </c>
      <c r="C47" s="5">
        <f>C46/1000</f>
        <v>7.5895567698846395E-3</v>
      </c>
      <c r="G47" s="1481"/>
    </row>
    <row r="48" spans="1:7" x14ac:dyDescent="0.6">
      <c r="A48" s="1" t="s">
        <v>113</v>
      </c>
      <c r="C48" s="3">
        <f>C46*1000</f>
        <v>7589.5567698846398</v>
      </c>
      <c r="D48" s="1" t="s">
        <v>111</v>
      </c>
    </row>
    <row r="49" spans="1:7" x14ac:dyDescent="0.6">
      <c r="A49" s="1" t="s">
        <v>499</v>
      </c>
      <c r="C49" s="3">
        <v>126.67</v>
      </c>
      <c r="D49" s="1" t="s">
        <v>498</v>
      </c>
    </row>
    <row r="50" spans="1:7" x14ac:dyDescent="0.6">
      <c r="A50" s="1" t="s">
        <v>499</v>
      </c>
      <c r="C50" s="173">
        <f>Assumptions!C49/100</f>
        <v>1.2666999999999999</v>
      </c>
      <c r="D50" s="1" t="s">
        <v>501</v>
      </c>
    </row>
    <row r="51" spans="1:7" x14ac:dyDescent="0.6">
      <c r="A51" s="1" t="s">
        <v>500</v>
      </c>
      <c r="C51" s="172">
        <v>0.3</v>
      </c>
      <c r="D51" s="1" t="s">
        <v>128</v>
      </c>
    </row>
    <row r="52" spans="1:7" x14ac:dyDescent="0.6">
      <c r="A52" s="1" t="s">
        <v>505</v>
      </c>
      <c r="C52" s="7">
        <v>5.3793472854573969E-2</v>
      </c>
      <c r="D52" s="1" t="s">
        <v>122</v>
      </c>
      <c r="G52" s="1071"/>
    </row>
    <row r="53" spans="1:7" x14ac:dyDescent="0.6">
      <c r="A53" s="1" t="s">
        <v>506</v>
      </c>
      <c r="C53" s="7">
        <f>C52*1000</f>
        <v>53.79347285457397</v>
      </c>
      <c r="D53" s="1" t="s">
        <v>122</v>
      </c>
      <c r="G53" s="1071"/>
    </row>
    <row r="54" spans="1:7" x14ac:dyDescent="0.6">
      <c r="A54" s="1" t="s">
        <v>127</v>
      </c>
      <c r="C54" s="7">
        <v>0.13175999999999999</v>
      </c>
      <c r="D54" s="1" t="s">
        <v>122</v>
      </c>
      <c r="G54" s="1071"/>
    </row>
    <row r="55" spans="1:7" x14ac:dyDescent="0.6">
      <c r="A55" s="1" t="s">
        <v>1495</v>
      </c>
      <c r="C55" s="7">
        <v>35.314700000000002</v>
      </c>
      <c r="D55" s="1" t="s">
        <v>1496</v>
      </c>
      <c r="G55" s="1071"/>
    </row>
    <row r="56" spans="1:7" x14ac:dyDescent="0.6">
      <c r="A56" s="1" t="s">
        <v>1503</v>
      </c>
      <c r="C56" s="13">
        <v>1037</v>
      </c>
      <c r="D56" s="1" t="s">
        <v>29</v>
      </c>
      <c r="G56" s="1071"/>
    </row>
    <row r="58" spans="1:7" x14ac:dyDescent="0.6">
      <c r="A58" s="1" t="s">
        <v>125</v>
      </c>
      <c r="C58" s="13">
        <v>3412</v>
      </c>
      <c r="D58" s="1" t="s">
        <v>29</v>
      </c>
    </row>
    <row r="59" spans="1:7" x14ac:dyDescent="0.6">
      <c r="A59" s="1" t="s">
        <v>126</v>
      </c>
      <c r="C59" s="22">
        <f>C58*1000</f>
        <v>3412000</v>
      </c>
      <c r="D59" s="1" t="s">
        <v>29</v>
      </c>
      <c r="E59" s="9"/>
      <c r="F59" s="9"/>
    </row>
    <row r="60" spans="1:7" x14ac:dyDescent="0.6">
      <c r="A60" s="1" t="s">
        <v>676</v>
      </c>
      <c r="C60" s="22">
        <f>C59*1000</f>
        <v>3412000000</v>
      </c>
      <c r="D60" s="1" t="s">
        <v>29</v>
      </c>
      <c r="E60" s="9"/>
      <c r="F60" s="9"/>
    </row>
    <row r="61" spans="1:7" x14ac:dyDescent="0.6">
      <c r="A61" s="1" t="s">
        <v>127</v>
      </c>
      <c r="C61" s="13">
        <v>125000</v>
      </c>
      <c r="D61" s="1" t="s">
        <v>29</v>
      </c>
    </row>
    <row r="62" spans="1:7" x14ac:dyDescent="0.6">
      <c r="A62" s="1" t="s">
        <v>676</v>
      </c>
      <c r="C62" s="13">
        <f>C60/C61</f>
        <v>27296</v>
      </c>
      <c r="D62" s="1" t="s">
        <v>128</v>
      </c>
    </row>
    <row r="63" spans="1:7" x14ac:dyDescent="0.6">
      <c r="A63" s="1" t="s">
        <v>126</v>
      </c>
      <c r="C63" s="23">
        <f>C59/C61</f>
        <v>27.295999999999999</v>
      </c>
      <c r="D63" s="1" t="s">
        <v>128</v>
      </c>
    </row>
    <row r="64" spans="1:7" x14ac:dyDescent="0.6">
      <c r="A64" s="1" t="s">
        <v>127</v>
      </c>
      <c r="C64" s="5">
        <f>1/C63</f>
        <v>3.6635404454865184E-2</v>
      </c>
      <c r="D64" s="1" t="s">
        <v>124</v>
      </c>
    </row>
    <row r="65" spans="1:8" x14ac:dyDescent="0.6">
      <c r="A65" s="1" t="s">
        <v>599</v>
      </c>
      <c r="C65" s="4">
        <v>947817120.31299996</v>
      </c>
      <c r="D65" s="1" t="s">
        <v>29</v>
      </c>
    </row>
    <row r="66" spans="1:8" x14ac:dyDescent="0.6">
      <c r="C66" s="4">
        <f>C65/C58</f>
        <v>277789.30841529893</v>
      </c>
      <c r="D66" s="1" t="s">
        <v>195</v>
      </c>
      <c r="F66" s="1" t="s">
        <v>677</v>
      </c>
      <c r="G66" s="21">
        <v>1000000000</v>
      </c>
      <c r="H66" s="1067" t="s">
        <v>678</v>
      </c>
    </row>
    <row r="67" spans="1:8" x14ac:dyDescent="0.6">
      <c r="C67" s="4"/>
      <c r="G67" s="828">
        <f>G66/1000</f>
        <v>1000000</v>
      </c>
      <c r="H67" s="1067" t="s">
        <v>195</v>
      </c>
    </row>
    <row r="68" spans="1:8" x14ac:dyDescent="0.6">
      <c r="A68" s="1" t="s">
        <v>646</v>
      </c>
      <c r="C68" s="4">
        <v>50.174384525205163</v>
      </c>
      <c r="G68" s="85">
        <v>3412</v>
      </c>
      <c r="H68" s="1067" t="s">
        <v>679</v>
      </c>
    </row>
    <row r="69" spans="1:8" x14ac:dyDescent="0.6">
      <c r="C69" s="4"/>
      <c r="G69" s="828">
        <f>G68*G67</f>
        <v>3412000000</v>
      </c>
      <c r="H69" s="1067" t="s">
        <v>680</v>
      </c>
    </row>
    <row r="70" spans="1:8" x14ac:dyDescent="0.6">
      <c r="C70" s="4">
        <f>C66/1000</f>
        <v>277.78930841529893</v>
      </c>
      <c r="D70" s="1" t="s">
        <v>124</v>
      </c>
      <c r="G70" s="828">
        <f>G69/125000</f>
        <v>27296</v>
      </c>
      <c r="H70" s="1067" t="s">
        <v>681</v>
      </c>
    </row>
    <row r="71" spans="1:8" x14ac:dyDescent="0.6">
      <c r="A71" s="1" t="s">
        <v>600</v>
      </c>
      <c r="C71" s="4">
        <f>C70/1000</f>
        <v>0.27778930841529892</v>
      </c>
      <c r="D71" s="1" t="s">
        <v>124</v>
      </c>
      <c r="G71" s="181">
        <f>125000/G68</f>
        <v>36.635404454865181</v>
      </c>
      <c r="H71" s="1067" t="s">
        <v>1493</v>
      </c>
    </row>
    <row r="73" spans="1:8" x14ac:dyDescent="0.6">
      <c r="A73" s="1" t="s">
        <v>364</v>
      </c>
      <c r="C73" s="110">
        <v>39683207.200000003</v>
      </c>
      <c r="D73" s="1" t="s">
        <v>29</v>
      </c>
    </row>
    <row r="74" spans="1:8" x14ac:dyDescent="0.6">
      <c r="A74" s="1" t="s">
        <v>363</v>
      </c>
      <c r="C74" s="117">
        <f>C73*1000</f>
        <v>39683207200</v>
      </c>
      <c r="D74" s="1" t="s">
        <v>29</v>
      </c>
    </row>
    <row r="76" spans="1:8" x14ac:dyDescent="0.6">
      <c r="A76" s="1" t="s">
        <v>365</v>
      </c>
      <c r="C76" s="13">
        <f>5800000</f>
        <v>5800000</v>
      </c>
      <c r="D76" s="1" t="s">
        <v>29</v>
      </c>
    </row>
    <row r="77" spans="1:8" x14ac:dyDescent="0.6">
      <c r="A77" s="1" t="s">
        <v>366</v>
      </c>
      <c r="C77" s="22">
        <f>C76/42</f>
        <v>138095.23809523811</v>
      </c>
      <c r="D77" s="1" t="s">
        <v>29</v>
      </c>
    </row>
    <row r="78" spans="1:8" x14ac:dyDescent="0.6">
      <c r="A78" s="1" t="s">
        <v>363</v>
      </c>
      <c r="C78" s="22">
        <f>C74/C77</f>
        <v>287361.15558620688</v>
      </c>
    </row>
    <row r="79" spans="1:8" x14ac:dyDescent="0.6">
      <c r="A79" s="1" t="s">
        <v>363</v>
      </c>
      <c r="C79" s="22">
        <f>C74/C8</f>
        <v>317465.65759999998</v>
      </c>
      <c r="D79" s="1" t="s">
        <v>128</v>
      </c>
    </row>
    <row r="80" spans="1:8" x14ac:dyDescent="0.6">
      <c r="C80" s="22"/>
    </row>
    <row r="81" spans="1:4" x14ac:dyDescent="0.6">
      <c r="A81" s="1" t="s">
        <v>665</v>
      </c>
      <c r="C81" s="3">
        <f>13*2.204</f>
        <v>28.652000000000001</v>
      </c>
      <c r="D81" s="1" t="s">
        <v>80</v>
      </c>
    </row>
    <row r="82" spans="1:4" x14ac:dyDescent="0.6">
      <c r="A82" s="1" t="s">
        <v>1447</v>
      </c>
      <c r="C82" s="3">
        <v>28.53</v>
      </c>
      <c r="D82" s="1" t="s">
        <v>80</v>
      </c>
    </row>
    <row r="83" spans="1:4" x14ac:dyDescent="0.6">
      <c r="A83" s="1" t="s">
        <v>666</v>
      </c>
      <c r="C83" s="3">
        <f>12*2.204</f>
        <v>26.448</v>
      </c>
      <c r="D83" s="1" t="s">
        <v>80</v>
      </c>
    </row>
    <row r="84" spans="1:4" x14ac:dyDescent="0.6">
      <c r="A84" s="1" t="s">
        <v>667</v>
      </c>
      <c r="C84" s="3">
        <f>8.5*2.204</f>
        <v>18.734000000000002</v>
      </c>
      <c r="D84" s="1" t="s">
        <v>80</v>
      </c>
    </row>
    <row r="85" spans="1:4" x14ac:dyDescent="0.6">
      <c r="A85" s="1" t="s">
        <v>668</v>
      </c>
      <c r="C85" s="3">
        <f>7*2.204</f>
        <v>15.428000000000001</v>
      </c>
      <c r="D85" s="1" t="s">
        <v>80</v>
      </c>
    </row>
    <row r="86" spans="1:4" x14ac:dyDescent="0.6">
      <c r="A86" s="1" t="s">
        <v>849</v>
      </c>
      <c r="C86" s="3">
        <f>C83</f>
        <v>26.448</v>
      </c>
      <c r="D86" s="1" t="s">
        <v>80</v>
      </c>
    </row>
    <row r="88" spans="1:4" x14ac:dyDescent="0.6">
      <c r="A88" s="1" t="s">
        <v>447</v>
      </c>
      <c r="C88" s="1">
        <v>1.0162</v>
      </c>
    </row>
    <row r="90" spans="1:4" x14ac:dyDescent="0.6">
      <c r="A90" s="112" t="s">
        <v>653</v>
      </c>
    </row>
    <row r="91" spans="1:4" x14ac:dyDescent="0.6">
      <c r="A91" s="1" t="s">
        <v>21</v>
      </c>
      <c r="C91" s="273"/>
    </row>
    <row r="92" spans="1:4" x14ac:dyDescent="0.6">
      <c r="A92" s="1" t="s">
        <v>28</v>
      </c>
      <c r="C92" s="273"/>
    </row>
    <row r="93" spans="1:4" x14ac:dyDescent="0.6">
      <c r="A93" s="1" t="s">
        <v>657</v>
      </c>
      <c r="C93" s="273"/>
    </row>
    <row r="94" spans="1:4" x14ac:dyDescent="0.6">
      <c r="A94" s="1" t="s">
        <v>97</v>
      </c>
      <c r="C94" s="273">
        <v>1.75</v>
      </c>
    </row>
    <row r="95" spans="1:4" x14ac:dyDescent="0.6">
      <c r="A95" s="1" t="s">
        <v>92</v>
      </c>
      <c r="C95" s="273">
        <v>1.93</v>
      </c>
    </row>
    <row r="96" spans="1:4" x14ac:dyDescent="0.6">
      <c r="A96" s="1" t="s">
        <v>102</v>
      </c>
      <c r="C96" s="273">
        <v>2.5</v>
      </c>
    </row>
    <row r="97" spans="1:8" x14ac:dyDescent="0.6">
      <c r="A97" s="1" t="s">
        <v>101</v>
      </c>
      <c r="C97" s="273">
        <f>365.5/C40</f>
        <v>1.3066638066638065</v>
      </c>
    </row>
    <row r="98" spans="1:8" x14ac:dyDescent="0.6">
      <c r="A98" s="1" t="s">
        <v>644</v>
      </c>
      <c r="C98" s="273">
        <v>2</v>
      </c>
    </row>
    <row r="99" spans="1:8" x14ac:dyDescent="0.6">
      <c r="A99" s="1" t="s">
        <v>123</v>
      </c>
      <c r="C99" s="1526">
        <v>0.13650000000000001</v>
      </c>
      <c r="D99" s="1" t="s">
        <v>860</v>
      </c>
    </row>
    <row r="100" spans="1:8" x14ac:dyDescent="0.6">
      <c r="C100" s="273">
        <f>C99*C8/C58</f>
        <v>5.0007327080890969</v>
      </c>
      <c r="D100" s="1" t="s">
        <v>674</v>
      </c>
    </row>
    <row r="101" spans="1:8" x14ac:dyDescent="0.6">
      <c r="C101" s="273"/>
    </row>
    <row r="102" spans="1:8" x14ac:dyDescent="0.6">
      <c r="A102" s="1" t="s">
        <v>698</v>
      </c>
      <c r="C102" s="273">
        <v>2.5</v>
      </c>
    </row>
    <row r="103" spans="1:8" x14ac:dyDescent="0.6">
      <c r="C103" s="273"/>
    </row>
    <row r="104" spans="1:8" x14ac:dyDescent="0.6">
      <c r="A104" s="1" t="s">
        <v>44</v>
      </c>
      <c r="C104" s="273">
        <v>1.5</v>
      </c>
    </row>
    <row r="105" spans="1:8" x14ac:dyDescent="0.6">
      <c r="A105" s="1" t="s">
        <v>670</v>
      </c>
      <c r="C105" s="273"/>
    </row>
    <row r="106" spans="1:8" x14ac:dyDescent="0.6">
      <c r="B106" s="1" t="s">
        <v>671</v>
      </c>
      <c r="C106" s="273">
        <v>96</v>
      </c>
      <c r="D106" s="1" t="s">
        <v>672</v>
      </c>
      <c r="E106" s="10">
        <f>C106/$C$83</f>
        <v>3.629764065335753</v>
      </c>
      <c r="F106" s="1" t="s">
        <v>80</v>
      </c>
      <c r="G106" s="506">
        <f>E106/8</f>
        <v>0.45372050816696913</v>
      </c>
      <c r="H106" s="1067" t="s">
        <v>674</v>
      </c>
    </row>
    <row r="107" spans="1:8" x14ac:dyDescent="0.6">
      <c r="B107" s="1" t="s">
        <v>673</v>
      </c>
      <c r="C107" s="273">
        <v>86</v>
      </c>
      <c r="E107" s="10">
        <f>C107/$C$83</f>
        <v>3.2516636418632787</v>
      </c>
      <c r="G107" s="506">
        <f>E107/8</f>
        <v>0.40645795523290984</v>
      </c>
    </row>
    <row r="108" spans="1:8" x14ac:dyDescent="0.6">
      <c r="B108" s="1" t="s">
        <v>64</v>
      </c>
      <c r="C108" s="273">
        <v>75</v>
      </c>
      <c r="E108" s="10">
        <f>C108/$C$83</f>
        <v>2.835753176043557</v>
      </c>
      <c r="G108" s="506">
        <f>E108/8</f>
        <v>0.35446914700544463</v>
      </c>
    </row>
    <row r="109" spans="1:8" x14ac:dyDescent="0.6">
      <c r="B109" s="1" t="s">
        <v>38</v>
      </c>
      <c r="C109" s="273">
        <v>75</v>
      </c>
      <c r="E109" s="10">
        <f>C109/$C$83</f>
        <v>2.835753176043557</v>
      </c>
      <c r="G109" s="506">
        <f>E109/8</f>
        <v>0.35446914700544463</v>
      </c>
    </row>
    <row r="110" spans="1:8" x14ac:dyDescent="0.6">
      <c r="C110" s="273"/>
    </row>
    <row r="111" spans="1:8" x14ac:dyDescent="0.6">
      <c r="A111" s="1" t="s">
        <v>82</v>
      </c>
      <c r="C111" s="10">
        <v>2</v>
      </c>
      <c r="D111" s="1" t="s">
        <v>83</v>
      </c>
    </row>
    <row r="112" spans="1:8" x14ac:dyDescent="0.6">
      <c r="C112" s="273">
        <f>C111/8</f>
        <v>0.25</v>
      </c>
      <c r="D112" s="1" t="s">
        <v>674</v>
      </c>
    </row>
    <row r="113" spans="1:7" x14ac:dyDescent="0.6">
      <c r="C113" s="273"/>
    </row>
    <row r="114" spans="1:7" x14ac:dyDescent="0.6">
      <c r="C114" s="273"/>
    </row>
    <row r="115" spans="1:7" x14ac:dyDescent="0.6">
      <c r="A115" s="1" t="s">
        <v>23</v>
      </c>
      <c r="C115" s="352">
        <v>3.7854100000000002</v>
      </c>
    </row>
    <row r="116" spans="1:7" x14ac:dyDescent="0.6">
      <c r="C116" s="273"/>
    </row>
    <row r="117" spans="1:7" x14ac:dyDescent="0.6">
      <c r="C117" s="273"/>
    </row>
    <row r="118" spans="1:7" x14ac:dyDescent="0.6">
      <c r="C118" s="273"/>
    </row>
    <row r="119" spans="1:7" x14ac:dyDescent="0.6">
      <c r="C119" s="273"/>
    </row>
    <row r="120" spans="1:7" x14ac:dyDescent="0.6">
      <c r="C120" s="273"/>
    </row>
    <row r="123" spans="1:7" x14ac:dyDescent="0.6">
      <c r="B123" s="264" t="s">
        <v>1738</v>
      </c>
      <c r="C123" s="264" t="s">
        <v>628</v>
      </c>
      <c r="D123" s="1030" t="s">
        <v>873</v>
      </c>
      <c r="E123" s="1030" t="s">
        <v>874</v>
      </c>
      <c r="F123" s="1030" t="s">
        <v>630</v>
      </c>
    </row>
    <row r="124" spans="1:7" x14ac:dyDescent="0.6">
      <c r="A124" s="69" t="s">
        <v>37</v>
      </c>
      <c r="B124" s="1035">
        <v>317.7</v>
      </c>
      <c r="C124" s="1036">
        <v>18120714000000</v>
      </c>
      <c r="D124" s="998">
        <f>C124/(B124*1000000)</f>
        <v>57037.186024551462</v>
      </c>
      <c r="E124" s="1037">
        <f>-Summary!B11*1000000000/(Assumptions!B124*1000000)</f>
        <v>33.690627581051309</v>
      </c>
      <c r="F124" s="1038">
        <f>E124/D124</f>
        <v>5.906782912913918E-4</v>
      </c>
      <c r="G124" s="70"/>
    </row>
    <row r="125" spans="1:7" x14ac:dyDescent="0.6">
      <c r="B125" s="265"/>
      <c r="C125" s="1027"/>
      <c r="D125" s="17"/>
      <c r="G125" s="174"/>
    </row>
    <row r="126" spans="1:7" x14ac:dyDescent="0.6">
      <c r="A126" s="1" t="s">
        <v>0</v>
      </c>
      <c r="B126" s="265">
        <v>11.288</v>
      </c>
      <c r="C126" s="704">
        <v>455200045095.64258</v>
      </c>
      <c r="D126" s="17">
        <f t="shared" ref="D126:D187" si="0">C126/(B126*1000000)</f>
        <v>40326.013917048418</v>
      </c>
    </row>
    <row r="127" spans="1:7" x14ac:dyDescent="0.6">
      <c r="A127" s="1" t="s">
        <v>1</v>
      </c>
      <c r="B127" s="265">
        <v>10.603999999999999</v>
      </c>
      <c r="C127" s="704">
        <v>186829940545.75946</v>
      </c>
      <c r="D127" s="17">
        <f t="shared" si="0"/>
        <v>17618.817478853212</v>
      </c>
    </row>
    <row r="128" spans="1:7" x14ac:dyDescent="0.6">
      <c r="A128" s="1" t="s">
        <v>2</v>
      </c>
      <c r="B128" s="265">
        <v>5.6890000000000001</v>
      </c>
      <c r="C128" s="704">
        <v>301298464861.38495</v>
      </c>
      <c r="D128" s="17">
        <f t="shared" si="0"/>
        <v>52961.586370431527</v>
      </c>
    </row>
    <row r="129" spans="1:4" x14ac:dyDescent="0.6">
      <c r="A129" s="1" t="s">
        <v>3</v>
      </c>
      <c r="B129" s="265">
        <v>81.707999999999998</v>
      </c>
      <c r="C129" s="704">
        <v>3375611100742.2183</v>
      </c>
      <c r="D129" s="17">
        <f t="shared" si="0"/>
        <v>41313.103989110226</v>
      </c>
    </row>
    <row r="130" spans="1:4" x14ac:dyDescent="0.6">
      <c r="A130" s="1" t="s">
        <v>4</v>
      </c>
      <c r="B130" s="265">
        <v>1.3149999999999999</v>
      </c>
      <c r="C130" s="704">
        <v>22566956982.229012</v>
      </c>
      <c r="D130" s="17">
        <f t="shared" si="0"/>
        <v>17161.18401690419</v>
      </c>
    </row>
    <row r="131" spans="1:4" x14ac:dyDescent="0.6">
      <c r="A131" s="1" t="s">
        <v>5</v>
      </c>
      <c r="B131" s="265">
        <v>11.218</v>
      </c>
      <c r="C131" s="704">
        <v>195541761243.1441</v>
      </c>
      <c r="D131" s="17">
        <f t="shared" si="0"/>
        <v>17431.071603061519</v>
      </c>
    </row>
    <row r="132" spans="1:4" x14ac:dyDescent="0.6">
      <c r="A132" s="1" t="s">
        <v>6</v>
      </c>
      <c r="B132" s="265">
        <v>46.398000000000003</v>
      </c>
      <c r="C132" s="704">
        <v>1197789902774.4302</v>
      </c>
      <c r="D132" s="17">
        <f t="shared" si="0"/>
        <v>25815.55029903078</v>
      </c>
    </row>
    <row r="133" spans="1:4" x14ac:dyDescent="0.6">
      <c r="A133" s="1" t="s">
        <v>7</v>
      </c>
      <c r="B133" s="265">
        <v>64.456999999999994</v>
      </c>
      <c r="C133" s="704">
        <v>2433562015516.208</v>
      </c>
      <c r="D133" s="17">
        <f t="shared" si="0"/>
        <v>37754.813527098813</v>
      </c>
    </row>
    <row r="134" spans="1:4" x14ac:dyDescent="0.6">
      <c r="A134" s="1" t="s">
        <v>8</v>
      </c>
      <c r="B134" s="265">
        <v>4.7</v>
      </c>
      <c r="C134" s="704">
        <v>290617008367.57245</v>
      </c>
      <c r="D134" s="17">
        <f t="shared" si="0"/>
        <v>61833.406035653716</v>
      </c>
    </row>
    <row r="135" spans="1:4" x14ac:dyDescent="0.6">
      <c r="A135" s="1" t="s">
        <v>9</v>
      </c>
      <c r="B135" s="265">
        <v>59.503999999999998</v>
      </c>
      <c r="C135" s="704">
        <v>1832868490534.1074</v>
      </c>
      <c r="D135" s="17">
        <f t="shared" si="0"/>
        <v>30802.441693568624</v>
      </c>
    </row>
    <row r="136" spans="1:4" x14ac:dyDescent="0.6">
      <c r="A136" s="1" t="s">
        <v>10</v>
      </c>
      <c r="B136" s="265">
        <v>0.56699999999999995</v>
      </c>
      <c r="C136" s="704">
        <v>57784495265.437805</v>
      </c>
      <c r="D136" s="17">
        <f t="shared" si="0"/>
        <v>101912.69006250054</v>
      </c>
    </row>
    <row r="137" spans="1:4" x14ac:dyDescent="0.6">
      <c r="A137" s="1" t="s">
        <v>11</v>
      </c>
      <c r="B137" s="265">
        <v>9.7840000000000007</v>
      </c>
      <c r="C137" s="704">
        <v>122879042001.91528</v>
      </c>
      <c r="D137" s="17">
        <f t="shared" si="0"/>
        <v>12559.182543122984</v>
      </c>
    </row>
    <row r="138" spans="1:4" x14ac:dyDescent="0.6">
      <c r="A138" s="1" t="s">
        <v>12</v>
      </c>
      <c r="B138" s="265">
        <v>16.937999999999999</v>
      </c>
      <c r="C138" s="704">
        <v>757999453314.2688</v>
      </c>
      <c r="D138" s="17">
        <f t="shared" si="0"/>
        <v>44751.414176069717</v>
      </c>
    </row>
    <row r="139" spans="1:4" x14ac:dyDescent="0.6">
      <c r="A139" s="1" t="s">
        <v>13</v>
      </c>
      <c r="B139" s="265">
        <v>8.6790000000000003</v>
      </c>
      <c r="C139" s="704">
        <v>382065930307.9776</v>
      </c>
      <c r="D139" s="17">
        <f t="shared" si="0"/>
        <v>44021.883893072656</v>
      </c>
    </row>
    <row r="140" spans="1:4" x14ac:dyDescent="0.6">
      <c r="A140" s="1" t="s">
        <v>14</v>
      </c>
      <c r="B140" s="265">
        <v>38.265000000000001</v>
      </c>
      <c r="C140" s="704">
        <v>477279647754.70142</v>
      </c>
      <c r="D140" s="17">
        <f t="shared" si="0"/>
        <v>12473.007912052826</v>
      </c>
    </row>
    <row r="141" spans="1:4" x14ac:dyDescent="0.6">
      <c r="A141" s="1" t="s">
        <v>15</v>
      </c>
      <c r="B141" s="265">
        <v>10.417999999999999</v>
      </c>
      <c r="C141" s="704">
        <v>199420256049.6886</v>
      </c>
      <c r="D141" s="17">
        <f t="shared" si="0"/>
        <v>19141.894418284566</v>
      </c>
    </row>
    <row r="142" spans="1:4" x14ac:dyDescent="0.6">
      <c r="A142" s="1" t="s">
        <v>16</v>
      </c>
      <c r="B142" s="265">
        <v>2.0750000000000002</v>
      </c>
      <c r="C142" s="704">
        <v>43072415017.432083</v>
      </c>
      <c r="D142" s="17">
        <f t="shared" si="0"/>
        <v>20757.790369846785</v>
      </c>
    </row>
    <row r="143" spans="1:4" x14ac:dyDescent="0.6">
      <c r="A143" s="1" t="s">
        <v>17</v>
      </c>
      <c r="B143" s="265">
        <v>5.4390000000000001</v>
      </c>
      <c r="C143" s="704">
        <v>87501423882.468643</v>
      </c>
      <c r="D143" s="17">
        <f t="shared" si="0"/>
        <v>16087.777878740328</v>
      </c>
    </row>
    <row r="144" spans="1:4" x14ac:dyDescent="0.6">
      <c r="A144" s="1" t="s">
        <v>18</v>
      </c>
      <c r="B144" s="265">
        <v>5.4820000000000002</v>
      </c>
      <c r="C144" s="704">
        <v>232464833065.5535</v>
      </c>
      <c r="D144" s="17">
        <f t="shared" si="0"/>
        <v>42405.11365661319</v>
      </c>
    </row>
    <row r="145" spans="1:7" x14ac:dyDescent="0.6">
      <c r="A145" s="1" t="s">
        <v>19</v>
      </c>
      <c r="B145" s="265">
        <v>9.7639999999999993</v>
      </c>
      <c r="C145" s="704">
        <v>497918109302.39856</v>
      </c>
      <c r="D145" s="17">
        <f t="shared" si="0"/>
        <v>50995.300010487357</v>
      </c>
    </row>
    <row r="146" spans="1:7" x14ac:dyDescent="0.6">
      <c r="A146" s="1" t="s">
        <v>20</v>
      </c>
      <c r="B146" s="265">
        <v>65.397000000000006</v>
      </c>
      <c r="C146" s="704">
        <v>2885570309160.8628</v>
      </c>
      <c r="D146" s="17">
        <f t="shared" si="0"/>
        <v>44123.894202499541</v>
      </c>
    </row>
    <row r="147" spans="1:7" x14ac:dyDescent="0.6">
      <c r="A147" s="1" t="s">
        <v>38</v>
      </c>
      <c r="B147" s="265">
        <v>35.950000000000003</v>
      </c>
      <c r="C147" s="704">
        <v>1559623393038.6624</v>
      </c>
      <c r="D147" s="17">
        <f t="shared" si="0"/>
        <v>43383.126371033723</v>
      </c>
    </row>
    <row r="148" spans="1:7" x14ac:dyDescent="0.6">
      <c r="A148" s="1" t="s">
        <v>39</v>
      </c>
      <c r="B148" s="265">
        <v>5.2</v>
      </c>
      <c r="C148" s="704">
        <v>386663139402.70728</v>
      </c>
      <c r="D148" s="17">
        <f t="shared" si="0"/>
        <v>74358.296038982167</v>
      </c>
    </row>
    <row r="149" spans="1:7" x14ac:dyDescent="0.6">
      <c r="A149" s="1" t="s">
        <v>40</v>
      </c>
      <c r="B149" s="265">
        <v>8.32</v>
      </c>
      <c r="C149" s="704">
        <v>679289166858.2356</v>
      </c>
      <c r="D149" s="17">
        <f t="shared" si="0"/>
        <v>81645.332555076398</v>
      </c>
    </row>
    <row r="150" spans="1:7" x14ac:dyDescent="0.6">
      <c r="A150" s="1" t="s">
        <v>31</v>
      </c>
      <c r="B150" s="265">
        <v>127.97499999999999</v>
      </c>
      <c r="C150" s="704">
        <v>4394977752877.8218</v>
      </c>
      <c r="D150" s="17">
        <f t="shared" si="0"/>
        <v>34342.471208265844</v>
      </c>
    </row>
    <row r="151" spans="1:7" x14ac:dyDescent="0.6">
      <c r="A151" s="1" t="s">
        <v>47</v>
      </c>
      <c r="B151" s="265">
        <v>50.594000000000001</v>
      </c>
      <c r="C151" s="704">
        <v>1382764027113.8193</v>
      </c>
      <c r="D151" s="17">
        <f t="shared" si="0"/>
        <v>27330.593096292432</v>
      </c>
      <c r="G151" s="360"/>
    </row>
    <row r="152" spans="1:7" x14ac:dyDescent="0.6">
      <c r="A152" s="1" t="s">
        <v>32</v>
      </c>
      <c r="B152" s="265">
        <v>23.8</v>
      </c>
      <c r="C152" s="704">
        <v>1345383143356.3525</v>
      </c>
      <c r="D152" s="17">
        <f t="shared" si="0"/>
        <v>56528.703502367753</v>
      </c>
    </row>
    <row r="153" spans="1:7" x14ac:dyDescent="0.6">
      <c r="A153" s="1" t="s">
        <v>33</v>
      </c>
      <c r="B153" s="265">
        <v>4.6150000000000002</v>
      </c>
      <c r="C153" s="704">
        <v>175564427552.78162</v>
      </c>
      <c r="D153" s="17">
        <f t="shared" si="0"/>
        <v>38042.129480559393</v>
      </c>
    </row>
    <row r="154" spans="1:7" x14ac:dyDescent="0.6">
      <c r="A154" s="262" t="s">
        <v>629</v>
      </c>
      <c r="B154" s="266">
        <f>SUM(B126:B153)</f>
        <v>726.14300000000003</v>
      </c>
      <c r="C154" s="1034">
        <f>SUM(C126:C153)</f>
        <v>25960106651985.781</v>
      </c>
      <c r="D154" s="1031">
        <f t="shared" si="0"/>
        <v>35750.680860361914</v>
      </c>
      <c r="E154" s="1032">
        <f>-Summary!B25*1000000000/(Assumptions!B154*1000000)</f>
        <v>93.018380019117501</v>
      </c>
      <c r="F154" s="1033">
        <f>E154/D154</f>
        <v>2.6018631752059967E-3</v>
      </c>
    </row>
    <row r="155" spans="1:7" x14ac:dyDescent="0.6">
      <c r="B155" s="265"/>
      <c r="C155" s="704"/>
      <c r="D155" s="17"/>
    </row>
    <row r="156" spans="1:7" x14ac:dyDescent="0.6">
      <c r="A156" s="1" t="s">
        <v>46</v>
      </c>
      <c r="B156" s="265">
        <v>1397.029</v>
      </c>
      <c r="C156" s="704">
        <v>11064666282625.451</v>
      </c>
      <c r="D156" s="17">
        <f t="shared" si="0"/>
        <v>7920.1407290939924</v>
      </c>
    </row>
    <row r="157" spans="1:7" x14ac:dyDescent="0.6">
      <c r="A157" s="1" t="s">
        <v>49</v>
      </c>
      <c r="B157" s="265">
        <v>1309.0540000000001</v>
      </c>
      <c r="C157" s="704">
        <v>2089865410867.8215</v>
      </c>
      <c r="D157" s="17">
        <f t="shared" si="0"/>
        <v>1596.4699782192495</v>
      </c>
    </row>
    <row r="158" spans="1:7" x14ac:dyDescent="0.6">
      <c r="A158" s="1" t="s">
        <v>50</v>
      </c>
      <c r="B158" s="265">
        <v>205.96199999999999</v>
      </c>
      <c r="C158" s="704">
        <v>1803652649613.7544</v>
      </c>
      <c r="D158" s="17">
        <f t="shared" si="0"/>
        <v>8757.2107942909588</v>
      </c>
    </row>
    <row r="159" spans="1:7" x14ac:dyDescent="0.6">
      <c r="A159" s="1" t="s">
        <v>51</v>
      </c>
      <c r="B159" s="265">
        <v>143.88800000000001</v>
      </c>
      <c r="C159" s="704">
        <v>1365864126832.8142</v>
      </c>
      <c r="D159" s="17">
        <f t="shared" si="0"/>
        <v>9492.5506423941824</v>
      </c>
    </row>
    <row r="160" spans="1:7" x14ac:dyDescent="0.6">
      <c r="A160" s="262" t="s">
        <v>631</v>
      </c>
      <c r="B160" s="266">
        <f>SUM(B156:B159)</f>
        <v>3055.933</v>
      </c>
      <c r="C160" s="1034">
        <f>SUM(C156:C159)</f>
        <v>16324048469939.842</v>
      </c>
      <c r="D160" s="1031">
        <f t="shared" si="0"/>
        <v>5341.756010337871</v>
      </c>
      <c r="E160" s="1032">
        <f>-Summary!B39*1000000000/(Assumptions!B160*1000000)</f>
        <v>18.484724405381698</v>
      </c>
      <c r="F160" s="1033">
        <f>E160/D160</f>
        <v>3.4604209495170337E-3</v>
      </c>
    </row>
    <row r="161" spans="1:8" x14ac:dyDescent="0.6">
      <c r="B161" s="265"/>
      <c r="C161" s="704"/>
      <c r="D161" s="17"/>
    </row>
    <row r="162" spans="1:8" x14ac:dyDescent="0.6">
      <c r="A162" s="1" t="s">
        <v>66</v>
      </c>
      <c r="B162" s="265">
        <v>6.2350000000000003</v>
      </c>
      <c r="C162" s="704">
        <v>17194000000</v>
      </c>
      <c r="D162" s="17">
        <f t="shared" ref="D162:D186" si="1">C162/(B162*1000000)</f>
        <v>2757.6583801122692</v>
      </c>
      <c r="E162" s="17">
        <f>'Oil Prod subsidies'!F18</f>
        <v>-3742700000</v>
      </c>
      <c r="F162" s="28">
        <f t="shared" ref="F162:F186" si="2">-E162/C162</f>
        <v>0.21767477026869839</v>
      </c>
      <c r="G162" s="70">
        <f>E162/(B162*1000000)</f>
        <v>-600.27265437048914</v>
      </c>
      <c r="H162" s="360"/>
    </row>
    <row r="163" spans="1:8" x14ac:dyDescent="0.6">
      <c r="A163" s="1" t="s">
        <v>72</v>
      </c>
      <c r="B163" s="265">
        <v>5.5650000000000004</v>
      </c>
      <c r="C163" s="1027">
        <v>35799628571.428574</v>
      </c>
      <c r="D163" s="17">
        <f t="shared" si="1"/>
        <v>6432.9970478757541</v>
      </c>
      <c r="E163" s="17">
        <f>'Oil Prod subsidies'!F25</f>
        <v>-6262200000</v>
      </c>
      <c r="F163" s="28">
        <f t="shared" si="2"/>
        <v>0.17492360255932424</v>
      </c>
      <c r="G163" s="70">
        <f t="shared" ref="G163:G187" si="3">E163/(B163*1000000)</f>
        <v>-1125.2830188679245</v>
      </c>
      <c r="H163" s="360"/>
    </row>
    <row r="164" spans="1:8" x14ac:dyDescent="0.6">
      <c r="A164" s="1" t="s">
        <v>63</v>
      </c>
      <c r="B164" s="265">
        <v>79.36</v>
      </c>
      <c r="C164" s="1027">
        <v>385874474398.59027</v>
      </c>
      <c r="D164" s="17">
        <f t="shared" si="1"/>
        <v>4862.3295665144942</v>
      </c>
      <c r="E164" s="17">
        <f>'Oil Prod subsidies'!F15</f>
        <v>-46959400000</v>
      </c>
      <c r="F164" s="28">
        <f t="shared" si="2"/>
        <v>0.12169605173596722</v>
      </c>
      <c r="G164" s="70">
        <f t="shared" si="3"/>
        <v>-591.72631048387098</v>
      </c>
      <c r="H164" s="360"/>
    </row>
    <row r="165" spans="1:8" x14ac:dyDescent="0.6">
      <c r="A165" s="1" t="s">
        <v>75</v>
      </c>
      <c r="B165" s="265">
        <v>31.155000000000001</v>
      </c>
      <c r="C165" s="704">
        <v>242596000000</v>
      </c>
      <c r="D165" s="70">
        <f t="shared" si="1"/>
        <v>7786.7437008505858</v>
      </c>
      <c r="E165" s="17">
        <f>'Oil Prod subsidies'!F28</f>
        <v>-25248900000</v>
      </c>
      <c r="F165" s="28">
        <f t="shared" si="2"/>
        <v>0.10407797325594816</v>
      </c>
      <c r="G165" s="70">
        <f t="shared" si="3"/>
        <v>-810.42850264805008</v>
      </c>
      <c r="H165" s="360"/>
    </row>
    <row r="166" spans="1:8" x14ac:dyDescent="0.6">
      <c r="A166" s="1" t="s">
        <v>74</v>
      </c>
      <c r="B166" s="265">
        <v>30.975999999999999</v>
      </c>
      <c r="C166" s="1027">
        <v>66903804142.53949</v>
      </c>
      <c r="D166" s="17">
        <f t="shared" si="1"/>
        <v>2159.8593796016107</v>
      </c>
      <c r="E166" s="17">
        <f>'Oil Prod subsidies'!F27</f>
        <v>-6194200000</v>
      </c>
      <c r="F166" s="28">
        <f t="shared" si="2"/>
        <v>9.2583674118188714E-2</v>
      </c>
      <c r="G166" s="70">
        <f t="shared" si="3"/>
        <v>-199.96771694214877</v>
      </c>
      <c r="H166" s="360"/>
    </row>
    <row r="167" spans="1:8" x14ac:dyDescent="0.6">
      <c r="A167" s="1" t="s">
        <v>53</v>
      </c>
      <c r="B167" s="265">
        <v>39.872</v>
      </c>
      <c r="C167" s="704">
        <v>165874330876.32111</v>
      </c>
      <c r="D167" s="17">
        <f t="shared" si="1"/>
        <v>4160.1708185273146</v>
      </c>
      <c r="E167" s="17">
        <f>'Oil Prod subsidies'!F5</f>
        <v>-13584300000</v>
      </c>
      <c r="F167" s="28">
        <f t="shared" si="2"/>
        <v>8.1895130658454315E-2</v>
      </c>
      <c r="G167" s="70">
        <f t="shared" si="3"/>
        <v>-340.69773274478331</v>
      </c>
      <c r="H167" s="360"/>
    </row>
    <row r="168" spans="1:8" x14ac:dyDescent="0.6">
      <c r="A168" s="1" t="s">
        <v>70</v>
      </c>
      <c r="B168" s="265">
        <v>31.556999999999999</v>
      </c>
      <c r="C168" s="1027">
        <v>651757333333.33337</v>
      </c>
      <c r="D168" s="17">
        <f t="shared" si="1"/>
        <v>20653.336290944429</v>
      </c>
      <c r="E168" s="17">
        <f>'Oil Prod subsidies'!F23</f>
        <v>-44552700000</v>
      </c>
      <c r="F168" s="28">
        <f t="shared" si="2"/>
        <v>6.8357803927023966E-2</v>
      </c>
      <c r="G168" s="70">
        <f t="shared" si="3"/>
        <v>-1411.8167126152675</v>
      </c>
      <c r="H168" s="360"/>
    </row>
    <row r="169" spans="1:8" x14ac:dyDescent="0.6">
      <c r="A169" s="1" t="s">
        <v>65</v>
      </c>
      <c r="B169" s="265">
        <v>3.9359999999999999</v>
      </c>
      <c r="C169" s="1027">
        <v>114567298105.68295</v>
      </c>
      <c r="D169" s="17">
        <f t="shared" si="1"/>
        <v>29107.545250427578</v>
      </c>
      <c r="E169" s="17">
        <f>'Oil Prod subsidies'!F17</f>
        <v>-5921100000</v>
      </c>
      <c r="F169" s="28">
        <f t="shared" si="2"/>
        <v>5.1682287161368363E-2</v>
      </c>
      <c r="G169" s="70">
        <f t="shared" si="3"/>
        <v>-1504.344512195122</v>
      </c>
      <c r="H169" s="360"/>
    </row>
    <row r="170" spans="1:8" x14ac:dyDescent="0.6">
      <c r="A170" s="1" t="s">
        <v>56</v>
      </c>
      <c r="B170" s="265">
        <v>1.3720000000000001</v>
      </c>
      <c r="C170" s="1027">
        <v>31125851063.829788</v>
      </c>
      <c r="D170" s="17">
        <f t="shared" si="1"/>
        <v>22686.480367222877</v>
      </c>
      <c r="E170" s="17">
        <f>'Oil Prod subsidies'!F8</f>
        <v>-1542300000</v>
      </c>
      <c r="F170" s="28">
        <f t="shared" si="2"/>
        <v>4.9550452350273257E-2</v>
      </c>
      <c r="G170" s="70">
        <f t="shared" si="3"/>
        <v>-1124.1253644314868</v>
      </c>
      <c r="H170" s="360"/>
    </row>
    <row r="171" spans="1:8" x14ac:dyDescent="0.6">
      <c r="A171" s="1" t="s">
        <v>59</v>
      </c>
      <c r="B171" s="265">
        <v>93.872</v>
      </c>
      <c r="C171" s="1027">
        <v>332698041030.80713</v>
      </c>
      <c r="D171" s="17">
        <f t="shared" si="1"/>
        <v>3544.1669617224211</v>
      </c>
      <c r="E171" s="17">
        <f>'Oil Prod subsidies'!F11</f>
        <v>-15141500000</v>
      </c>
      <c r="F171" s="28">
        <f t="shared" si="2"/>
        <v>4.5511238819100616E-2</v>
      </c>
      <c r="G171" s="70">
        <f t="shared" si="3"/>
        <v>-161.29942900971537</v>
      </c>
      <c r="H171" s="360"/>
    </row>
    <row r="172" spans="1:8" x14ac:dyDescent="0.6">
      <c r="A172" s="1" t="s">
        <v>71</v>
      </c>
      <c r="B172" s="265">
        <v>1.36</v>
      </c>
      <c r="C172" s="1027">
        <v>23559224762.442375</v>
      </c>
      <c r="D172" s="17">
        <f t="shared" si="1"/>
        <v>17322.959384148806</v>
      </c>
      <c r="E172" s="17">
        <f>'Oil Prod subsidies'!F24</f>
        <v>-794300000</v>
      </c>
      <c r="F172" s="28">
        <f t="shared" si="2"/>
        <v>3.3715031288561605E-2</v>
      </c>
      <c r="G172" s="70">
        <f t="shared" si="3"/>
        <v>-584.04411764705878</v>
      </c>
      <c r="H172" s="360"/>
    </row>
    <row r="173" spans="1:8" x14ac:dyDescent="0.6">
      <c r="A173" s="1" t="s">
        <v>62</v>
      </c>
      <c r="B173" s="265">
        <v>36.116</v>
      </c>
      <c r="C173" s="1027">
        <v>179640210726.44806</v>
      </c>
      <c r="D173" s="17">
        <f t="shared" si="1"/>
        <v>4973.9785891695665</v>
      </c>
      <c r="E173" s="17">
        <f>'Oil Prod subsidies'!F14</f>
        <v>-5128600000</v>
      </c>
      <c r="F173" s="28">
        <f t="shared" si="2"/>
        <v>2.8549287374248927E-2</v>
      </c>
      <c r="G173" s="70">
        <f t="shared" si="3"/>
        <v>-142.00354413556317</v>
      </c>
      <c r="H173" s="360"/>
    </row>
    <row r="174" spans="1:8" x14ac:dyDescent="0.6">
      <c r="A174" s="1" t="s">
        <v>73</v>
      </c>
      <c r="B174" s="265">
        <v>9.1539999999999999</v>
      </c>
      <c r="C174" s="1027">
        <v>357949199754.93536</v>
      </c>
      <c r="D174" s="17">
        <f t="shared" si="1"/>
        <v>39103.036896977865</v>
      </c>
      <c r="E174" s="17">
        <f>'Oil Prod subsidies'!F26</f>
        <v>-10199900000</v>
      </c>
      <c r="F174" s="28">
        <f t="shared" si="2"/>
        <v>2.8495384280739309E-2</v>
      </c>
      <c r="G174" s="70">
        <f t="shared" si="3"/>
        <v>-1114.2560629233121</v>
      </c>
      <c r="H174" s="360"/>
    </row>
    <row r="175" spans="1:8" x14ac:dyDescent="0.6">
      <c r="A175" s="1" t="s">
        <v>58</v>
      </c>
      <c r="B175" s="265">
        <v>16.143999999999998</v>
      </c>
      <c r="C175" s="1027">
        <v>99290380999.999985</v>
      </c>
      <c r="D175" s="17">
        <f t="shared" si="1"/>
        <v>6150.2961471754206</v>
      </c>
      <c r="E175" s="17">
        <f>'Oil Prod subsidies'!F10</f>
        <v>-2286200000</v>
      </c>
      <c r="F175" s="28">
        <f t="shared" si="2"/>
        <v>2.3025392560433424E-2</v>
      </c>
      <c r="G175" s="70">
        <f t="shared" si="3"/>
        <v>-141.61298315163529</v>
      </c>
      <c r="H175" s="360"/>
    </row>
    <row r="176" spans="1:8" x14ac:dyDescent="0.6">
      <c r="A176" s="1" t="s">
        <v>69</v>
      </c>
      <c r="B176" s="265">
        <v>2.4820000000000002</v>
      </c>
      <c r="C176" s="1027">
        <v>164641483516.48352</v>
      </c>
      <c r="D176" s="17">
        <f t="shared" si="1"/>
        <v>66334.199644030421</v>
      </c>
      <c r="E176" s="17">
        <f>'Oil Prod subsidies'!F22</f>
        <v>-3088900000</v>
      </c>
      <c r="F176" s="28">
        <f t="shared" si="2"/>
        <v>1.8761371277918219E-2</v>
      </c>
      <c r="G176" s="70">
        <f t="shared" si="3"/>
        <v>-1244.5205479452054</v>
      </c>
      <c r="H176" s="360"/>
    </row>
    <row r="177" spans="1:8" x14ac:dyDescent="0.6">
      <c r="A177" s="1" t="s">
        <v>61</v>
      </c>
      <c r="B177" s="265">
        <v>258.16199999999998</v>
      </c>
      <c r="C177" s="1027">
        <v>861256351277.35876</v>
      </c>
      <c r="D177" s="17">
        <f t="shared" si="1"/>
        <v>3336.1081463474829</v>
      </c>
      <c r="E177" s="17">
        <f>'Oil Prod subsidies'!F13</f>
        <v>-15829000000</v>
      </c>
      <c r="F177" s="28">
        <f t="shared" si="2"/>
        <v>1.8378964609693117E-2</v>
      </c>
      <c r="G177" s="70">
        <f t="shared" si="3"/>
        <v>-61.314213555829291</v>
      </c>
      <c r="H177" s="360"/>
    </row>
    <row r="178" spans="1:8" x14ac:dyDescent="0.6">
      <c r="A178" s="1" t="s">
        <v>55</v>
      </c>
      <c r="B178" s="265">
        <v>9.6170000000000009</v>
      </c>
      <c r="C178" s="1027">
        <v>53074370486.043335</v>
      </c>
      <c r="D178" s="17">
        <f t="shared" si="1"/>
        <v>5518.8073709101936</v>
      </c>
      <c r="E178" s="17">
        <f>'Oil Prod subsidies'!F7</f>
        <v>-934600000</v>
      </c>
      <c r="F178" s="28">
        <f t="shared" si="2"/>
        <v>1.7609252666421479E-2</v>
      </c>
      <c r="G178" s="70">
        <f t="shared" si="3"/>
        <v>-97.182073411666835</v>
      </c>
      <c r="H178" s="360"/>
    </row>
    <row r="179" spans="1:8" x14ac:dyDescent="0.6">
      <c r="A179" s="1" t="s">
        <v>64</v>
      </c>
      <c r="B179" s="265">
        <v>17.75</v>
      </c>
      <c r="C179" s="1027">
        <v>184388432148.71533</v>
      </c>
      <c r="D179" s="17">
        <f t="shared" si="1"/>
        <v>10388.080684434666</v>
      </c>
      <c r="E179" s="17">
        <f>'Oil Prod subsidies'!F16</f>
        <v>-2242100000</v>
      </c>
      <c r="F179" s="28">
        <f t="shared" si="2"/>
        <v>1.2159656513547838E-2</v>
      </c>
      <c r="G179" s="70">
        <f t="shared" si="3"/>
        <v>-126.31549295774649</v>
      </c>
      <c r="H179" s="360"/>
    </row>
    <row r="180" spans="1:8" x14ac:dyDescent="0.6">
      <c r="A180" s="1" t="s">
        <v>57</v>
      </c>
      <c r="B180" s="265">
        <v>0.41799999999999998</v>
      </c>
      <c r="C180" s="1027">
        <v>12930394937.81366</v>
      </c>
      <c r="D180" s="17">
        <f t="shared" si="1"/>
        <v>30933.959181372393</v>
      </c>
      <c r="E180" s="17">
        <f>'Oil Prod subsidies'!F9</f>
        <v>-153500000</v>
      </c>
      <c r="F180" s="28">
        <f t="shared" si="2"/>
        <v>1.187125379682754E-2</v>
      </c>
      <c r="G180" s="70">
        <f t="shared" si="3"/>
        <v>-367.2248803827751</v>
      </c>
      <c r="H180" s="360"/>
    </row>
    <row r="181" spans="1:8" x14ac:dyDescent="0.6">
      <c r="A181" s="1" t="s">
        <v>60</v>
      </c>
      <c r="B181" s="265">
        <v>1.93</v>
      </c>
      <c r="C181" s="1027">
        <v>14262032470.904108</v>
      </c>
      <c r="D181" s="17">
        <f t="shared" si="1"/>
        <v>7389.6541300021281</v>
      </c>
      <c r="E181" s="17">
        <f>'Oil Prod subsidies'!F12</f>
        <v>-134500000</v>
      </c>
      <c r="F181" s="28">
        <f t="shared" si="2"/>
        <v>9.430633415987006E-3</v>
      </c>
      <c r="G181" s="70">
        <f t="shared" si="3"/>
        <v>-69.689119170984455</v>
      </c>
      <c r="H181" s="360"/>
    </row>
    <row r="182" spans="1:8" x14ac:dyDescent="0.6">
      <c r="A182" s="1" t="s">
        <v>48</v>
      </c>
      <c r="B182" s="265">
        <v>125.89100000000001</v>
      </c>
      <c r="C182" s="704">
        <v>1152263780657.8621</v>
      </c>
      <c r="D182" s="17">
        <f t="shared" si="1"/>
        <v>9152.8685978970861</v>
      </c>
      <c r="E182" s="17">
        <f>'Oil Prod subsidies'!F4</f>
        <v>-6202200000</v>
      </c>
      <c r="F182" s="28">
        <f t="shared" si="2"/>
        <v>5.3826216740571137E-3</v>
      </c>
      <c r="G182" s="70">
        <f t="shared" si="3"/>
        <v>-49.266428894837595</v>
      </c>
      <c r="H182" s="360"/>
    </row>
    <row r="183" spans="1:8" x14ac:dyDescent="0.6">
      <c r="A183" s="1" t="s">
        <v>68</v>
      </c>
      <c r="B183" s="265">
        <v>181.18199999999999</v>
      </c>
      <c r="C183" s="1027">
        <v>481066152889.09436</v>
      </c>
      <c r="D183" s="17">
        <f t="shared" si="1"/>
        <v>2655.1542255251316</v>
      </c>
      <c r="E183" s="17">
        <f>'Oil Prod subsidies'!F20</f>
        <v>-2438800000</v>
      </c>
      <c r="F183" s="28">
        <f t="shared" si="2"/>
        <v>5.0695730417813127E-3</v>
      </c>
      <c r="G183" s="70">
        <f t="shared" si="3"/>
        <v>-13.460498283493946</v>
      </c>
      <c r="H183" s="360"/>
    </row>
    <row r="184" spans="1:8" x14ac:dyDescent="0.6">
      <c r="A184" s="1" t="s">
        <v>54</v>
      </c>
      <c r="B184" s="265">
        <v>27.859000000000002</v>
      </c>
      <c r="C184" s="704">
        <v>102962245246.70822</v>
      </c>
      <c r="D184" s="17">
        <f t="shared" si="1"/>
        <v>3695.8342096524721</v>
      </c>
      <c r="E184" s="17">
        <f>'Oil Prod subsidies'!F6</f>
        <v>-367400000</v>
      </c>
      <c r="F184" s="28">
        <f t="shared" si="2"/>
        <v>3.5682982545657536E-3</v>
      </c>
      <c r="G184" s="70">
        <f t="shared" si="3"/>
        <v>-13.187838759467317</v>
      </c>
      <c r="H184" s="360"/>
    </row>
    <row r="185" spans="1:8" x14ac:dyDescent="0.6">
      <c r="A185" s="1" t="s">
        <v>67</v>
      </c>
      <c r="B185" s="265">
        <v>30.722999999999999</v>
      </c>
      <c r="C185" s="1027">
        <v>296434003328.6391</v>
      </c>
      <c r="D185" s="17">
        <f t="shared" si="1"/>
        <v>9648.6021328854313</v>
      </c>
      <c r="E185" s="17">
        <f>'Oil Prod subsidies'!F19</f>
        <v>-388200000</v>
      </c>
      <c r="F185" s="28">
        <f t="shared" si="2"/>
        <v>1.3095663643203082E-3</v>
      </c>
      <c r="G185" s="70">
        <f t="shared" si="3"/>
        <v>-12.635484815935945</v>
      </c>
      <c r="H185" s="360"/>
    </row>
    <row r="186" spans="1:8" x14ac:dyDescent="0.6">
      <c r="A186" s="1" t="s">
        <v>695</v>
      </c>
      <c r="B186" s="265">
        <v>4.2</v>
      </c>
      <c r="C186" s="1027">
        <v>69831770871.261383</v>
      </c>
      <c r="D186" s="17">
        <f t="shared" si="1"/>
        <v>16626.61211220509</v>
      </c>
      <c r="E186" s="17">
        <f>'Oil Prod subsidies'!F21</f>
        <v>-82400000</v>
      </c>
      <c r="F186" s="28">
        <f t="shared" si="2"/>
        <v>1.1799786683329115E-3</v>
      </c>
      <c r="G186" s="70">
        <f t="shared" si="3"/>
        <v>-19.61904761904762</v>
      </c>
      <c r="H186" s="360"/>
    </row>
    <row r="187" spans="1:8" x14ac:dyDescent="0.6">
      <c r="A187" s="262" t="s">
        <v>632</v>
      </c>
      <c r="B187" s="266">
        <f>SUM(B162:B186)</f>
        <v>1046.8879999999999</v>
      </c>
      <c r="C187" s="1028">
        <f>SUM(C162:C186)</f>
        <v>6097940795597.2432</v>
      </c>
      <c r="D187" s="1031">
        <f t="shared" si="0"/>
        <v>5824.826338249406</v>
      </c>
      <c r="E187" s="1031">
        <f>SUM(E162:E186)</f>
        <v>-219419900000</v>
      </c>
      <c r="F187" s="1033">
        <f t="shared" ref="F187" si="4">-E187/C187</f>
        <v>3.5982622225263772E-2</v>
      </c>
      <c r="G187" s="70">
        <f t="shared" si="3"/>
        <v>-209.59252565699484</v>
      </c>
    </row>
    <row r="188" spans="1:8" x14ac:dyDescent="0.6">
      <c r="A188" s="103"/>
      <c r="B188" s="267"/>
      <c r="C188" s="1029"/>
      <c r="D188" s="17"/>
    </row>
    <row r="189" spans="1:8" x14ac:dyDescent="0.6">
      <c r="A189" s="1" t="s">
        <v>871</v>
      </c>
      <c r="B189" s="265">
        <f>B124+B154+B160+B187</f>
        <v>5146.6639999999998</v>
      </c>
      <c r="C189" s="1027">
        <f>C124+C154+C160+C187</f>
        <v>66502809917522.867</v>
      </c>
      <c r="D189" s="17">
        <f t="shared" ref="D189:D190" si="5">C189/(B189*1000000)</f>
        <v>12921.537119486111</v>
      </c>
    </row>
    <row r="190" spans="1:8" x14ac:dyDescent="0.6">
      <c r="A190" s="1" t="s">
        <v>596</v>
      </c>
      <c r="B190" s="265">
        <v>7238</v>
      </c>
      <c r="C190" s="1027">
        <v>74781876418353.688</v>
      </c>
      <c r="D190" s="17">
        <f t="shared" si="5"/>
        <v>10331.842555727229</v>
      </c>
    </row>
    <row r="191" spans="1:8" x14ac:dyDescent="0.6">
      <c r="A191" s="1" t="s">
        <v>630</v>
      </c>
      <c r="B191" s="28">
        <f>B189/B190</f>
        <v>0.71106161923183198</v>
      </c>
      <c r="C191" s="28">
        <f>C189/C190</f>
        <v>0.8892904685285633</v>
      </c>
    </row>
    <row r="194" spans="3:3" x14ac:dyDescent="0.6">
      <c r="C194" s="9"/>
    </row>
  </sheetData>
  <sortState xmlns:xlrd2="http://schemas.microsoft.com/office/spreadsheetml/2017/richdata2" ref="A161:F185">
    <sortCondition descending="1" ref="F161:F185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V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19.84765625" style="1" customWidth="1"/>
    <col min="3" max="3" width="9.5" style="13" bestFit="1" customWidth="1"/>
    <col min="4" max="4" width="15.09765625" style="13" bestFit="1" customWidth="1"/>
    <col min="5" max="5" width="10.5" style="55" customWidth="1"/>
    <col min="6" max="6" width="10.84765625" style="7" bestFit="1" customWidth="1"/>
    <col min="7" max="7" width="11.09765625" style="83" bestFit="1" customWidth="1"/>
    <col min="8" max="8" width="12" style="10" customWidth="1"/>
    <col min="9" max="9" width="13.59765625" style="5" bestFit="1" customWidth="1"/>
    <col min="10" max="10" width="9.5" style="10" bestFit="1" customWidth="1"/>
    <col min="11" max="14" width="9.5" style="28" customWidth="1"/>
    <col min="15" max="15" width="12" style="1" customWidth="1"/>
    <col min="16" max="16" width="9.5" style="10" customWidth="1"/>
    <col min="17" max="17" width="9.5" style="20" hidden="1" customWidth="1"/>
    <col min="18" max="18" width="19.84765625" style="70" customWidth="1"/>
    <col min="19" max="19" width="18.5" style="57" bestFit="1" customWidth="1"/>
    <col min="20" max="20" width="15" style="17" bestFit="1" customWidth="1"/>
    <col min="21" max="21" width="17.5" style="17" bestFit="1" customWidth="1"/>
    <col min="22" max="22" width="10.84765625" style="10" customWidth="1"/>
    <col min="23" max="16384" width="10.84765625" style="1"/>
  </cols>
  <sheetData>
    <row r="1" spans="1:22" x14ac:dyDescent="0.6">
      <c r="A1" s="24" t="s">
        <v>1257</v>
      </c>
      <c r="C1" s="19" t="s">
        <v>855</v>
      </c>
      <c r="E1" s="107"/>
      <c r="Q1" s="80" t="s">
        <v>27</v>
      </c>
    </row>
    <row r="2" spans="1:22" s="2" customFormat="1" x14ac:dyDescent="0.6">
      <c r="C2" s="14" t="s">
        <v>24</v>
      </c>
      <c r="D2" s="14"/>
      <c r="E2" s="56"/>
      <c r="F2" s="8" t="s">
        <v>87</v>
      </c>
      <c r="G2" s="370" t="s">
        <v>638</v>
      </c>
      <c r="H2" s="11" t="s">
        <v>638</v>
      </c>
      <c r="I2" s="6" t="s">
        <v>627</v>
      </c>
      <c r="J2" s="11" t="s">
        <v>627</v>
      </c>
      <c r="K2" s="71" t="s">
        <v>194</v>
      </c>
      <c r="L2" s="71" t="s">
        <v>194</v>
      </c>
      <c r="M2" s="71" t="s">
        <v>194</v>
      </c>
      <c r="N2" s="71" t="s">
        <v>650</v>
      </c>
      <c r="O2" s="2" t="s">
        <v>397</v>
      </c>
      <c r="P2" s="11" t="s">
        <v>42</v>
      </c>
      <c r="Q2" s="81" t="s">
        <v>108</v>
      </c>
      <c r="R2" s="114"/>
      <c r="S2" s="58" t="s">
        <v>766</v>
      </c>
      <c r="T2" s="18" t="s">
        <v>42</v>
      </c>
      <c r="U2" s="18"/>
      <c r="V2" s="11"/>
    </row>
    <row r="3" spans="1:22" s="2" customFormat="1" x14ac:dyDescent="0.6">
      <c r="C3" s="14" t="s">
        <v>94</v>
      </c>
      <c r="D3" s="14" t="s">
        <v>25</v>
      </c>
      <c r="E3" s="56" t="s">
        <v>41</v>
      </c>
      <c r="F3" s="8" t="s">
        <v>22</v>
      </c>
      <c r="G3" s="370" t="s">
        <v>649</v>
      </c>
      <c r="H3" s="11" t="s">
        <v>639</v>
      </c>
      <c r="I3" s="6" t="s">
        <v>643</v>
      </c>
      <c r="J3" s="11" t="s">
        <v>606</v>
      </c>
      <c r="K3" s="71" t="s">
        <v>84</v>
      </c>
      <c r="L3" s="71" t="s">
        <v>651</v>
      </c>
      <c r="M3" s="71" t="s">
        <v>652</v>
      </c>
      <c r="N3" s="71" t="s">
        <v>403</v>
      </c>
      <c r="O3" s="2" t="s">
        <v>85</v>
      </c>
      <c r="P3" s="11" t="s">
        <v>656</v>
      </c>
      <c r="Q3" s="81" t="s">
        <v>94</v>
      </c>
      <c r="R3" s="114" t="s">
        <v>602</v>
      </c>
      <c r="S3" s="58" t="s">
        <v>76</v>
      </c>
      <c r="T3" s="18" t="s">
        <v>77</v>
      </c>
      <c r="U3" s="18" t="s">
        <v>34</v>
      </c>
      <c r="V3" s="11"/>
    </row>
    <row r="4" spans="1:22" x14ac:dyDescent="0.6">
      <c r="A4" s="61">
        <v>1</v>
      </c>
      <c r="B4" s="44" t="s">
        <v>37</v>
      </c>
      <c r="C4" s="290"/>
      <c r="D4" s="345">
        <f>C4*Assumptions!$C$78</f>
        <v>0</v>
      </c>
      <c r="E4" s="399">
        <v>1</v>
      </c>
      <c r="F4" s="297">
        <f>Assumptions!$C$115</f>
        <v>3.7854100000000002</v>
      </c>
      <c r="G4" s="389"/>
      <c r="H4" s="301"/>
      <c r="I4" s="667"/>
      <c r="J4" s="306" t="e">
        <f>'State gasoline'!#REF!</f>
        <v>#REF!</v>
      </c>
      <c r="K4" s="361"/>
      <c r="L4" s="322"/>
      <c r="M4" s="322"/>
      <c r="N4" s="322"/>
      <c r="O4" s="544"/>
      <c r="P4" s="310"/>
      <c r="Q4" s="43">
        <v>621889</v>
      </c>
      <c r="R4" s="366">
        <f>'State Sev Tax'!H56</f>
        <v>4490710481.9619875</v>
      </c>
      <c r="S4" s="336">
        <f>-'OECD crude subsidies'!C3</f>
        <v>-3307442615</v>
      </c>
      <c r="T4" s="342">
        <f>S4*E4</f>
        <v>-3307442615</v>
      </c>
      <c r="U4" s="111">
        <f>R4+T4</f>
        <v>1183267866.9619875</v>
      </c>
    </row>
    <row r="5" spans="1:22" s="2" customFormat="1" x14ac:dyDescent="0.6">
      <c r="A5" s="46"/>
      <c r="B5" s="40" t="s">
        <v>35</v>
      </c>
      <c r="C5" s="356"/>
      <c r="D5" s="346"/>
      <c r="E5" s="418"/>
      <c r="F5" s="298"/>
      <c r="G5" s="385"/>
      <c r="H5" s="302"/>
      <c r="I5" s="668"/>
      <c r="J5" s="307"/>
      <c r="K5" s="372"/>
      <c r="L5" s="315"/>
      <c r="M5" s="315"/>
      <c r="N5" s="315"/>
      <c r="O5" s="674"/>
      <c r="P5" s="311"/>
      <c r="Q5" s="82"/>
      <c r="R5" s="367"/>
      <c r="S5" s="338"/>
      <c r="T5" s="343"/>
      <c r="U5" s="165"/>
      <c r="V5" s="11"/>
    </row>
    <row r="6" spans="1:22" x14ac:dyDescent="0.6">
      <c r="A6" s="46">
        <f>A4+1</f>
        <v>2</v>
      </c>
      <c r="B6" s="44" t="s">
        <v>0</v>
      </c>
      <c r="C6" s="290"/>
      <c r="D6" s="345">
        <f>C6*Assumptions!$C$78</f>
        <v>0</v>
      </c>
      <c r="E6" s="391">
        <f>Assumptions!$H$3</f>
        <v>1.1863330000000001</v>
      </c>
      <c r="F6" s="297">
        <f>Assumptions!$C$115</f>
        <v>3.7854100000000002</v>
      </c>
      <c r="G6" s="422"/>
      <c r="H6" s="301"/>
      <c r="I6" s="669"/>
      <c r="J6" s="286">
        <f t="shared" ref="J6:J27" si="0">I6/1000*H6*G6</f>
        <v>0</v>
      </c>
      <c r="K6" s="373"/>
      <c r="L6" s="325"/>
      <c r="M6" s="325"/>
      <c r="N6" s="325"/>
      <c r="O6" s="544"/>
      <c r="P6" s="268"/>
      <c r="Q6" s="43">
        <v>18377</v>
      </c>
      <c r="R6" s="366">
        <f t="shared" ref="R6:R26" si="1">D6*P6</f>
        <v>0</v>
      </c>
      <c r="S6" s="336">
        <f>-'OECD crude subsidies'!C94</f>
        <v>0</v>
      </c>
      <c r="T6" s="342">
        <f t="shared" ref="T6:T26" si="2">S6*E6</f>
        <v>0</v>
      </c>
      <c r="U6" s="111">
        <f t="shared" ref="U6:U26" si="3">R6+T6</f>
        <v>0</v>
      </c>
    </row>
    <row r="7" spans="1:22" x14ac:dyDescent="0.6">
      <c r="A7" s="46">
        <f>A6+1</f>
        <v>3</v>
      </c>
      <c r="B7" s="44" t="s">
        <v>1</v>
      </c>
      <c r="C7" s="290"/>
      <c r="D7" s="345">
        <f>C7*Assumptions!$C$78</f>
        <v>0</v>
      </c>
      <c r="E7" s="391">
        <f>Assumptions!$H$15</f>
        <v>4.5997000000000003E-2</v>
      </c>
      <c r="F7" s="297">
        <f>Assumptions!$C$115</f>
        <v>3.7854100000000002</v>
      </c>
      <c r="G7" s="386"/>
      <c r="H7" s="301"/>
      <c r="I7" s="669"/>
      <c r="J7" s="286">
        <f t="shared" si="0"/>
        <v>0</v>
      </c>
      <c r="K7" s="373"/>
      <c r="L7" s="325"/>
      <c r="M7" s="325"/>
      <c r="N7" s="325"/>
      <c r="O7" s="544"/>
      <c r="P7" s="268"/>
      <c r="Q7" s="43">
        <v>6555</v>
      </c>
      <c r="R7" s="366">
        <f t="shared" si="1"/>
        <v>0</v>
      </c>
      <c r="S7" s="336">
        <f>-'OECD crude subsidies'!C96</f>
        <v>0</v>
      </c>
      <c r="T7" s="342">
        <f t="shared" si="2"/>
        <v>0</v>
      </c>
      <c r="U7" s="111">
        <f t="shared" si="3"/>
        <v>0</v>
      </c>
    </row>
    <row r="8" spans="1:22" x14ac:dyDescent="0.6">
      <c r="A8" s="46">
        <f t="shared" ref="A8:A26" si="4">A7+1</f>
        <v>4</v>
      </c>
      <c r="B8" s="44" t="s">
        <v>2</v>
      </c>
      <c r="C8" s="290"/>
      <c r="D8" s="345">
        <f>C8*Assumptions!$C$78</f>
        <v>0</v>
      </c>
      <c r="E8" s="391">
        <f>Assumptions!$H$16</f>
        <v>0.15934999999999999</v>
      </c>
      <c r="F8" s="297">
        <f>Assumptions!$C$115</f>
        <v>3.7854100000000002</v>
      </c>
      <c r="G8" s="423"/>
      <c r="H8" s="301"/>
      <c r="I8" s="669"/>
      <c r="J8" s="286">
        <f t="shared" si="0"/>
        <v>0</v>
      </c>
      <c r="K8" s="373"/>
      <c r="L8" s="325"/>
      <c r="M8" s="325"/>
      <c r="N8" s="325"/>
      <c r="O8" s="544"/>
      <c r="P8" s="268"/>
      <c r="Q8" s="43">
        <v>4694</v>
      </c>
      <c r="R8" s="366">
        <f t="shared" si="1"/>
        <v>0</v>
      </c>
      <c r="S8" s="336">
        <f>-'OECD crude subsidies'!C98</f>
        <v>0</v>
      </c>
      <c r="T8" s="342">
        <f t="shared" si="2"/>
        <v>0</v>
      </c>
      <c r="U8" s="111">
        <f t="shared" si="3"/>
        <v>0</v>
      </c>
    </row>
    <row r="9" spans="1:22" x14ac:dyDescent="0.6">
      <c r="A9" s="46">
        <f t="shared" si="4"/>
        <v>5</v>
      </c>
      <c r="B9" s="44" t="s">
        <v>3</v>
      </c>
      <c r="C9" s="290"/>
      <c r="D9" s="345">
        <f>C9*Assumptions!$C$78</f>
        <v>0</v>
      </c>
      <c r="E9" s="391">
        <f>Assumptions!$H$3</f>
        <v>1.1863330000000001</v>
      </c>
      <c r="F9" s="297">
        <f>Assumptions!$C$115</f>
        <v>3.7854100000000002</v>
      </c>
      <c r="G9" s="422"/>
      <c r="H9" s="301"/>
      <c r="I9" s="669"/>
      <c r="J9" s="286">
        <f t="shared" si="0"/>
        <v>0</v>
      </c>
      <c r="K9" s="373"/>
      <c r="L9" s="325"/>
      <c r="M9" s="325"/>
      <c r="N9" s="325"/>
      <c r="O9" s="544"/>
      <c r="P9" s="268"/>
      <c r="Q9" s="43">
        <v>87244</v>
      </c>
      <c r="R9" s="366">
        <f t="shared" si="1"/>
        <v>0</v>
      </c>
      <c r="S9" s="336">
        <f>-'OECD crude subsidies'!C101</f>
        <v>0</v>
      </c>
      <c r="T9" s="342">
        <f t="shared" si="2"/>
        <v>0</v>
      </c>
      <c r="U9" s="111">
        <f t="shared" si="3"/>
        <v>0</v>
      </c>
    </row>
    <row r="10" spans="1:22" x14ac:dyDescent="0.6">
      <c r="A10" s="46">
        <f t="shared" si="4"/>
        <v>6</v>
      </c>
      <c r="B10" s="44" t="s">
        <v>4</v>
      </c>
      <c r="C10" s="290"/>
      <c r="D10" s="345">
        <f>C10*Assumptions!$C$78</f>
        <v>0</v>
      </c>
      <c r="E10" s="391">
        <f>Assumptions!$H$3</f>
        <v>1.1863330000000001</v>
      </c>
      <c r="F10" s="297">
        <f>Assumptions!$C$115</f>
        <v>3.7854100000000002</v>
      </c>
      <c r="G10" s="422"/>
      <c r="H10" s="301"/>
      <c r="I10" s="669"/>
      <c r="J10" s="286">
        <f t="shared" si="0"/>
        <v>0</v>
      </c>
      <c r="K10" s="373"/>
      <c r="L10" s="325"/>
      <c r="M10" s="325"/>
      <c r="N10" s="325"/>
      <c r="O10" s="544"/>
      <c r="P10" s="268"/>
      <c r="Q10" s="43">
        <v>898</v>
      </c>
      <c r="R10" s="366">
        <f t="shared" si="1"/>
        <v>0</v>
      </c>
      <c r="S10" s="336">
        <f>-'OECD crude subsidies'!C103</f>
        <v>0</v>
      </c>
      <c r="T10" s="342">
        <f t="shared" si="2"/>
        <v>0</v>
      </c>
      <c r="U10" s="111">
        <f t="shared" si="3"/>
        <v>0</v>
      </c>
    </row>
    <row r="11" spans="1:22" x14ac:dyDescent="0.6">
      <c r="A11" s="46">
        <f t="shared" si="4"/>
        <v>7</v>
      </c>
      <c r="B11" s="44" t="s">
        <v>5</v>
      </c>
      <c r="C11" s="290"/>
      <c r="D11" s="345">
        <f>C11*Assumptions!$C$78</f>
        <v>0</v>
      </c>
      <c r="E11" s="391">
        <f>Assumptions!$H$3</f>
        <v>1.1863330000000001</v>
      </c>
      <c r="F11" s="297">
        <f>Assumptions!$C$115</f>
        <v>3.7854100000000002</v>
      </c>
      <c r="G11" s="422"/>
      <c r="H11" s="301"/>
      <c r="I11" s="669"/>
      <c r="J11" s="286">
        <f t="shared" si="0"/>
        <v>0</v>
      </c>
      <c r="K11" s="373"/>
      <c r="L11" s="325"/>
      <c r="M11" s="325"/>
      <c r="N11" s="325"/>
      <c r="O11" s="544"/>
      <c r="P11" s="268"/>
      <c r="Q11" s="43">
        <v>7168</v>
      </c>
      <c r="R11" s="366">
        <f t="shared" si="1"/>
        <v>0</v>
      </c>
      <c r="S11" s="336">
        <f>-'OECD crude subsidies'!C105</f>
        <v>-552591</v>
      </c>
      <c r="T11" s="342">
        <f t="shared" si="2"/>
        <v>-655556.93880300003</v>
      </c>
      <c r="U11" s="111">
        <f t="shared" si="3"/>
        <v>-655556.93880300003</v>
      </c>
    </row>
    <row r="12" spans="1:22" x14ac:dyDescent="0.6">
      <c r="A12" s="46">
        <f t="shared" si="4"/>
        <v>8</v>
      </c>
      <c r="B12" s="44" t="s">
        <v>6</v>
      </c>
      <c r="C12" s="290"/>
      <c r="D12" s="345">
        <f>C12*Assumptions!$C$78</f>
        <v>0</v>
      </c>
      <c r="E12" s="391">
        <f>Assumptions!$H$3</f>
        <v>1.1863330000000001</v>
      </c>
      <c r="F12" s="297">
        <f>Assumptions!$C$115</f>
        <v>3.7854100000000002</v>
      </c>
      <c r="G12" s="422"/>
      <c r="H12" s="301"/>
      <c r="I12" s="669"/>
      <c r="J12" s="286">
        <f t="shared" si="0"/>
        <v>0</v>
      </c>
      <c r="K12" s="373"/>
      <c r="L12" s="325"/>
      <c r="M12" s="325"/>
      <c r="N12" s="325"/>
      <c r="O12" s="544"/>
      <c r="P12" s="268"/>
      <c r="Q12" s="43">
        <v>36648</v>
      </c>
      <c r="R12" s="366">
        <f t="shared" si="1"/>
        <v>0</v>
      </c>
      <c r="S12" s="336">
        <f>-'OECD crude subsidies'!C107</f>
        <v>-1547633</v>
      </c>
      <c r="T12" s="342">
        <f t="shared" si="2"/>
        <v>-1836008.0997890001</v>
      </c>
      <c r="U12" s="111">
        <f t="shared" si="3"/>
        <v>-1836008.0997890001</v>
      </c>
    </row>
    <row r="13" spans="1:22" x14ac:dyDescent="0.6">
      <c r="A13" s="46">
        <f t="shared" si="4"/>
        <v>9</v>
      </c>
      <c r="B13" s="44" t="s">
        <v>7</v>
      </c>
      <c r="C13" s="290"/>
      <c r="D13" s="345">
        <f>C13*Assumptions!$C$78</f>
        <v>0</v>
      </c>
      <c r="E13" s="391">
        <f>Assumptions!$H$3</f>
        <v>1.1863330000000001</v>
      </c>
      <c r="F13" s="297">
        <f>Assumptions!$C$115</f>
        <v>3.7854100000000002</v>
      </c>
      <c r="G13" s="422"/>
      <c r="H13" s="301"/>
      <c r="I13" s="669"/>
      <c r="J13" s="286">
        <f t="shared" si="0"/>
        <v>0</v>
      </c>
      <c r="K13" s="373"/>
      <c r="L13" s="325"/>
      <c r="M13" s="325"/>
      <c r="N13" s="325"/>
      <c r="O13" s="544"/>
      <c r="P13" s="268"/>
      <c r="Q13" s="43">
        <v>61458</v>
      </c>
      <c r="R13" s="366">
        <f t="shared" si="1"/>
        <v>0</v>
      </c>
      <c r="S13" s="336">
        <f>-'OECD crude subsidies'!C110</f>
        <v>-72627996</v>
      </c>
      <c r="T13" s="342">
        <f t="shared" si="2"/>
        <v>-86160988.37866801</v>
      </c>
      <c r="U13" s="111">
        <f t="shared" si="3"/>
        <v>-86160988.37866801</v>
      </c>
    </row>
    <row r="14" spans="1:22" x14ac:dyDescent="0.6">
      <c r="A14" s="46">
        <f t="shared" si="4"/>
        <v>10</v>
      </c>
      <c r="B14" s="44" t="s">
        <v>8</v>
      </c>
      <c r="C14" s="290"/>
      <c r="D14" s="345">
        <f>C14*Assumptions!$C$78</f>
        <v>0</v>
      </c>
      <c r="E14" s="391">
        <f>Assumptions!$H$3</f>
        <v>1.1863330000000001</v>
      </c>
      <c r="F14" s="297">
        <f>Assumptions!$C$115</f>
        <v>3.7854100000000002</v>
      </c>
      <c r="G14" s="422"/>
      <c r="H14" s="301"/>
      <c r="I14" s="669"/>
      <c r="J14" s="286">
        <f t="shared" si="0"/>
        <v>0</v>
      </c>
      <c r="K14" s="373"/>
      <c r="L14" s="325"/>
      <c r="M14" s="325"/>
      <c r="N14" s="325"/>
      <c r="O14" s="544"/>
      <c r="P14" s="268"/>
      <c r="Q14" s="43">
        <v>5160</v>
      </c>
      <c r="R14" s="366">
        <f t="shared" si="1"/>
        <v>0</v>
      </c>
      <c r="S14" s="336">
        <f>-'OECD crude subsidies'!C117</f>
        <v>0</v>
      </c>
      <c r="T14" s="342">
        <f t="shared" si="2"/>
        <v>0</v>
      </c>
      <c r="U14" s="111">
        <f t="shared" si="3"/>
        <v>0</v>
      </c>
    </row>
    <row r="15" spans="1:22" x14ac:dyDescent="0.6">
      <c r="A15" s="46">
        <f t="shared" si="4"/>
        <v>11</v>
      </c>
      <c r="B15" s="44" t="s">
        <v>9</v>
      </c>
      <c r="C15" s="290"/>
      <c r="D15" s="345">
        <f>C15*Assumptions!$C$78</f>
        <v>0</v>
      </c>
      <c r="E15" s="391">
        <f>Assumptions!$H$3</f>
        <v>1.1863330000000001</v>
      </c>
      <c r="F15" s="297">
        <f>Assumptions!$C$115</f>
        <v>3.7854100000000002</v>
      </c>
      <c r="G15" s="422"/>
      <c r="H15" s="301"/>
      <c r="I15" s="669"/>
      <c r="J15" s="286">
        <f t="shared" si="0"/>
        <v>0</v>
      </c>
      <c r="K15" s="373"/>
      <c r="L15" s="325"/>
      <c r="M15" s="325"/>
      <c r="N15" s="325"/>
      <c r="O15" s="544"/>
      <c r="P15" s="268"/>
      <c r="Q15" s="43">
        <v>41084</v>
      </c>
      <c r="R15" s="366">
        <f t="shared" si="1"/>
        <v>0</v>
      </c>
      <c r="S15" s="336">
        <f>-'OECD crude subsidies'!C119</f>
        <v>-13487837</v>
      </c>
      <c r="T15" s="342">
        <f t="shared" si="2"/>
        <v>-16001066.131721001</v>
      </c>
      <c r="U15" s="111">
        <f t="shared" si="3"/>
        <v>-16001066.131721001</v>
      </c>
    </row>
    <row r="16" spans="1:22" x14ac:dyDescent="0.6">
      <c r="A16" s="46">
        <f t="shared" si="4"/>
        <v>12</v>
      </c>
      <c r="B16" s="44" t="s">
        <v>10</v>
      </c>
      <c r="C16" s="290"/>
      <c r="D16" s="345">
        <f>C16*Assumptions!$C$78</f>
        <v>0</v>
      </c>
      <c r="E16" s="391">
        <f>Assumptions!$H$3</f>
        <v>1.1863330000000001</v>
      </c>
      <c r="F16" s="297">
        <f>Assumptions!$C$115</f>
        <v>3.7854100000000002</v>
      </c>
      <c r="G16" s="422"/>
      <c r="H16" s="301"/>
      <c r="I16" s="669"/>
      <c r="J16" s="286">
        <f t="shared" si="0"/>
        <v>0</v>
      </c>
      <c r="K16" s="373"/>
      <c r="L16" s="325"/>
      <c r="M16" s="325"/>
      <c r="N16" s="325"/>
      <c r="O16" s="544"/>
      <c r="P16" s="268"/>
      <c r="Q16" s="43">
        <v>2332</v>
      </c>
      <c r="R16" s="366">
        <f t="shared" si="1"/>
        <v>0</v>
      </c>
      <c r="S16" s="336">
        <f>-'OECD crude subsidies'!C122</f>
        <v>0</v>
      </c>
      <c r="T16" s="342">
        <f t="shared" si="2"/>
        <v>0</v>
      </c>
      <c r="U16" s="111">
        <f t="shared" si="3"/>
        <v>0</v>
      </c>
    </row>
    <row r="17" spans="1:21" x14ac:dyDescent="0.6">
      <c r="A17" s="46">
        <f t="shared" si="4"/>
        <v>13</v>
      </c>
      <c r="B17" s="44" t="s">
        <v>11</v>
      </c>
      <c r="C17" s="290"/>
      <c r="D17" s="345">
        <f>C17*Assumptions!$C$78</f>
        <v>0</v>
      </c>
      <c r="E17" s="391">
        <f>Assumptions!$H$17</f>
        <v>3.8049999999999998E-3</v>
      </c>
      <c r="F17" s="297">
        <f>Assumptions!$C$115</f>
        <v>3.7854100000000002</v>
      </c>
      <c r="G17" s="388"/>
      <c r="H17" s="301"/>
      <c r="I17" s="669"/>
      <c r="J17" s="286">
        <f t="shared" si="0"/>
        <v>0</v>
      </c>
      <c r="K17" s="373"/>
      <c r="L17" s="325"/>
      <c r="M17" s="325"/>
      <c r="N17" s="325"/>
      <c r="O17" s="544"/>
      <c r="P17" s="268"/>
      <c r="Q17" s="43">
        <v>4859</v>
      </c>
      <c r="R17" s="366">
        <f t="shared" si="1"/>
        <v>0</v>
      </c>
      <c r="S17" s="336">
        <f>-'OECD crude subsidies'!C124</f>
        <v>-64328137</v>
      </c>
      <c r="T17" s="342">
        <f t="shared" si="2"/>
        <v>-244768.56128499997</v>
      </c>
      <c r="U17" s="111">
        <f t="shared" si="3"/>
        <v>-244768.56128499997</v>
      </c>
    </row>
    <row r="18" spans="1:21" x14ac:dyDescent="0.6">
      <c r="A18" s="46">
        <f t="shared" si="4"/>
        <v>14</v>
      </c>
      <c r="B18" s="44" t="s">
        <v>12</v>
      </c>
      <c r="C18" s="290"/>
      <c r="D18" s="345">
        <f>C18*Assumptions!$C$78</f>
        <v>0</v>
      </c>
      <c r="E18" s="391">
        <f>Assumptions!$H$3</f>
        <v>1.1863330000000001</v>
      </c>
      <c r="F18" s="297">
        <f>Assumptions!$C$115</f>
        <v>3.7854100000000002</v>
      </c>
      <c r="G18" s="422"/>
      <c r="H18" s="301"/>
      <c r="I18" s="669"/>
      <c r="J18" s="286">
        <f t="shared" si="0"/>
        <v>0</v>
      </c>
      <c r="K18" s="373"/>
      <c r="L18" s="325"/>
      <c r="M18" s="325"/>
      <c r="N18" s="325"/>
      <c r="O18" s="544"/>
      <c r="P18" s="268"/>
      <c r="Q18" s="43">
        <v>24278</v>
      </c>
      <c r="R18" s="366">
        <f t="shared" si="1"/>
        <v>0</v>
      </c>
      <c r="S18" s="336">
        <f>-'OECD crude subsidies'!C127</f>
        <v>0</v>
      </c>
      <c r="T18" s="342">
        <f t="shared" si="2"/>
        <v>0</v>
      </c>
      <c r="U18" s="111">
        <f t="shared" si="3"/>
        <v>0</v>
      </c>
    </row>
    <row r="19" spans="1:21" x14ac:dyDescent="0.6">
      <c r="A19" s="46">
        <f t="shared" si="4"/>
        <v>15</v>
      </c>
      <c r="B19" s="44" t="s">
        <v>13</v>
      </c>
      <c r="C19" s="290"/>
      <c r="D19" s="345">
        <f>C19*Assumptions!$C$78</f>
        <v>0</v>
      </c>
      <c r="E19" s="391">
        <f>Assumptions!$H$3</f>
        <v>1.1863330000000001</v>
      </c>
      <c r="F19" s="297">
        <f>Assumptions!$C$115</f>
        <v>3.7854100000000002</v>
      </c>
      <c r="G19" s="422"/>
      <c r="H19" s="301"/>
      <c r="I19" s="669"/>
      <c r="J19" s="286">
        <f t="shared" si="0"/>
        <v>0</v>
      </c>
      <c r="K19" s="373"/>
      <c r="L19" s="325"/>
      <c r="M19" s="325"/>
      <c r="N19" s="325"/>
      <c r="O19" s="544"/>
      <c r="P19" s="268"/>
      <c r="Q19" s="43">
        <v>9946</v>
      </c>
      <c r="R19" s="366">
        <f t="shared" si="1"/>
        <v>0</v>
      </c>
      <c r="S19" s="336">
        <f>-'OECD crude subsidies'!C130</f>
        <v>0</v>
      </c>
      <c r="T19" s="342">
        <f t="shared" si="2"/>
        <v>0</v>
      </c>
      <c r="U19" s="111">
        <f t="shared" si="3"/>
        <v>0</v>
      </c>
    </row>
    <row r="20" spans="1:21" x14ac:dyDescent="0.6">
      <c r="A20" s="46">
        <f t="shared" si="4"/>
        <v>16</v>
      </c>
      <c r="B20" s="44" t="s">
        <v>14</v>
      </c>
      <c r="C20" s="290"/>
      <c r="D20" s="345">
        <f>C20*Assumptions!$C$78</f>
        <v>0</v>
      </c>
      <c r="E20" s="391">
        <f>Assumptions!$H$18</f>
        <v>0.28262100000000001</v>
      </c>
      <c r="F20" s="297">
        <f>Assumptions!$C$115</f>
        <v>3.7854100000000002</v>
      </c>
      <c r="G20" s="424"/>
      <c r="H20" s="301"/>
      <c r="I20" s="669"/>
      <c r="J20" s="286">
        <f t="shared" si="0"/>
        <v>0</v>
      </c>
      <c r="K20" s="373"/>
      <c r="L20" s="325"/>
      <c r="M20" s="325"/>
      <c r="N20" s="325"/>
      <c r="O20" s="544"/>
      <c r="P20" s="268"/>
      <c r="Q20" s="43">
        <v>17802</v>
      </c>
      <c r="R20" s="366">
        <f t="shared" si="1"/>
        <v>0</v>
      </c>
      <c r="S20" s="336">
        <f>-'OECD crude subsidies'!C132</f>
        <v>0</v>
      </c>
      <c r="T20" s="342">
        <f t="shared" si="2"/>
        <v>0</v>
      </c>
      <c r="U20" s="111">
        <f t="shared" si="3"/>
        <v>0</v>
      </c>
    </row>
    <row r="21" spans="1:21" x14ac:dyDescent="0.6">
      <c r="A21" s="46">
        <f t="shared" si="4"/>
        <v>17</v>
      </c>
      <c r="B21" s="44" t="s">
        <v>15</v>
      </c>
      <c r="C21" s="290"/>
      <c r="D21" s="345">
        <f>C21*Assumptions!$C$78</f>
        <v>0</v>
      </c>
      <c r="E21" s="391">
        <f>Assumptions!$H$3</f>
        <v>1.1863330000000001</v>
      </c>
      <c r="F21" s="297">
        <f>Assumptions!$C$115</f>
        <v>3.7854100000000002</v>
      </c>
      <c r="G21" s="422"/>
      <c r="H21" s="301"/>
      <c r="I21" s="669"/>
      <c r="J21" s="286">
        <f t="shared" si="0"/>
        <v>0</v>
      </c>
      <c r="K21" s="373"/>
      <c r="L21" s="325"/>
      <c r="M21" s="325"/>
      <c r="N21" s="325"/>
      <c r="O21" s="544"/>
      <c r="P21" s="268"/>
      <c r="Q21" s="43">
        <v>7257</v>
      </c>
      <c r="R21" s="366">
        <f t="shared" si="1"/>
        <v>0</v>
      </c>
      <c r="S21" s="336">
        <f>-'OECD crude subsidies'!C134</f>
        <v>0</v>
      </c>
      <c r="T21" s="342">
        <f t="shared" si="2"/>
        <v>0</v>
      </c>
      <c r="U21" s="111">
        <f t="shared" si="3"/>
        <v>0</v>
      </c>
    </row>
    <row r="22" spans="1:21" x14ac:dyDescent="0.6">
      <c r="A22" s="46">
        <f t="shared" si="4"/>
        <v>18</v>
      </c>
      <c r="B22" s="44" t="s">
        <v>16</v>
      </c>
      <c r="C22" s="290"/>
      <c r="D22" s="345">
        <f>C22*Assumptions!$C$78</f>
        <v>0</v>
      </c>
      <c r="E22" s="391">
        <f>Assumptions!$H$3</f>
        <v>1.1863330000000001</v>
      </c>
      <c r="F22" s="297">
        <f>Assumptions!$C$115</f>
        <v>3.7854100000000002</v>
      </c>
      <c r="G22" s="422"/>
      <c r="H22" s="301"/>
      <c r="I22" s="669"/>
      <c r="J22" s="286">
        <f t="shared" si="0"/>
        <v>0</v>
      </c>
      <c r="K22" s="373"/>
      <c r="L22" s="325"/>
      <c r="M22" s="325"/>
      <c r="N22" s="325"/>
      <c r="O22" s="544"/>
      <c r="P22" s="268"/>
      <c r="Q22" s="43">
        <v>2165</v>
      </c>
      <c r="R22" s="366">
        <f t="shared" si="1"/>
        <v>0</v>
      </c>
      <c r="S22" s="336">
        <f>-'OECD crude subsidies'!C136</f>
        <v>0</v>
      </c>
      <c r="T22" s="342">
        <f t="shared" si="2"/>
        <v>0</v>
      </c>
      <c r="U22" s="111">
        <f t="shared" si="3"/>
        <v>0</v>
      </c>
    </row>
    <row r="23" spans="1:21" x14ac:dyDescent="0.6">
      <c r="A23" s="46">
        <f t="shared" si="4"/>
        <v>19</v>
      </c>
      <c r="B23" s="44" t="s">
        <v>17</v>
      </c>
      <c r="C23" s="290"/>
      <c r="D23" s="345">
        <f>C23*Assumptions!$C$78</f>
        <v>0</v>
      </c>
      <c r="E23" s="391">
        <f>Assumptions!$H$3</f>
        <v>1.1863330000000001</v>
      </c>
      <c r="F23" s="297">
        <f>Assumptions!$C$115</f>
        <v>3.7854100000000002</v>
      </c>
      <c r="G23" s="422"/>
      <c r="H23" s="301"/>
      <c r="I23" s="669"/>
      <c r="J23" s="286">
        <f t="shared" si="0"/>
        <v>0</v>
      </c>
      <c r="K23" s="373"/>
      <c r="L23" s="325"/>
      <c r="M23" s="325"/>
      <c r="N23" s="325"/>
      <c r="O23" s="544"/>
      <c r="P23" s="268"/>
      <c r="Q23" s="43">
        <v>2358</v>
      </c>
      <c r="R23" s="366">
        <f t="shared" si="1"/>
        <v>0</v>
      </c>
      <c r="S23" s="336">
        <f>-'OECD crude subsidies'!C138</f>
        <v>0</v>
      </c>
      <c r="T23" s="342">
        <f t="shared" si="2"/>
        <v>0</v>
      </c>
      <c r="U23" s="111">
        <f t="shared" si="3"/>
        <v>0</v>
      </c>
    </row>
    <row r="24" spans="1:21" x14ac:dyDescent="0.6">
      <c r="A24" s="46">
        <f t="shared" si="4"/>
        <v>20</v>
      </c>
      <c r="B24" s="44" t="s">
        <v>18</v>
      </c>
      <c r="C24" s="290"/>
      <c r="D24" s="345">
        <f>C24*Assumptions!$C$78</f>
        <v>0</v>
      </c>
      <c r="E24" s="391">
        <f>Assumptions!$H$3</f>
        <v>1.1863330000000001</v>
      </c>
      <c r="F24" s="297">
        <f>Assumptions!$C$115</f>
        <v>3.7854100000000002</v>
      </c>
      <c r="G24" s="422"/>
      <c r="H24" s="301"/>
      <c r="I24" s="669"/>
      <c r="J24" s="286">
        <f t="shared" si="0"/>
        <v>0</v>
      </c>
      <c r="K24" s="373"/>
      <c r="L24" s="325"/>
      <c r="M24" s="325"/>
      <c r="N24" s="325"/>
      <c r="O24" s="544"/>
      <c r="P24" s="268"/>
      <c r="Q24" s="43">
        <v>6406</v>
      </c>
      <c r="R24" s="366">
        <f t="shared" si="1"/>
        <v>0</v>
      </c>
      <c r="S24" s="336">
        <f>-'OECD crude subsidies'!C140</f>
        <v>0</v>
      </c>
      <c r="T24" s="342">
        <f t="shared" si="2"/>
        <v>0</v>
      </c>
      <c r="U24" s="111">
        <f t="shared" si="3"/>
        <v>0</v>
      </c>
    </row>
    <row r="25" spans="1:21" x14ac:dyDescent="0.6">
      <c r="A25" s="46">
        <f t="shared" si="4"/>
        <v>21</v>
      </c>
      <c r="B25" s="44" t="s">
        <v>19</v>
      </c>
      <c r="C25" s="290"/>
      <c r="D25" s="345">
        <f>C25*Assumptions!$C$78</f>
        <v>0</v>
      </c>
      <c r="E25" s="391">
        <f>Assumptions!$H$19</f>
        <v>0.119739</v>
      </c>
      <c r="F25" s="297">
        <f>Assumptions!$C$115</f>
        <v>3.7854100000000002</v>
      </c>
      <c r="G25" s="425"/>
      <c r="H25" s="301"/>
      <c r="I25" s="669"/>
      <c r="J25" s="286">
        <f t="shared" si="0"/>
        <v>0</v>
      </c>
      <c r="K25" s="373"/>
      <c r="L25" s="325"/>
      <c r="M25" s="325"/>
      <c r="N25" s="325"/>
      <c r="O25" s="544"/>
      <c r="P25" s="268"/>
      <c r="Q25" s="43">
        <v>8599</v>
      </c>
      <c r="R25" s="366">
        <f t="shared" si="1"/>
        <v>0</v>
      </c>
      <c r="S25" s="336">
        <f>-'OECD crude subsidies'!C142</f>
        <v>0</v>
      </c>
      <c r="T25" s="342">
        <f t="shared" si="2"/>
        <v>0</v>
      </c>
      <c r="U25" s="111">
        <f t="shared" si="3"/>
        <v>0</v>
      </c>
    </row>
    <row r="26" spans="1:21" ht="15.9" thickBot="1" x14ac:dyDescent="0.65">
      <c r="A26" s="15">
        <f t="shared" si="4"/>
        <v>22</v>
      </c>
      <c r="B26" s="47" t="s">
        <v>20</v>
      </c>
      <c r="C26" s="291"/>
      <c r="D26" s="347">
        <f>C26*Assumptions!$C$78</f>
        <v>0</v>
      </c>
      <c r="E26" s="419">
        <f>Assumptions!$H$20</f>
        <v>1.337591</v>
      </c>
      <c r="F26" s="299">
        <f>Assumptions!$C$115</f>
        <v>3.7854100000000002</v>
      </c>
      <c r="G26" s="421"/>
      <c r="H26" s="303"/>
      <c r="I26" s="670"/>
      <c r="J26" s="308">
        <f t="shared" si="0"/>
        <v>0</v>
      </c>
      <c r="K26" s="374"/>
      <c r="L26" s="376"/>
      <c r="M26" s="376"/>
      <c r="N26" s="376"/>
      <c r="O26" s="675"/>
      <c r="P26" s="269"/>
      <c r="Q26" s="59">
        <v>46066</v>
      </c>
      <c r="R26" s="368">
        <f t="shared" si="1"/>
        <v>0</v>
      </c>
      <c r="S26" s="340">
        <f>-'OECD crude subsidies'!C144</f>
        <v>-119630054</v>
      </c>
      <c r="T26" s="344">
        <f t="shared" si="2"/>
        <v>-160016083.55991399</v>
      </c>
      <c r="U26" s="163">
        <f t="shared" si="3"/>
        <v>-160016083.55991399</v>
      </c>
    </row>
    <row r="27" spans="1:21" ht="15.9" thickTop="1" x14ac:dyDescent="0.6">
      <c r="A27" s="48" t="s">
        <v>36</v>
      </c>
      <c r="B27" s="44"/>
      <c r="C27" s="290"/>
      <c r="D27" s="345"/>
      <c r="E27" s="399"/>
      <c r="F27" s="297"/>
      <c r="G27" s="383"/>
      <c r="H27" s="301"/>
      <c r="I27" s="667"/>
      <c r="J27" s="306">
        <f t="shared" si="0"/>
        <v>0</v>
      </c>
      <c r="K27" s="361"/>
      <c r="L27" s="322"/>
      <c r="M27" s="322"/>
      <c r="N27" s="322"/>
      <c r="O27" s="544"/>
      <c r="P27" s="310"/>
      <c r="Q27" s="43"/>
      <c r="R27" s="366"/>
      <c r="S27" s="336"/>
      <c r="T27" s="342"/>
      <c r="U27" s="111"/>
    </row>
    <row r="28" spans="1:21" x14ac:dyDescent="0.6">
      <c r="A28" s="61">
        <f>A26+1</f>
        <v>23</v>
      </c>
      <c r="B28" s="44" t="s">
        <v>38</v>
      </c>
      <c r="C28" s="290"/>
      <c r="D28" s="345">
        <f>C28*Assumptions!$C$78</f>
        <v>0</v>
      </c>
      <c r="E28" s="399">
        <f>Assumptions!$H$4</f>
        <v>0.78824099999999997</v>
      </c>
      <c r="F28" s="297">
        <f>Assumptions!$C$115</f>
        <v>3.7854100000000002</v>
      </c>
      <c r="G28" s="441"/>
      <c r="H28" s="301"/>
      <c r="I28" s="667"/>
      <c r="J28" s="306">
        <f t="shared" ref="J28:J34" si="5">I28*H28*G28</f>
        <v>0</v>
      </c>
      <c r="K28" s="361"/>
      <c r="L28" s="322"/>
      <c r="M28" s="322"/>
      <c r="N28" s="322"/>
      <c r="O28" s="544"/>
      <c r="P28" s="310"/>
      <c r="Q28" s="43">
        <v>76230</v>
      </c>
      <c r="R28" s="366">
        <f t="shared" ref="R28:R34" si="6">D28*P28</f>
        <v>0</v>
      </c>
      <c r="S28" s="336">
        <f>-'OECD crude subsidies'!C175</f>
        <v>-463348533</v>
      </c>
      <c r="T28" s="342">
        <f t="shared" ref="T28:T34" si="7">S28*E28</f>
        <v>-365230311.000453</v>
      </c>
      <c r="U28" s="111">
        <f t="shared" ref="U28:U34" si="8">R28+T28</f>
        <v>-365230311.000453</v>
      </c>
    </row>
    <row r="29" spans="1:21" x14ac:dyDescent="0.6">
      <c r="A29" s="61">
        <f t="shared" ref="A29:A34" si="9">A28+1</f>
        <v>24</v>
      </c>
      <c r="B29" s="44" t="s">
        <v>39</v>
      </c>
      <c r="C29" s="290"/>
      <c r="D29" s="345">
        <f>C29*Assumptions!$C$78</f>
        <v>0</v>
      </c>
      <c r="E29" s="399">
        <f>Assumptions!$H$5</f>
        <v>0.12035</v>
      </c>
      <c r="F29" s="297">
        <f>Assumptions!$C$115</f>
        <v>3.7854100000000002</v>
      </c>
      <c r="G29" s="442"/>
      <c r="H29" s="301"/>
      <c r="I29" s="667"/>
      <c r="J29" s="306">
        <f t="shared" si="5"/>
        <v>0</v>
      </c>
      <c r="K29" s="361"/>
      <c r="L29" s="322"/>
      <c r="M29" s="322"/>
      <c r="N29" s="322"/>
      <c r="O29" s="544"/>
      <c r="P29" s="310"/>
      <c r="Q29" s="43">
        <v>6493</v>
      </c>
      <c r="R29" s="366">
        <f t="shared" si="6"/>
        <v>0</v>
      </c>
      <c r="S29" s="336">
        <f>-'OECD crude subsidies'!C214</f>
        <v>-370037504</v>
      </c>
      <c r="T29" s="342">
        <f t="shared" si="7"/>
        <v>-44534013.606399998</v>
      </c>
      <c r="U29" s="111">
        <f t="shared" si="8"/>
        <v>-44534013.606399998</v>
      </c>
    </row>
    <row r="30" spans="1:21" x14ac:dyDescent="0.6">
      <c r="A30" s="61">
        <f t="shared" si="9"/>
        <v>25</v>
      </c>
      <c r="B30" s="44" t="s">
        <v>40</v>
      </c>
      <c r="C30" s="290"/>
      <c r="D30" s="345">
        <f>C30*Assumptions!$C$78</f>
        <v>0</v>
      </c>
      <c r="E30" s="399">
        <f>Assumptions!$H$6</f>
        <v>1.010632</v>
      </c>
      <c r="F30" s="297">
        <f>Assumptions!$C$115</f>
        <v>3.7854100000000002</v>
      </c>
      <c r="G30" s="443"/>
      <c r="H30" s="301"/>
      <c r="I30" s="667"/>
      <c r="J30" s="306">
        <f t="shared" si="5"/>
        <v>0</v>
      </c>
      <c r="K30" s="361"/>
      <c r="L30" s="322"/>
      <c r="M30" s="322"/>
      <c r="N30" s="322"/>
      <c r="O30" s="544"/>
      <c r="P30" s="310"/>
      <c r="Q30" s="43">
        <v>9477</v>
      </c>
      <c r="R30" s="366">
        <f t="shared" si="6"/>
        <v>0</v>
      </c>
      <c r="S30" s="336">
        <f>-'OECD crude subsidies'!C219</f>
        <v>-6013911</v>
      </c>
      <c r="T30" s="342">
        <f t="shared" si="7"/>
        <v>-6077850.9017519997</v>
      </c>
      <c r="U30" s="111">
        <f t="shared" si="8"/>
        <v>-6077850.9017519997</v>
      </c>
    </row>
    <row r="31" spans="1:21" x14ac:dyDescent="0.6">
      <c r="A31" s="61">
        <f t="shared" si="9"/>
        <v>26</v>
      </c>
      <c r="B31" s="44" t="s">
        <v>31</v>
      </c>
      <c r="C31" s="290"/>
      <c r="D31" s="345">
        <f>C31*Assumptions!$C$78</f>
        <v>0</v>
      </c>
      <c r="E31" s="399">
        <f>Assumptions!$H$7</f>
        <v>8.829E-3</v>
      </c>
      <c r="F31" s="297">
        <f>Assumptions!$C$115</f>
        <v>3.7854100000000002</v>
      </c>
      <c r="G31" s="444"/>
      <c r="H31" s="301"/>
      <c r="I31" s="667"/>
      <c r="J31" s="306">
        <f t="shared" si="5"/>
        <v>0</v>
      </c>
      <c r="K31" s="361"/>
      <c r="L31" s="322"/>
      <c r="M31" s="322"/>
      <c r="N31" s="322"/>
      <c r="O31" s="544"/>
      <c r="P31" s="310"/>
      <c r="Q31" s="43">
        <v>147632</v>
      </c>
      <c r="R31" s="366">
        <f t="shared" si="6"/>
        <v>0</v>
      </c>
      <c r="S31" s="336">
        <f>-'OECD crude subsidies'!C222</f>
        <v>-149714744193</v>
      </c>
      <c r="T31" s="342">
        <f t="shared" si="7"/>
        <v>-1321831476.4799969</v>
      </c>
      <c r="U31" s="111">
        <f t="shared" si="8"/>
        <v>-1321831476.4799969</v>
      </c>
    </row>
    <row r="32" spans="1:21" x14ac:dyDescent="0.6">
      <c r="A32" s="61">
        <f t="shared" si="9"/>
        <v>27</v>
      </c>
      <c r="B32" s="44" t="s">
        <v>47</v>
      </c>
      <c r="C32" s="290"/>
      <c r="D32" s="345">
        <f>C32*Assumptions!$C$78</f>
        <v>0</v>
      </c>
      <c r="E32" s="399">
        <f>Assumptions!$H$8</f>
        <v>9.3000000000000005E-4</v>
      </c>
      <c r="F32" s="297">
        <f>Assumptions!$C$115</f>
        <v>3.7854100000000002</v>
      </c>
      <c r="G32" s="446"/>
      <c r="H32" s="301"/>
      <c r="I32" s="667"/>
      <c r="J32" s="306">
        <f t="shared" si="5"/>
        <v>0</v>
      </c>
      <c r="K32" s="361"/>
      <c r="L32" s="322"/>
      <c r="M32" s="322"/>
      <c r="N32" s="322"/>
      <c r="O32" s="544"/>
      <c r="P32" s="310"/>
      <c r="Q32" s="43">
        <v>78215</v>
      </c>
      <c r="R32" s="366">
        <f t="shared" si="6"/>
        <v>0</v>
      </c>
      <c r="S32" s="336">
        <f>-'OECD crude subsidies'!C266</f>
        <v>-2614114313</v>
      </c>
      <c r="T32" s="342">
        <f t="shared" si="7"/>
        <v>-2431126.31109</v>
      </c>
      <c r="U32" s="111">
        <f t="shared" si="8"/>
        <v>-2431126.31109</v>
      </c>
    </row>
    <row r="33" spans="1:21" x14ac:dyDescent="0.6">
      <c r="A33" s="61">
        <f t="shared" si="9"/>
        <v>28</v>
      </c>
      <c r="B33" s="44" t="s">
        <v>32</v>
      </c>
      <c r="C33" s="290"/>
      <c r="D33" s="345">
        <f>C33*Assumptions!$C$78</f>
        <v>0</v>
      </c>
      <c r="E33" s="399">
        <f>Assumptions!$H$9</f>
        <v>0.77382200000000001</v>
      </c>
      <c r="F33" s="297">
        <f>Assumptions!$C$115</f>
        <v>3.7854100000000002</v>
      </c>
      <c r="G33" s="389"/>
      <c r="H33" s="301"/>
      <c r="I33" s="667"/>
      <c r="J33" s="306">
        <f t="shared" si="5"/>
        <v>0</v>
      </c>
      <c r="K33" s="361"/>
      <c r="L33" s="322"/>
      <c r="M33" s="322"/>
      <c r="N33" s="322"/>
      <c r="O33" s="544"/>
      <c r="P33" s="310"/>
      <c r="Q33" s="43">
        <v>35921</v>
      </c>
      <c r="R33" s="366">
        <f t="shared" si="6"/>
        <v>0</v>
      </c>
      <c r="S33" s="336">
        <f>-'OECD crude subsidies'!C268</f>
        <v>-1360981</v>
      </c>
      <c r="T33" s="342">
        <f t="shared" si="7"/>
        <v>-1053157.039382</v>
      </c>
      <c r="U33" s="111">
        <f t="shared" si="8"/>
        <v>-1053157.039382</v>
      </c>
    </row>
    <row r="34" spans="1:21" ht="15.9" thickBot="1" x14ac:dyDescent="0.65">
      <c r="A34" s="62">
        <f t="shared" si="9"/>
        <v>29</v>
      </c>
      <c r="B34" s="47" t="s">
        <v>33</v>
      </c>
      <c r="C34" s="291"/>
      <c r="D34" s="347">
        <f>C34*Assumptions!$C$78</f>
        <v>0</v>
      </c>
      <c r="E34" s="417">
        <f>Assumptions!$H$10</f>
        <v>0.70460400000000001</v>
      </c>
      <c r="F34" s="299">
        <f>Assumptions!$C$115</f>
        <v>3.7854100000000002</v>
      </c>
      <c r="G34" s="445"/>
      <c r="H34" s="303"/>
      <c r="I34" s="671"/>
      <c r="J34" s="309">
        <f t="shared" si="5"/>
        <v>0</v>
      </c>
      <c r="K34" s="364"/>
      <c r="L34" s="359"/>
      <c r="M34" s="359"/>
      <c r="N34" s="359"/>
      <c r="O34" s="675"/>
      <c r="P34" s="312"/>
      <c r="Q34" s="59">
        <v>5475</v>
      </c>
      <c r="R34" s="368">
        <f t="shared" si="6"/>
        <v>0</v>
      </c>
      <c r="S34" s="340">
        <f>-'OECD crude subsidies'!C285</f>
        <v>-19760000</v>
      </c>
      <c r="T34" s="344">
        <f t="shared" si="7"/>
        <v>-13922975.040000001</v>
      </c>
      <c r="U34" s="163">
        <f t="shared" si="8"/>
        <v>-13922975.040000001</v>
      </c>
    </row>
    <row r="35" spans="1:21" ht="15.9" thickTop="1" x14ac:dyDescent="0.6">
      <c r="A35" s="49" t="s">
        <v>78</v>
      </c>
      <c r="B35" s="50"/>
      <c r="C35" s="290"/>
      <c r="D35" s="345"/>
      <c r="E35" s="391"/>
      <c r="F35" s="297"/>
      <c r="G35" s="295"/>
      <c r="H35" s="304"/>
      <c r="I35" s="667"/>
      <c r="J35" s="306"/>
      <c r="K35" s="361"/>
      <c r="L35" s="322"/>
      <c r="M35" s="322"/>
      <c r="N35" s="322"/>
      <c r="O35" s="676"/>
      <c r="P35" s="310"/>
      <c r="Q35" s="43"/>
      <c r="R35" s="366"/>
      <c r="S35" s="336"/>
      <c r="T35" s="342"/>
      <c r="U35" s="111"/>
    </row>
    <row r="36" spans="1:21" x14ac:dyDescent="0.6">
      <c r="A36" s="73">
        <f>A34+1</f>
        <v>30</v>
      </c>
      <c r="B36" s="50" t="s">
        <v>46</v>
      </c>
      <c r="C36" s="290"/>
      <c r="D36" s="348">
        <f>C36*Assumptions!$C$78</f>
        <v>0</v>
      </c>
      <c r="E36" s="399">
        <f>Assumptions!$H$11</f>
        <v>0.152529</v>
      </c>
      <c r="F36" s="297">
        <f>Assumptions!$C$115</f>
        <v>3.7854100000000002</v>
      </c>
      <c r="G36" s="295"/>
      <c r="H36" s="304"/>
      <c r="I36" s="667"/>
      <c r="J36" s="306">
        <f>I36*G36*H36</f>
        <v>0</v>
      </c>
      <c r="K36" s="361"/>
      <c r="L36" s="322"/>
      <c r="M36" s="322"/>
      <c r="N36" s="322"/>
      <c r="O36" s="676"/>
      <c r="P36" s="310"/>
      <c r="Q36" s="43">
        <v>364200</v>
      </c>
      <c r="R36" s="366">
        <f>D36*P36</f>
        <v>0</v>
      </c>
      <c r="S36" s="336">
        <f>-'OECD crude subsidies'!C299</f>
        <v>-1787127846</v>
      </c>
      <c r="T36" s="342">
        <f>S36*E36</f>
        <v>-272588823.222534</v>
      </c>
      <c r="U36" s="111">
        <f>R36+T36</f>
        <v>-272588823.222534</v>
      </c>
    </row>
    <row r="37" spans="1:21" x14ac:dyDescent="0.6">
      <c r="A37" s="46">
        <f>A36+1</f>
        <v>31</v>
      </c>
      <c r="B37" s="50" t="s">
        <v>49</v>
      </c>
      <c r="C37" s="290"/>
      <c r="D37" s="348">
        <f>C37*Assumptions!$C$78</f>
        <v>0</v>
      </c>
      <c r="E37" s="399">
        <f>Assumptions!$H$12</f>
        <v>1.5587E-2</v>
      </c>
      <c r="F37" s="297">
        <f>Assumptions!$C$115</f>
        <v>3.7854100000000002</v>
      </c>
      <c r="G37" s="295"/>
      <c r="H37" s="304"/>
      <c r="I37" s="667"/>
      <c r="J37" s="306">
        <f>I37*G37*H37</f>
        <v>0</v>
      </c>
      <c r="K37" s="361"/>
      <c r="L37" s="322"/>
      <c r="M37" s="322"/>
      <c r="N37" s="322"/>
      <c r="O37" s="676"/>
      <c r="P37" s="310"/>
      <c r="Q37" s="43">
        <v>121190</v>
      </c>
      <c r="R37" s="366">
        <f>D37*P37</f>
        <v>0</v>
      </c>
      <c r="S37" s="336">
        <f>-'OECD crude subsidies'!C305</f>
        <v>-15529358869</v>
      </c>
      <c r="T37" s="342">
        <f>S37*E37</f>
        <v>-242056116.69110301</v>
      </c>
      <c r="U37" s="111">
        <f>R37+T37</f>
        <v>-242056116.69110301</v>
      </c>
    </row>
    <row r="38" spans="1:21" x14ac:dyDescent="0.6">
      <c r="A38" s="46">
        <f>A37+1</f>
        <v>32</v>
      </c>
      <c r="B38" s="44" t="s">
        <v>50</v>
      </c>
      <c r="C38" s="290"/>
      <c r="D38" s="348">
        <f>C38*Assumptions!$C$78</f>
        <v>0</v>
      </c>
      <c r="E38" s="399">
        <f>Assumptions!$H$13</f>
        <v>0.30204900000000001</v>
      </c>
      <c r="F38" s="297">
        <f>Assumptions!$C$115</f>
        <v>3.7854100000000002</v>
      </c>
      <c r="G38" s="293"/>
      <c r="H38" s="301"/>
      <c r="I38" s="667"/>
      <c r="J38" s="306">
        <f>I38*G38*H38</f>
        <v>0</v>
      </c>
      <c r="K38" s="361"/>
      <c r="L38" s="322"/>
      <c r="M38" s="322"/>
      <c r="N38" s="322"/>
      <c r="O38" s="544"/>
      <c r="P38" s="310"/>
      <c r="Q38" s="43">
        <v>89052</v>
      </c>
      <c r="R38" s="366">
        <f>D38*P38</f>
        <v>0</v>
      </c>
      <c r="S38" s="336">
        <f>-'OECD crude subsidies'!C310</f>
        <v>-9642289583</v>
      </c>
      <c r="T38" s="342">
        <f>S38*E38</f>
        <v>-2912443926.2555671</v>
      </c>
      <c r="U38" s="111">
        <f>R38+T38</f>
        <v>-2912443926.2555671</v>
      </c>
    </row>
    <row r="39" spans="1:21" ht="15.9" thickBot="1" x14ac:dyDescent="0.65">
      <c r="A39" s="15">
        <f>A38+1</f>
        <v>33</v>
      </c>
      <c r="B39" s="47" t="s">
        <v>51</v>
      </c>
      <c r="C39" s="291"/>
      <c r="D39" s="349">
        <f>C39*Assumptions!$C$78</f>
        <v>0</v>
      </c>
      <c r="E39" s="417">
        <f>Assumptions!$H$14</f>
        <v>1.7344999999999999E-2</v>
      </c>
      <c r="F39" s="299">
        <f>Assumptions!$C$115</f>
        <v>3.7854100000000002</v>
      </c>
      <c r="G39" s="296"/>
      <c r="H39" s="303"/>
      <c r="I39" s="671"/>
      <c r="J39" s="309">
        <f>I39*G39*H39</f>
        <v>0</v>
      </c>
      <c r="K39" s="364"/>
      <c r="L39" s="359"/>
      <c r="M39" s="359"/>
      <c r="N39" s="359"/>
      <c r="O39" s="675"/>
      <c r="P39" s="312"/>
      <c r="Q39" s="59">
        <v>101266</v>
      </c>
      <c r="R39" s="368">
        <f>D39*P39</f>
        <v>0</v>
      </c>
      <c r="S39" s="340">
        <f>-'OECD crude subsidies'!C317</f>
        <v>-232874018800</v>
      </c>
      <c r="T39" s="344">
        <f>S39*E39</f>
        <v>-4039199856.086</v>
      </c>
      <c r="U39" s="163">
        <f>R39+T39</f>
        <v>-4039199856.086</v>
      </c>
    </row>
    <row r="40" spans="1:21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667"/>
      <c r="J40" s="394"/>
      <c r="K40" s="361"/>
      <c r="L40" s="322"/>
      <c r="M40" s="322"/>
      <c r="N40" s="322"/>
      <c r="O40" s="544"/>
      <c r="P40" s="310"/>
      <c r="Q40" s="43"/>
      <c r="R40" s="366"/>
      <c r="S40" s="680"/>
      <c r="T40" s="681"/>
      <c r="U40" s="111"/>
    </row>
    <row r="41" spans="1:21" x14ac:dyDescent="0.6">
      <c r="A41" s="46">
        <f>A39+1</f>
        <v>34</v>
      </c>
      <c r="B41" s="44" t="s">
        <v>48</v>
      </c>
      <c r="C41" s="290"/>
      <c r="D41" s="348">
        <f>C41*Assumptions!$C$78</f>
        <v>0</v>
      </c>
      <c r="E41" s="399"/>
      <c r="F41" s="390"/>
      <c r="G41" s="293"/>
      <c r="H41" s="301"/>
      <c r="I41" s="667"/>
      <c r="J41" s="394">
        <f>I41*G41*H41</f>
        <v>0</v>
      </c>
      <c r="K41" s="361"/>
      <c r="L41" s="322"/>
      <c r="M41" s="322"/>
      <c r="N41" s="322"/>
      <c r="O41" s="544"/>
      <c r="P41" s="310"/>
      <c r="Q41" s="43">
        <v>61980</v>
      </c>
      <c r="R41" s="366">
        <f t="shared" ref="R41:R65" si="10">D41*P41</f>
        <v>0</v>
      </c>
      <c r="S41" s="680"/>
      <c r="T41" s="681"/>
      <c r="U41" s="164">
        <v>-22400000</v>
      </c>
    </row>
    <row r="42" spans="1:21" x14ac:dyDescent="0.6">
      <c r="A42" s="46">
        <f>A41+1</f>
        <v>35</v>
      </c>
      <c r="B42" s="44" t="s">
        <v>53</v>
      </c>
      <c r="C42" s="290"/>
      <c r="D42" s="348">
        <f>C42*Assumptions!$C$78</f>
        <v>0</v>
      </c>
      <c r="E42" s="391"/>
      <c r="F42" s="390"/>
      <c r="G42" s="293"/>
      <c r="H42" s="301"/>
      <c r="I42" s="667"/>
      <c r="J42" s="394"/>
      <c r="K42" s="361"/>
      <c r="L42" s="322"/>
      <c r="M42" s="322"/>
      <c r="N42" s="322"/>
      <c r="O42" s="544"/>
      <c r="P42" s="310"/>
      <c r="Q42" s="43">
        <v>14641</v>
      </c>
      <c r="R42" s="366">
        <f t="shared" si="10"/>
        <v>0</v>
      </c>
      <c r="S42" s="680"/>
      <c r="T42" s="681"/>
      <c r="U42" s="164">
        <v>-8610500000</v>
      </c>
    </row>
    <row r="43" spans="1:21" x14ac:dyDescent="0.6">
      <c r="A43" s="46">
        <f t="shared" ref="A43:A65" si="11">A42+1</f>
        <v>36</v>
      </c>
      <c r="B43" s="44" t="s">
        <v>54</v>
      </c>
      <c r="C43" s="290"/>
      <c r="D43" s="348">
        <f>C43*Assumptions!$C$78</f>
        <v>0</v>
      </c>
      <c r="E43" s="391"/>
      <c r="F43" s="390"/>
      <c r="G43" s="293"/>
      <c r="H43" s="301"/>
      <c r="I43" s="667"/>
      <c r="J43" s="394"/>
      <c r="K43" s="678"/>
      <c r="L43" s="323"/>
      <c r="M43" s="323"/>
      <c r="N43" s="323"/>
      <c r="O43" s="544"/>
      <c r="P43" s="673"/>
      <c r="Q43" s="43">
        <v>4785</v>
      </c>
      <c r="R43" s="366">
        <f t="shared" si="10"/>
        <v>0</v>
      </c>
      <c r="S43" s="680"/>
      <c r="T43" s="681"/>
      <c r="U43" s="111">
        <v>-156900000</v>
      </c>
    </row>
    <row r="44" spans="1:21" x14ac:dyDescent="0.6">
      <c r="A44" s="46">
        <f t="shared" si="11"/>
        <v>37</v>
      </c>
      <c r="B44" s="44" t="s">
        <v>55</v>
      </c>
      <c r="C44" s="290"/>
      <c r="D44" s="348">
        <f>C44*Assumptions!$C$78</f>
        <v>0</v>
      </c>
      <c r="E44" s="391"/>
      <c r="F44" s="390"/>
      <c r="G44" s="293"/>
      <c r="H44" s="301"/>
      <c r="I44" s="667"/>
      <c r="J44" s="400"/>
      <c r="K44" s="678"/>
      <c r="L44" s="323"/>
      <c r="M44" s="323"/>
      <c r="N44" s="323"/>
      <c r="O44" s="544"/>
      <c r="P44" s="673"/>
      <c r="Q44" s="43">
        <v>3099</v>
      </c>
      <c r="R44" s="366">
        <f t="shared" si="10"/>
        <v>0</v>
      </c>
      <c r="S44" s="680"/>
      <c r="T44" s="681"/>
      <c r="U44" s="111">
        <v>-14000000</v>
      </c>
    </row>
    <row r="45" spans="1:21" x14ac:dyDescent="0.6">
      <c r="A45" s="46">
        <f t="shared" si="11"/>
        <v>38</v>
      </c>
      <c r="B45" s="44" t="s">
        <v>56</v>
      </c>
      <c r="C45" s="290"/>
      <c r="D45" s="348">
        <f>C45*Assumptions!$C$78</f>
        <v>0</v>
      </c>
      <c r="E45" s="391"/>
      <c r="F45" s="390"/>
      <c r="G45" s="293"/>
      <c r="H45" s="301"/>
      <c r="I45" s="667"/>
      <c r="J45" s="400"/>
      <c r="K45" s="678"/>
      <c r="L45" s="323"/>
      <c r="M45" s="323"/>
      <c r="N45" s="323"/>
      <c r="O45" s="544"/>
      <c r="P45" s="673"/>
      <c r="Q45" s="43">
        <v>1134</v>
      </c>
      <c r="R45" s="366">
        <f t="shared" si="10"/>
        <v>0</v>
      </c>
      <c r="S45" s="680"/>
      <c r="T45" s="681"/>
      <c r="U45" s="111">
        <v>-308000000</v>
      </c>
    </row>
    <row r="46" spans="1:21" x14ac:dyDescent="0.6">
      <c r="A46" s="46">
        <f t="shared" si="11"/>
        <v>39</v>
      </c>
      <c r="B46" s="44" t="s">
        <v>57</v>
      </c>
      <c r="C46" s="290"/>
      <c r="D46" s="348">
        <f>C46*Assumptions!$C$78</f>
        <v>0</v>
      </c>
      <c r="E46" s="391"/>
      <c r="F46" s="390"/>
      <c r="G46" s="293"/>
      <c r="H46" s="301"/>
      <c r="I46" s="667"/>
      <c r="J46" s="400"/>
      <c r="K46" s="373"/>
      <c r="L46" s="325"/>
      <c r="M46" s="325"/>
      <c r="N46" s="325"/>
      <c r="O46" s="544"/>
      <c r="P46" s="268"/>
      <c r="Q46" s="43">
        <v>572</v>
      </c>
      <c r="R46" s="366">
        <f t="shared" si="10"/>
        <v>0</v>
      </c>
      <c r="S46" s="680"/>
      <c r="T46" s="681"/>
      <c r="U46" s="111">
        <v>-141300000</v>
      </c>
    </row>
    <row r="47" spans="1:21" x14ac:dyDescent="0.6">
      <c r="A47" s="46">
        <f t="shared" si="11"/>
        <v>40</v>
      </c>
      <c r="B47" s="44" t="s">
        <v>58</v>
      </c>
      <c r="C47" s="290"/>
      <c r="D47" s="348">
        <f>C47*Assumptions!$C$78</f>
        <v>0</v>
      </c>
      <c r="E47" s="391"/>
      <c r="F47" s="390"/>
      <c r="G47" s="293"/>
      <c r="H47" s="301"/>
      <c r="I47" s="667"/>
      <c r="J47" s="392"/>
      <c r="K47" s="373"/>
      <c r="L47" s="325"/>
      <c r="M47" s="325"/>
      <c r="N47" s="325"/>
      <c r="O47" s="544"/>
      <c r="P47" s="268"/>
      <c r="Q47" s="43">
        <v>8403</v>
      </c>
      <c r="R47" s="366">
        <f t="shared" si="10"/>
        <v>0</v>
      </c>
      <c r="S47" s="680"/>
      <c r="T47" s="681"/>
      <c r="U47" s="111">
        <v>-2285400000</v>
      </c>
    </row>
    <row r="48" spans="1:21" x14ac:dyDescent="0.6">
      <c r="A48" s="46">
        <f t="shared" si="11"/>
        <v>41</v>
      </c>
      <c r="B48" s="44" t="s">
        <v>59</v>
      </c>
      <c r="C48" s="290"/>
      <c r="D48" s="348">
        <f>C48*Assumptions!$C$78</f>
        <v>0</v>
      </c>
      <c r="E48" s="391"/>
      <c r="F48" s="390"/>
      <c r="G48" s="293"/>
      <c r="H48" s="301"/>
      <c r="I48" s="667"/>
      <c r="J48" s="392"/>
      <c r="K48" s="373"/>
      <c r="L48" s="325"/>
      <c r="M48" s="325"/>
      <c r="N48" s="325"/>
      <c r="O48" s="544"/>
      <c r="P48" s="268"/>
      <c r="Q48" s="43">
        <v>24835</v>
      </c>
      <c r="R48" s="366">
        <f t="shared" si="10"/>
        <v>0</v>
      </c>
      <c r="S48" s="680"/>
      <c r="T48" s="681"/>
      <c r="U48" s="111">
        <v>-9669900000</v>
      </c>
    </row>
    <row r="49" spans="1:21" x14ac:dyDescent="0.6">
      <c r="A49" s="46">
        <f t="shared" si="11"/>
        <v>42</v>
      </c>
      <c r="B49" s="44" t="s">
        <v>60</v>
      </c>
      <c r="C49" s="290"/>
      <c r="D49" s="348">
        <f>C49*Assumptions!$C$78</f>
        <v>0</v>
      </c>
      <c r="E49" s="391"/>
      <c r="F49" s="390"/>
      <c r="G49" s="293"/>
      <c r="H49" s="301"/>
      <c r="I49" s="667"/>
      <c r="J49" s="392"/>
      <c r="K49" s="678"/>
      <c r="L49" s="323"/>
      <c r="M49" s="323"/>
      <c r="N49" s="323"/>
      <c r="O49" s="544"/>
      <c r="P49" s="673"/>
      <c r="Q49" s="43">
        <v>544</v>
      </c>
      <c r="R49" s="366">
        <f t="shared" si="10"/>
        <v>0</v>
      </c>
      <c r="S49" s="680"/>
      <c r="T49" s="681"/>
      <c r="U49" s="111">
        <v>-133800000</v>
      </c>
    </row>
    <row r="50" spans="1:21" x14ac:dyDescent="0.6">
      <c r="A50" s="46">
        <f t="shared" si="11"/>
        <v>43</v>
      </c>
      <c r="B50" s="44" t="s">
        <v>61</v>
      </c>
      <c r="C50" s="290"/>
      <c r="D50" s="348">
        <f>C50*Assumptions!$C$78</f>
        <v>0</v>
      </c>
      <c r="E50" s="398"/>
      <c r="F50" s="390"/>
      <c r="G50" s="293"/>
      <c r="H50" s="301"/>
      <c r="I50" s="667"/>
      <c r="J50" s="400"/>
      <c r="K50" s="373"/>
      <c r="L50" s="325"/>
      <c r="M50" s="325"/>
      <c r="N50" s="325"/>
      <c r="O50" s="544"/>
      <c r="P50" s="268"/>
      <c r="Q50" s="43">
        <v>64107</v>
      </c>
      <c r="R50" s="366">
        <f t="shared" si="10"/>
        <v>0</v>
      </c>
      <c r="S50" s="680"/>
      <c r="T50" s="681"/>
      <c r="U50" s="111">
        <v>-7111100000</v>
      </c>
    </row>
    <row r="51" spans="1:21" x14ac:dyDescent="0.6">
      <c r="A51" s="46">
        <f t="shared" si="11"/>
        <v>44</v>
      </c>
      <c r="B51" s="44" t="s">
        <v>62</v>
      </c>
      <c r="C51" s="290"/>
      <c r="D51" s="348">
        <f>C51*Assumptions!$C$78</f>
        <v>0</v>
      </c>
      <c r="E51" s="391"/>
      <c r="F51" s="390"/>
      <c r="G51" s="293"/>
      <c r="H51" s="301"/>
      <c r="I51" s="667"/>
      <c r="J51" s="392"/>
      <c r="K51" s="373"/>
      <c r="L51" s="325"/>
      <c r="M51" s="325"/>
      <c r="N51" s="325"/>
      <c r="O51" s="544"/>
      <c r="P51" s="268"/>
      <c r="Q51" s="43">
        <v>18050</v>
      </c>
      <c r="R51" s="366">
        <f t="shared" si="10"/>
        <v>0</v>
      </c>
      <c r="S51" s="680"/>
      <c r="T51" s="681"/>
      <c r="U51" s="111">
        <v>-3053800000</v>
      </c>
    </row>
    <row r="52" spans="1:21" x14ac:dyDescent="0.6">
      <c r="A52" s="46">
        <f t="shared" si="11"/>
        <v>45</v>
      </c>
      <c r="B52" s="44" t="s">
        <v>63</v>
      </c>
      <c r="C52" s="290"/>
      <c r="D52" s="348">
        <f>C52*Assumptions!$C$78</f>
        <v>0</v>
      </c>
      <c r="E52" s="391"/>
      <c r="F52" s="390"/>
      <c r="G52" s="293"/>
      <c r="H52" s="301"/>
      <c r="I52" s="667"/>
      <c r="J52" s="392"/>
      <c r="K52" s="373"/>
      <c r="L52" s="325"/>
      <c r="M52" s="325"/>
      <c r="N52" s="325"/>
      <c r="O52" s="544"/>
      <c r="P52" s="268"/>
      <c r="Q52" s="43">
        <v>53331</v>
      </c>
      <c r="R52" s="366">
        <f t="shared" si="10"/>
        <v>0</v>
      </c>
      <c r="S52" s="680"/>
      <c r="T52" s="681"/>
      <c r="U52" s="111">
        <v>-17151500000</v>
      </c>
    </row>
    <row r="53" spans="1:21" x14ac:dyDescent="0.6">
      <c r="A53" s="46">
        <f t="shared" si="11"/>
        <v>46</v>
      </c>
      <c r="B53" s="44" t="s">
        <v>64</v>
      </c>
      <c r="C53" s="290"/>
      <c r="D53" s="348">
        <f>C53*Assumptions!$C$78</f>
        <v>0</v>
      </c>
      <c r="E53" s="391"/>
      <c r="F53" s="390"/>
      <c r="G53" s="293"/>
      <c r="H53" s="301"/>
      <c r="I53" s="667"/>
      <c r="J53" s="392"/>
      <c r="K53" s="373"/>
      <c r="L53" s="325"/>
      <c r="M53" s="325"/>
      <c r="N53" s="325"/>
      <c r="O53" s="544"/>
      <c r="P53" s="268"/>
      <c r="Q53" s="43">
        <v>12574</v>
      </c>
      <c r="R53" s="366">
        <f t="shared" si="10"/>
        <v>0</v>
      </c>
      <c r="S53" s="682"/>
      <c r="T53" s="683"/>
      <c r="U53" s="111">
        <v>-510900000</v>
      </c>
    </row>
    <row r="54" spans="1:21" x14ac:dyDescent="0.6">
      <c r="A54" s="46">
        <f t="shared" si="11"/>
        <v>47</v>
      </c>
      <c r="B54" s="44" t="s">
        <v>65</v>
      </c>
      <c r="C54" s="290"/>
      <c r="D54" s="348">
        <f>C54*Assumptions!$C$78</f>
        <v>0</v>
      </c>
      <c r="E54" s="391"/>
      <c r="F54" s="390"/>
      <c r="G54" s="293"/>
      <c r="H54" s="301"/>
      <c r="I54" s="667"/>
      <c r="J54" s="392"/>
      <c r="K54" s="373"/>
      <c r="L54" s="325"/>
      <c r="M54" s="325"/>
      <c r="N54" s="325"/>
      <c r="O54" s="544"/>
      <c r="P54" s="268"/>
      <c r="Q54" s="43">
        <v>5126</v>
      </c>
      <c r="R54" s="366">
        <f t="shared" si="10"/>
        <v>0</v>
      </c>
      <c r="S54" s="682"/>
      <c r="T54" s="683"/>
      <c r="U54" s="111">
        <v>-1401500000</v>
      </c>
    </row>
    <row r="55" spans="1:21" x14ac:dyDescent="0.6">
      <c r="A55" s="46">
        <f t="shared" si="11"/>
        <v>48</v>
      </c>
      <c r="B55" s="44" t="s">
        <v>66</v>
      </c>
      <c r="C55" s="290"/>
      <c r="D55" s="348">
        <f>C55*Assumptions!$C$78</f>
        <v>0</v>
      </c>
      <c r="E55" s="391"/>
      <c r="F55" s="390"/>
      <c r="G55" s="293"/>
      <c r="H55" s="301"/>
      <c r="I55" s="667"/>
      <c r="J55" s="392"/>
      <c r="K55" s="373"/>
      <c r="L55" s="325"/>
      <c r="M55" s="325"/>
      <c r="N55" s="325"/>
      <c r="O55" s="544"/>
      <c r="P55" s="268"/>
      <c r="Q55" s="43">
        <v>8946</v>
      </c>
      <c r="R55" s="366">
        <f t="shared" si="10"/>
        <v>0</v>
      </c>
      <c r="S55" s="682"/>
      <c r="T55" s="683"/>
      <c r="U55" s="111">
        <v>-3347500000</v>
      </c>
    </row>
    <row r="56" spans="1:21" x14ac:dyDescent="0.6">
      <c r="A56" s="46">
        <f t="shared" si="11"/>
        <v>49</v>
      </c>
      <c r="B56" s="44" t="s">
        <v>67</v>
      </c>
      <c r="C56" s="290"/>
      <c r="D56" s="348">
        <f>C56*Assumptions!$C$78</f>
        <v>0</v>
      </c>
      <c r="E56" s="391"/>
      <c r="F56" s="390"/>
      <c r="G56" s="293"/>
      <c r="H56" s="301"/>
      <c r="I56" s="667"/>
      <c r="J56" s="392"/>
      <c r="K56" s="373"/>
      <c r="L56" s="325"/>
      <c r="M56" s="325"/>
      <c r="N56" s="325"/>
      <c r="O56" s="544"/>
      <c r="P56" s="268"/>
      <c r="Q56" s="43">
        <v>24549</v>
      </c>
      <c r="R56" s="366">
        <f t="shared" si="10"/>
        <v>0</v>
      </c>
      <c r="S56" s="682"/>
      <c r="T56" s="683"/>
      <c r="U56" s="111">
        <v>-388200000</v>
      </c>
    </row>
    <row r="57" spans="1:21" x14ac:dyDescent="0.6">
      <c r="A57" s="46">
        <f t="shared" si="11"/>
        <v>50</v>
      </c>
      <c r="B57" s="44" t="s">
        <v>68</v>
      </c>
      <c r="C57" s="290"/>
      <c r="D57" s="348">
        <f>C57*Assumptions!$C$78</f>
        <v>0</v>
      </c>
      <c r="E57" s="391"/>
      <c r="F57" s="390"/>
      <c r="G57" s="293"/>
      <c r="H57" s="301"/>
      <c r="I57" s="667"/>
      <c r="J57" s="392"/>
      <c r="K57" s="373"/>
      <c r="L57" s="325"/>
      <c r="M57" s="325"/>
      <c r="N57" s="325"/>
      <c r="O57" s="544"/>
      <c r="P57" s="268"/>
      <c r="Q57" s="43">
        <v>10679</v>
      </c>
      <c r="R57" s="366">
        <f t="shared" si="10"/>
        <v>0</v>
      </c>
      <c r="S57" s="682"/>
      <c r="T57" s="683"/>
      <c r="U57" s="111">
        <v>-2438800000</v>
      </c>
    </row>
    <row r="58" spans="1:21" x14ac:dyDescent="0.6">
      <c r="A58" s="46">
        <f t="shared" si="11"/>
        <v>51</v>
      </c>
      <c r="B58" s="44" t="s">
        <v>695</v>
      </c>
      <c r="C58" s="290"/>
      <c r="D58" s="348">
        <f>C58*Assumptions!$C$78</f>
        <v>0</v>
      </c>
      <c r="E58" s="391"/>
      <c r="F58" s="390"/>
      <c r="G58" s="293"/>
      <c r="H58" s="301"/>
      <c r="I58" s="667"/>
      <c r="J58" s="392"/>
      <c r="K58" s="373"/>
      <c r="L58" s="325"/>
      <c r="M58" s="325"/>
      <c r="N58" s="325"/>
      <c r="O58" s="544"/>
      <c r="P58" s="268"/>
      <c r="Q58" s="43"/>
      <c r="R58" s="366"/>
      <c r="S58" s="682"/>
      <c r="T58" s="683"/>
      <c r="U58" s="111">
        <v>-82400000</v>
      </c>
    </row>
    <row r="59" spans="1:21" x14ac:dyDescent="0.6">
      <c r="A59" s="46">
        <f t="shared" si="11"/>
        <v>52</v>
      </c>
      <c r="B59" s="44" t="s">
        <v>69</v>
      </c>
      <c r="C59" s="290"/>
      <c r="D59" s="348">
        <f>C59*Assumptions!$C$78</f>
        <v>0</v>
      </c>
      <c r="E59" s="391"/>
      <c r="F59" s="390"/>
      <c r="G59" s="293"/>
      <c r="H59" s="301"/>
      <c r="I59" s="667"/>
      <c r="J59" s="392"/>
      <c r="K59" s="373"/>
      <c r="L59" s="325"/>
      <c r="M59" s="325"/>
      <c r="N59" s="325"/>
      <c r="O59" s="544"/>
      <c r="P59" s="268"/>
      <c r="Q59" s="43">
        <v>4508</v>
      </c>
      <c r="R59" s="366">
        <f t="shared" si="10"/>
        <v>0</v>
      </c>
      <c r="S59" s="682"/>
      <c r="T59" s="683"/>
      <c r="U59" s="111">
        <v>-738100000</v>
      </c>
    </row>
    <row r="60" spans="1:21" x14ac:dyDescent="0.6">
      <c r="A60" s="46">
        <f t="shared" si="11"/>
        <v>53</v>
      </c>
      <c r="B60" s="44" t="s">
        <v>70</v>
      </c>
      <c r="C60" s="290"/>
      <c r="D60" s="348">
        <f>C60*Assumptions!$C$78</f>
        <v>0</v>
      </c>
      <c r="E60" s="391"/>
      <c r="F60" s="390"/>
      <c r="G60" s="293"/>
      <c r="H60" s="301"/>
      <c r="I60" s="667"/>
      <c r="J60" s="392"/>
      <c r="K60" s="373"/>
      <c r="L60" s="325"/>
      <c r="M60" s="325"/>
      <c r="N60" s="325"/>
      <c r="O60" s="544"/>
      <c r="P60" s="268"/>
      <c r="Q60" s="43">
        <v>66173</v>
      </c>
      <c r="R60" s="366">
        <f t="shared" si="10"/>
        <v>0</v>
      </c>
      <c r="S60" s="682"/>
      <c r="T60" s="683"/>
      <c r="U60" s="111">
        <v>-27965300000</v>
      </c>
    </row>
    <row r="61" spans="1:21" x14ac:dyDescent="0.6">
      <c r="A61" s="46">
        <f t="shared" si="11"/>
        <v>54</v>
      </c>
      <c r="B61" s="44" t="s">
        <v>71</v>
      </c>
      <c r="C61" s="290"/>
      <c r="D61" s="348">
        <f>C61*Assumptions!$C$78</f>
        <v>0</v>
      </c>
      <c r="E61" s="391"/>
      <c r="F61" s="390"/>
      <c r="G61" s="293"/>
      <c r="H61" s="301"/>
      <c r="I61" s="667"/>
      <c r="J61" s="392"/>
      <c r="K61" s="373"/>
      <c r="L61" s="325"/>
      <c r="M61" s="325"/>
      <c r="N61" s="325"/>
      <c r="O61" s="544"/>
      <c r="P61" s="268"/>
      <c r="Q61" s="43">
        <v>1275</v>
      </c>
      <c r="R61" s="366">
        <f t="shared" si="10"/>
        <v>0</v>
      </c>
      <c r="S61" s="682"/>
      <c r="T61" s="683"/>
      <c r="U61" s="111">
        <v>-481900000</v>
      </c>
    </row>
    <row r="62" spans="1:21" x14ac:dyDescent="0.6">
      <c r="A62" s="46">
        <f t="shared" si="11"/>
        <v>55</v>
      </c>
      <c r="B62" s="44" t="s">
        <v>72</v>
      </c>
      <c r="C62" s="290"/>
      <c r="D62" s="348">
        <f>C62*Assumptions!$C$78</f>
        <v>0</v>
      </c>
      <c r="E62" s="391"/>
      <c r="F62" s="390"/>
      <c r="G62" s="293"/>
      <c r="H62" s="301"/>
      <c r="I62" s="667"/>
      <c r="J62" s="392"/>
      <c r="K62" s="373"/>
      <c r="L62" s="325"/>
      <c r="M62" s="325"/>
      <c r="N62" s="325"/>
      <c r="O62" s="544"/>
      <c r="P62" s="268"/>
      <c r="Q62" s="43">
        <v>5580</v>
      </c>
      <c r="R62" s="366">
        <f t="shared" si="10"/>
        <v>0</v>
      </c>
      <c r="S62" s="682"/>
      <c r="T62" s="683"/>
      <c r="U62" s="111">
        <v>-2802900000</v>
      </c>
    </row>
    <row r="63" spans="1:21" x14ac:dyDescent="0.6">
      <c r="A63" s="46">
        <f t="shared" si="11"/>
        <v>56</v>
      </c>
      <c r="B63" s="44" t="s">
        <v>73</v>
      </c>
      <c r="C63" s="290"/>
      <c r="D63" s="348">
        <f>C63*Assumptions!$C$78</f>
        <v>0</v>
      </c>
      <c r="E63" s="391"/>
      <c r="F63" s="390"/>
      <c r="G63" s="293"/>
      <c r="H63" s="301"/>
      <c r="I63" s="667"/>
      <c r="J63" s="392"/>
      <c r="K63" s="373"/>
      <c r="L63" s="325"/>
      <c r="M63" s="325"/>
      <c r="N63" s="325"/>
      <c r="O63" s="544"/>
      <c r="P63" s="268"/>
      <c r="Q63" s="43">
        <v>12169</v>
      </c>
      <c r="R63" s="366">
        <f t="shared" si="10"/>
        <v>0</v>
      </c>
      <c r="S63" s="682"/>
      <c r="T63" s="683"/>
      <c r="U63" s="111">
        <v>-891700000</v>
      </c>
    </row>
    <row r="64" spans="1:21" x14ac:dyDescent="0.6">
      <c r="A64" s="46">
        <f t="shared" si="11"/>
        <v>57</v>
      </c>
      <c r="B64" s="44" t="s">
        <v>74</v>
      </c>
      <c r="C64" s="290"/>
      <c r="D64" s="348">
        <f>C64*Assumptions!$C$78</f>
        <v>0</v>
      </c>
      <c r="E64" s="391"/>
      <c r="F64" s="390"/>
      <c r="G64" s="293"/>
      <c r="H64" s="301"/>
      <c r="I64" s="667"/>
      <c r="J64" s="392"/>
      <c r="K64" s="373"/>
      <c r="L64" s="325"/>
      <c r="M64" s="325"/>
      <c r="N64" s="325"/>
      <c r="O64" s="544"/>
      <c r="P64" s="268"/>
      <c r="Q64" s="43">
        <v>2393</v>
      </c>
      <c r="R64" s="366">
        <f t="shared" si="10"/>
        <v>0</v>
      </c>
      <c r="S64" s="682"/>
      <c r="T64" s="683"/>
      <c r="U64" s="111">
        <v>-201700000</v>
      </c>
    </row>
    <row r="65" spans="1:21" x14ac:dyDescent="0.6">
      <c r="A65" s="51">
        <f t="shared" si="11"/>
        <v>58</v>
      </c>
      <c r="B65" s="52" t="s">
        <v>75</v>
      </c>
      <c r="C65" s="292"/>
      <c r="D65" s="350">
        <f>C65*Assumptions!$C$78</f>
        <v>0</v>
      </c>
      <c r="E65" s="405"/>
      <c r="F65" s="404"/>
      <c r="G65" s="677"/>
      <c r="H65" s="305"/>
      <c r="I65" s="672"/>
      <c r="J65" s="406"/>
      <c r="K65" s="679"/>
      <c r="L65" s="326"/>
      <c r="M65" s="326"/>
      <c r="N65" s="326"/>
      <c r="O65" s="546"/>
      <c r="P65" s="270"/>
      <c r="Q65" s="77">
        <v>22776</v>
      </c>
      <c r="R65" s="369">
        <f t="shared" si="10"/>
        <v>0</v>
      </c>
      <c r="S65" s="684"/>
      <c r="T65" s="685"/>
      <c r="U65" s="113">
        <v>-18818200000</v>
      </c>
    </row>
    <row r="66" spans="1:21" x14ac:dyDescent="0.6">
      <c r="E66" s="398"/>
      <c r="F66" s="410"/>
      <c r="J66" s="278"/>
    </row>
    <row r="67" spans="1:21" x14ac:dyDescent="0.6">
      <c r="E67" s="398"/>
      <c r="F67" s="410"/>
      <c r="J67" s="278"/>
    </row>
    <row r="68" spans="1:21" x14ac:dyDescent="0.6">
      <c r="D68" s="28"/>
      <c r="E68" s="398"/>
      <c r="F68" s="410"/>
      <c r="J68" s="278"/>
    </row>
    <row r="69" spans="1:21" x14ac:dyDescent="0.6">
      <c r="E69" s="398"/>
      <c r="F69" s="83"/>
      <c r="J69" s="83"/>
    </row>
    <row r="70" spans="1:21" x14ac:dyDescent="0.6">
      <c r="E70" s="398"/>
      <c r="F70" s="410"/>
      <c r="J70" s="278"/>
    </row>
    <row r="71" spans="1:21" x14ac:dyDescent="0.6">
      <c r="E71" s="398"/>
      <c r="F71" s="410"/>
      <c r="J71" s="278"/>
    </row>
    <row r="72" spans="1:21" x14ac:dyDescent="0.6">
      <c r="E72" s="398"/>
      <c r="F72" s="410"/>
      <c r="J72" s="278"/>
    </row>
    <row r="73" spans="1:21" x14ac:dyDescent="0.6">
      <c r="E73" s="398"/>
      <c r="F73" s="410"/>
      <c r="J73" s="278"/>
    </row>
    <row r="74" spans="1:21" x14ac:dyDescent="0.6">
      <c r="E74" s="398"/>
      <c r="F74" s="410"/>
      <c r="J74" s="278"/>
    </row>
    <row r="75" spans="1:21" x14ac:dyDescent="0.6">
      <c r="A75" s="1"/>
      <c r="C75" s="1"/>
      <c r="D75" s="1"/>
      <c r="E75" s="398"/>
      <c r="F75" s="410"/>
      <c r="I75" s="1"/>
      <c r="J75" s="278"/>
      <c r="K75" s="1"/>
      <c r="L75" s="1"/>
      <c r="M75" s="1"/>
      <c r="N75" s="1"/>
      <c r="P75" s="1"/>
      <c r="S75" s="1"/>
      <c r="T75" s="1"/>
      <c r="U75" s="1"/>
    </row>
    <row r="76" spans="1:21" x14ac:dyDescent="0.6">
      <c r="E76" s="398"/>
      <c r="F76" s="410"/>
      <c r="J76" s="278"/>
    </row>
    <row r="77" spans="1:21" x14ac:dyDescent="0.6">
      <c r="E77" s="398"/>
      <c r="F77" s="410"/>
      <c r="J77" s="278"/>
    </row>
    <row r="78" spans="1:21" x14ac:dyDescent="0.6">
      <c r="E78" s="398"/>
      <c r="F78" s="410"/>
      <c r="J78" s="278"/>
    </row>
    <row r="79" spans="1:21" x14ac:dyDescent="0.6">
      <c r="E79" s="398"/>
      <c r="F79" s="410"/>
      <c r="J79" s="278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6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" defaultRowHeight="15.6" x14ac:dyDescent="0.6"/>
  <cols>
    <col min="1" max="1" width="10.84765625" style="167"/>
    <col min="2" max="2" width="20.59765625" style="167" customWidth="1"/>
    <col min="3" max="3" width="20.59765625" style="246" customWidth="1"/>
    <col min="4" max="4" width="20.59765625" style="1343" customWidth="1"/>
    <col min="5" max="5" width="20.59765625" style="246" customWidth="1"/>
    <col min="6" max="8" width="20.59765625" style="247" customWidth="1"/>
    <col min="9" max="9" width="15.09765625" style="121" bestFit="1" customWidth="1"/>
    <col min="10" max="10" width="10.84765625" style="1340"/>
    <col min="11" max="11" width="16.09765625" style="121" bestFit="1" customWidth="1"/>
    <col min="12" max="12" width="10.84765625" style="1340"/>
    <col min="13" max="13" width="17.09765625" style="121" bestFit="1" customWidth="1"/>
    <col min="14" max="14" width="7.59765625" style="1340" bestFit="1" customWidth="1"/>
    <col min="15" max="15" width="16" style="121" bestFit="1" customWidth="1"/>
  </cols>
  <sheetData>
    <row r="1" spans="1:15" s="1" customFormat="1" x14ac:dyDescent="0.6">
      <c r="A1" s="85" t="s">
        <v>607</v>
      </c>
      <c r="B1" s="85"/>
      <c r="C1" s="244"/>
      <c r="D1" s="248"/>
      <c r="E1" s="244"/>
      <c r="F1" s="244"/>
      <c r="G1" s="244"/>
      <c r="H1" s="250"/>
      <c r="I1" s="12"/>
      <c r="J1" s="28"/>
      <c r="K1" s="12"/>
      <c r="L1" s="28"/>
      <c r="M1" s="12"/>
      <c r="N1" s="28"/>
      <c r="O1" s="12"/>
    </row>
    <row r="2" spans="1:15" s="60" customFormat="1" x14ac:dyDescent="0.6">
      <c r="A2" s="118">
        <v>2015</v>
      </c>
      <c r="C2" s="114" t="s">
        <v>42</v>
      </c>
      <c r="D2" s="249" t="s">
        <v>1255</v>
      </c>
      <c r="E2" s="114"/>
      <c r="F2" s="114" t="s">
        <v>45</v>
      </c>
      <c r="G2" s="838" t="s">
        <v>44</v>
      </c>
      <c r="H2" s="251" t="s">
        <v>43</v>
      </c>
      <c r="I2" s="157" t="s">
        <v>45</v>
      </c>
      <c r="J2" s="1338" t="s">
        <v>45</v>
      </c>
      <c r="K2" s="157" t="s">
        <v>116</v>
      </c>
      <c r="L2" s="1338" t="s">
        <v>116</v>
      </c>
      <c r="M2" s="157" t="s">
        <v>43</v>
      </c>
      <c r="N2" s="1338" t="s">
        <v>43</v>
      </c>
      <c r="O2" s="157" t="s">
        <v>42</v>
      </c>
    </row>
    <row r="3" spans="1:15" s="60" customFormat="1" x14ac:dyDescent="0.6">
      <c r="C3" s="114" t="s">
        <v>608</v>
      </c>
      <c r="D3" s="249" t="s">
        <v>630</v>
      </c>
      <c r="E3" s="114" t="s">
        <v>1256</v>
      </c>
      <c r="F3" s="114" t="s">
        <v>609</v>
      </c>
      <c r="G3" s="114" t="s">
        <v>609</v>
      </c>
      <c r="H3" s="251" t="s">
        <v>609</v>
      </c>
      <c r="I3" s="157" t="s">
        <v>1254</v>
      </c>
      <c r="J3" s="1338" t="s">
        <v>630</v>
      </c>
      <c r="K3" s="157" t="s">
        <v>1254</v>
      </c>
      <c r="L3" s="1338" t="s">
        <v>630</v>
      </c>
      <c r="M3" s="157" t="s">
        <v>1254</v>
      </c>
      <c r="N3" s="1338" t="s">
        <v>630</v>
      </c>
      <c r="O3" s="157" t="s">
        <v>1254</v>
      </c>
    </row>
    <row r="4" spans="1:15" s="85" customFormat="1" x14ac:dyDescent="0.6">
      <c r="A4" s="60">
        <v>1</v>
      </c>
      <c r="B4" s="85" t="s">
        <v>178</v>
      </c>
      <c r="C4" s="244">
        <v>79235000</v>
      </c>
      <c r="D4" s="248">
        <v>0.95</v>
      </c>
      <c r="E4" s="244">
        <f>D4*C4</f>
        <v>75273250</v>
      </c>
      <c r="F4" s="244">
        <f>E4*J4</f>
        <v>43779492.892242894</v>
      </c>
      <c r="G4" s="244">
        <f>E4*L4</f>
        <v>24175157.511407513</v>
      </c>
      <c r="H4" s="250">
        <f>E4*N4</f>
        <v>7318599.596349596</v>
      </c>
      <c r="I4" s="178">
        <v>331.4</v>
      </c>
      <c r="J4" s="360">
        <f>I4/O4</f>
        <v>0.58160758160758164</v>
      </c>
      <c r="K4" s="178">
        <v>183</v>
      </c>
      <c r="L4" s="360">
        <f>K4/O4</f>
        <v>0.3211653211653212</v>
      </c>
      <c r="M4" s="178">
        <v>55.4</v>
      </c>
      <c r="N4" s="360">
        <f>M4/O4</f>
        <v>9.7227097227097228E-2</v>
      </c>
      <c r="O4" s="178">
        <f>I4+K4+M4</f>
        <v>569.79999999999995</v>
      </c>
    </row>
    <row r="5" spans="1:15" s="85" customFormat="1" x14ac:dyDescent="0.6">
      <c r="A5" s="60">
        <f t="shared" ref="A5:A54" si="0">A4+1</f>
        <v>2</v>
      </c>
      <c r="B5" s="85" t="s">
        <v>188</v>
      </c>
      <c r="C5" s="244">
        <v>105233000</v>
      </c>
      <c r="D5" s="248">
        <v>0.95</v>
      </c>
      <c r="E5" s="244">
        <f t="shared" ref="E5:E54" si="1">D5*C5</f>
        <v>99971350</v>
      </c>
      <c r="F5" s="244">
        <f t="shared" ref="F5:F54" si="2">E5*J5</f>
        <v>1258619.3150295184</v>
      </c>
      <c r="G5" s="244">
        <f t="shared" ref="G5:G54" si="3">E5*L5</f>
        <v>27063870.694928516</v>
      </c>
      <c r="H5" s="250">
        <f t="shared" ref="H5:H54" si="4">E5*N5</f>
        <v>71648859.990041956</v>
      </c>
      <c r="I5" s="178">
        <v>17.7</v>
      </c>
      <c r="J5" s="360">
        <f t="shared" ref="J5:J54" si="5">I5/O5</f>
        <v>1.2589800128031865E-2</v>
      </c>
      <c r="K5" s="178">
        <v>380.6</v>
      </c>
      <c r="L5" s="360">
        <f t="shared" ref="L5:L54" si="6">K5/O5</f>
        <v>0.27071626715982644</v>
      </c>
      <c r="M5" s="178">
        <v>1007.6</v>
      </c>
      <c r="N5" s="360">
        <f t="shared" ref="N5:N54" si="7">M5/O5</f>
        <v>0.71669393271214166</v>
      </c>
      <c r="O5" s="178">
        <f t="shared" ref="O5:O55" si="8">I5+K5+M5</f>
        <v>1405.9</v>
      </c>
    </row>
    <row r="6" spans="1:15" s="85" customFormat="1" x14ac:dyDescent="0.6">
      <c r="A6" s="60">
        <f t="shared" si="0"/>
        <v>3</v>
      </c>
      <c r="B6" s="85" t="s">
        <v>181</v>
      </c>
      <c r="C6" s="244">
        <v>24862000</v>
      </c>
      <c r="D6" s="248">
        <v>0</v>
      </c>
      <c r="E6" s="244">
        <f t="shared" si="1"/>
        <v>0</v>
      </c>
      <c r="F6" s="244">
        <f t="shared" si="2"/>
        <v>0</v>
      </c>
      <c r="G6" s="244">
        <f t="shared" si="3"/>
        <v>0</v>
      </c>
      <c r="H6" s="250">
        <f t="shared" si="4"/>
        <v>0</v>
      </c>
      <c r="I6" s="178">
        <v>146.5</v>
      </c>
      <c r="J6" s="360">
        <f t="shared" si="5"/>
        <v>0.99795640326975488</v>
      </c>
      <c r="K6" s="178">
        <v>0.1</v>
      </c>
      <c r="L6" s="360">
        <f t="shared" si="6"/>
        <v>6.8119891008174395E-4</v>
      </c>
      <c r="M6" s="178">
        <v>0.2</v>
      </c>
      <c r="N6" s="360">
        <f t="shared" si="7"/>
        <v>1.3623978201634879E-3</v>
      </c>
      <c r="O6" s="178">
        <f t="shared" si="8"/>
        <v>146.79999999999998</v>
      </c>
    </row>
    <row r="7" spans="1:15" s="85" customFormat="1" x14ac:dyDescent="0.6">
      <c r="A7" s="60">
        <f t="shared" si="0"/>
        <v>4</v>
      </c>
      <c r="B7" s="85" t="s">
        <v>176</v>
      </c>
      <c r="C7" s="244">
        <v>104383000</v>
      </c>
      <c r="D7" s="248">
        <v>0.95</v>
      </c>
      <c r="E7" s="244">
        <f t="shared" si="1"/>
        <v>99163850</v>
      </c>
      <c r="F7" s="244">
        <f t="shared" si="2"/>
        <v>167067.51216772743</v>
      </c>
      <c r="G7" s="244">
        <f t="shared" si="3"/>
        <v>95729684.472107828</v>
      </c>
      <c r="H7" s="250">
        <f t="shared" si="4"/>
        <v>3267098.015724448</v>
      </c>
      <c r="I7" s="178">
        <v>1.8</v>
      </c>
      <c r="J7" s="360">
        <f t="shared" si="5"/>
        <v>1.6847622613253461E-3</v>
      </c>
      <c r="K7" s="178">
        <v>1031.4000000000001</v>
      </c>
      <c r="L7" s="360">
        <f t="shared" si="6"/>
        <v>0.96536877573942348</v>
      </c>
      <c r="M7" s="178">
        <v>35.200000000000003</v>
      </c>
      <c r="N7" s="360">
        <f t="shared" si="7"/>
        <v>3.294646199925122E-2</v>
      </c>
      <c r="O7" s="178">
        <f t="shared" si="8"/>
        <v>1068.4000000000001</v>
      </c>
    </row>
    <row r="8" spans="1:15" s="85" customFormat="1" x14ac:dyDescent="0.6">
      <c r="A8" s="60">
        <f t="shared" si="0"/>
        <v>5</v>
      </c>
      <c r="B8" s="85" t="s">
        <v>142</v>
      </c>
      <c r="C8" s="244">
        <v>69960000</v>
      </c>
      <c r="D8" s="248">
        <v>0.95</v>
      </c>
      <c r="E8" s="244">
        <f t="shared" si="1"/>
        <v>66462000</v>
      </c>
      <c r="F8" s="244">
        <f t="shared" si="2"/>
        <v>0</v>
      </c>
      <c r="G8" s="244">
        <f t="shared" si="3"/>
        <v>12448423.193728371</v>
      </c>
      <c r="H8" s="250">
        <f t="shared" si="4"/>
        <v>54013576.806271628</v>
      </c>
      <c r="I8" s="178">
        <v>0</v>
      </c>
      <c r="J8" s="360"/>
      <c r="K8" s="178">
        <v>265.2</v>
      </c>
      <c r="L8" s="360">
        <f t="shared" si="6"/>
        <v>0.18730136309061374</v>
      </c>
      <c r="M8" s="178">
        <v>1150.7</v>
      </c>
      <c r="N8" s="360">
        <f t="shared" si="7"/>
        <v>0.81269863690938626</v>
      </c>
      <c r="O8" s="178">
        <f t="shared" si="8"/>
        <v>1415.9</v>
      </c>
    </row>
    <row r="9" spans="1:15" s="85" customFormat="1" x14ac:dyDescent="0.6">
      <c r="A9" s="60">
        <f t="shared" si="0"/>
        <v>6</v>
      </c>
      <c r="B9" s="85" t="s">
        <v>175</v>
      </c>
      <c r="C9" s="244">
        <v>292683000</v>
      </c>
      <c r="D9" s="248">
        <v>0.99</v>
      </c>
      <c r="E9" s="244">
        <f t="shared" si="1"/>
        <v>289756170</v>
      </c>
      <c r="F9" s="244">
        <f t="shared" si="2"/>
        <v>37562019.082674891</v>
      </c>
      <c r="G9" s="244">
        <f t="shared" si="3"/>
        <v>185027378.93524763</v>
      </c>
      <c r="H9" s="250">
        <f t="shared" si="4"/>
        <v>67166771.982077494</v>
      </c>
      <c r="I9" s="178">
        <v>403.6</v>
      </c>
      <c r="J9" s="360">
        <f t="shared" si="5"/>
        <v>0.12963319843258175</v>
      </c>
      <c r="K9" s="178">
        <v>1988.1</v>
      </c>
      <c r="L9" s="360">
        <f t="shared" si="6"/>
        <v>0.63856234341877049</v>
      </c>
      <c r="M9" s="178">
        <v>721.7</v>
      </c>
      <c r="N9" s="360">
        <f t="shared" si="7"/>
        <v>0.23180445814864784</v>
      </c>
      <c r="O9" s="178">
        <f t="shared" si="8"/>
        <v>3113.3999999999996</v>
      </c>
    </row>
    <row r="10" spans="1:15" s="1335" customFormat="1" x14ac:dyDescent="0.6">
      <c r="A10" s="1334">
        <f t="shared" si="0"/>
        <v>7</v>
      </c>
      <c r="B10" s="1335" t="s">
        <v>143</v>
      </c>
      <c r="C10" s="1336"/>
      <c r="D10" s="248"/>
      <c r="E10" s="244"/>
      <c r="F10" s="244"/>
      <c r="G10" s="244"/>
      <c r="H10" s="250"/>
      <c r="I10" s="1337"/>
      <c r="J10" s="360"/>
      <c r="K10" s="1337"/>
      <c r="L10" s="360"/>
      <c r="M10" s="1337"/>
      <c r="N10" s="360"/>
      <c r="O10" s="178"/>
    </row>
    <row r="11" spans="1:15" s="1335" customFormat="1" x14ac:dyDescent="0.6">
      <c r="A11" s="1334">
        <f t="shared" si="0"/>
        <v>8</v>
      </c>
      <c r="B11" s="1335" t="s">
        <v>172</v>
      </c>
      <c r="C11" s="1336"/>
      <c r="D11" s="248"/>
      <c r="E11" s="244"/>
      <c r="F11" s="244"/>
      <c r="G11" s="244"/>
      <c r="H11" s="250"/>
      <c r="I11" s="1337"/>
      <c r="J11" s="360"/>
      <c r="K11" s="1337"/>
      <c r="L11" s="360"/>
      <c r="M11" s="1337"/>
      <c r="N11" s="360"/>
      <c r="O11" s="178"/>
    </row>
    <row r="12" spans="1:15" s="1335" customFormat="1" x14ac:dyDescent="0.6">
      <c r="A12" s="1334">
        <f t="shared" si="0"/>
        <v>9</v>
      </c>
      <c r="B12" s="1335" t="s">
        <v>171</v>
      </c>
      <c r="C12" s="1336"/>
      <c r="D12" s="248"/>
      <c r="E12" s="244"/>
      <c r="F12" s="244"/>
      <c r="G12" s="244"/>
      <c r="H12" s="250"/>
      <c r="I12" s="1337"/>
      <c r="J12" s="360"/>
      <c r="K12" s="1337"/>
      <c r="L12" s="360"/>
      <c r="M12" s="1337"/>
      <c r="N12" s="360"/>
      <c r="O12" s="178"/>
    </row>
    <row r="13" spans="1:15" s="85" customFormat="1" x14ac:dyDescent="0.6">
      <c r="A13" s="60">
        <f t="shared" si="0"/>
        <v>10</v>
      </c>
      <c r="B13" s="85" t="s">
        <v>144</v>
      </c>
      <c r="C13" s="244">
        <v>37220000</v>
      </c>
      <c r="D13" s="248">
        <v>0.2</v>
      </c>
      <c r="E13" s="244">
        <f t="shared" si="1"/>
        <v>7444000</v>
      </c>
      <c r="F13" s="244">
        <f t="shared" si="2"/>
        <v>0</v>
      </c>
      <c r="G13" s="244">
        <f t="shared" si="3"/>
        <v>496266.66666666669</v>
      </c>
      <c r="H13" s="250">
        <f t="shared" si="4"/>
        <v>6947733.333333333</v>
      </c>
      <c r="I13" s="178">
        <v>0</v>
      </c>
      <c r="J13" s="360"/>
      <c r="K13" s="178">
        <v>0.9</v>
      </c>
      <c r="L13" s="360">
        <f t="shared" si="6"/>
        <v>6.6666666666666666E-2</v>
      </c>
      <c r="M13" s="178">
        <v>12.6</v>
      </c>
      <c r="N13" s="360">
        <f t="shared" si="7"/>
        <v>0.93333333333333335</v>
      </c>
      <c r="O13" s="178">
        <f t="shared" si="8"/>
        <v>13.5</v>
      </c>
    </row>
    <row r="14" spans="1:15" s="1335" customFormat="1" x14ac:dyDescent="0.6">
      <c r="A14" s="1334">
        <f t="shared" si="0"/>
        <v>11</v>
      </c>
      <c r="B14" s="1335" t="s">
        <v>154</v>
      </c>
      <c r="C14" s="1336"/>
      <c r="D14" s="248"/>
      <c r="E14" s="244"/>
      <c r="F14" s="244"/>
      <c r="G14" s="244"/>
      <c r="H14" s="250"/>
      <c r="I14" s="1337"/>
      <c r="J14" s="360"/>
      <c r="K14" s="1337"/>
      <c r="L14" s="360"/>
      <c r="M14" s="1337"/>
      <c r="N14" s="360"/>
      <c r="O14" s="178"/>
    </row>
    <row r="15" spans="1:15" s="1335" customFormat="1" x14ac:dyDescent="0.6">
      <c r="A15" s="1334">
        <f t="shared" si="0"/>
        <v>12</v>
      </c>
      <c r="B15" s="1335" t="s">
        <v>141</v>
      </c>
      <c r="C15" s="1336"/>
      <c r="D15" s="248"/>
      <c r="E15" s="244"/>
      <c r="F15" s="244"/>
      <c r="G15" s="244"/>
      <c r="H15" s="250"/>
      <c r="I15" s="1337"/>
      <c r="J15" s="360"/>
      <c r="K15" s="1337"/>
      <c r="L15" s="360"/>
      <c r="M15" s="1337"/>
      <c r="N15" s="360"/>
      <c r="O15" s="178"/>
    </row>
    <row r="16" spans="1:15" s="1335" customFormat="1" x14ac:dyDescent="0.6">
      <c r="A16" s="1334">
        <f t="shared" si="0"/>
        <v>13</v>
      </c>
      <c r="B16" s="1335" t="s">
        <v>152</v>
      </c>
      <c r="C16" s="1336">
        <v>6143000</v>
      </c>
      <c r="D16" s="248">
        <v>0</v>
      </c>
      <c r="E16" s="244"/>
      <c r="F16" s="244"/>
      <c r="G16" s="244"/>
      <c r="H16" s="250"/>
      <c r="I16" s="1337"/>
      <c r="J16" s="1341"/>
      <c r="K16" s="1337"/>
      <c r="L16" s="1341"/>
      <c r="M16" s="1337"/>
      <c r="N16" s="1341"/>
      <c r="O16" s="1337"/>
    </row>
    <row r="17" spans="1:15" s="1335" customFormat="1" x14ac:dyDescent="0.6">
      <c r="A17" s="1334">
        <f t="shared" si="0"/>
        <v>14</v>
      </c>
      <c r="B17" s="1335" t="s">
        <v>157</v>
      </c>
      <c r="C17" s="1336"/>
      <c r="D17" s="248"/>
      <c r="E17" s="244"/>
      <c r="F17" s="244"/>
      <c r="G17" s="244"/>
      <c r="H17" s="250"/>
      <c r="I17" s="1337">
        <v>1252.9000000000001</v>
      </c>
      <c r="J17" s="1341">
        <f t="shared" si="5"/>
        <v>0.95677739595265354</v>
      </c>
      <c r="K17" s="1337">
        <v>2.2000000000000002</v>
      </c>
      <c r="L17" s="1341">
        <f t="shared" si="6"/>
        <v>1.6800305460099273E-3</v>
      </c>
      <c r="M17" s="1337">
        <v>54.4</v>
      </c>
      <c r="N17" s="1341">
        <f t="shared" si="7"/>
        <v>4.1542573501336381E-2</v>
      </c>
      <c r="O17" s="1337">
        <f t="shared" si="8"/>
        <v>1309.5000000000002</v>
      </c>
    </row>
    <row r="18" spans="1:15" s="85" customFormat="1" x14ac:dyDescent="0.6">
      <c r="A18" s="60">
        <f t="shared" si="0"/>
        <v>15</v>
      </c>
      <c r="B18" s="85" t="s">
        <v>160</v>
      </c>
      <c r="C18" s="244">
        <v>2015000</v>
      </c>
      <c r="D18" s="248">
        <v>0.9</v>
      </c>
      <c r="E18" s="244">
        <f t="shared" si="1"/>
        <v>1813500</v>
      </c>
      <c r="F18" s="244">
        <f t="shared" si="2"/>
        <v>1767159.6109839818</v>
      </c>
      <c r="G18" s="244">
        <f t="shared" si="3"/>
        <v>17060.640732265445</v>
      </c>
      <c r="H18" s="250">
        <f t="shared" si="4"/>
        <v>29279.748283752855</v>
      </c>
      <c r="I18" s="178">
        <v>766.5</v>
      </c>
      <c r="J18" s="360">
        <f t="shared" si="5"/>
        <v>0.97444698703279942</v>
      </c>
      <c r="K18" s="178">
        <v>7.4</v>
      </c>
      <c r="L18" s="360">
        <f t="shared" si="6"/>
        <v>9.4075769132977369E-3</v>
      </c>
      <c r="M18" s="178">
        <v>12.7</v>
      </c>
      <c r="N18" s="360">
        <f t="shared" si="7"/>
        <v>1.6145436053902871E-2</v>
      </c>
      <c r="O18" s="178">
        <f t="shared" si="8"/>
        <v>786.6</v>
      </c>
    </row>
    <row r="19" spans="1:15" s="1335" customFormat="1" x14ac:dyDescent="0.6">
      <c r="A19" s="1334">
        <f t="shared" si="0"/>
        <v>16</v>
      </c>
      <c r="B19" s="1335" t="s">
        <v>151</v>
      </c>
      <c r="C19" s="1336"/>
      <c r="D19" s="248"/>
      <c r="E19" s="244"/>
      <c r="F19" s="244"/>
      <c r="G19" s="244"/>
      <c r="H19" s="250"/>
      <c r="I19" s="1337"/>
      <c r="J19" s="360"/>
      <c r="K19" s="1337"/>
      <c r="L19" s="360"/>
      <c r="M19" s="1337"/>
      <c r="N19" s="360"/>
      <c r="O19" s="178"/>
    </row>
    <row r="20" spans="1:15" s="85" customFormat="1" x14ac:dyDescent="0.6">
      <c r="A20" s="60">
        <f t="shared" si="0"/>
        <v>17</v>
      </c>
      <c r="B20" s="85" t="s">
        <v>168</v>
      </c>
      <c r="C20" s="244">
        <v>148077000</v>
      </c>
      <c r="D20" s="248">
        <v>0.8</v>
      </c>
      <c r="E20" s="244">
        <f t="shared" si="1"/>
        <v>118461600</v>
      </c>
      <c r="F20" s="244">
        <f t="shared" si="2"/>
        <v>890384.42090878042</v>
      </c>
      <c r="G20" s="244">
        <f t="shared" si="3"/>
        <v>64957590.707208745</v>
      </c>
      <c r="H20" s="250">
        <f t="shared" si="4"/>
        <v>52613624.871882476</v>
      </c>
      <c r="I20" s="178">
        <v>4.4000000000000004</v>
      </c>
      <c r="J20" s="360">
        <f t="shared" si="5"/>
        <v>7.5162282200204999E-3</v>
      </c>
      <c r="K20" s="178">
        <v>321</v>
      </c>
      <c r="L20" s="360">
        <f t="shared" si="6"/>
        <v>0.54834301332422275</v>
      </c>
      <c r="M20" s="178">
        <v>260</v>
      </c>
      <c r="N20" s="360">
        <f t="shared" si="7"/>
        <v>0.44414075845575679</v>
      </c>
      <c r="O20" s="178">
        <f t="shared" si="8"/>
        <v>585.4</v>
      </c>
    </row>
    <row r="21" spans="1:15" s="85" customFormat="1" x14ac:dyDescent="0.6">
      <c r="A21" s="60">
        <f t="shared" si="0"/>
        <v>18</v>
      </c>
      <c r="B21" s="85" t="s">
        <v>167</v>
      </c>
      <c r="C21" s="244">
        <v>220613000</v>
      </c>
      <c r="D21" s="248">
        <v>0.95</v>
      </c>
      <c r="E21" s="244">
        <f t="shared" si="1"/>
        <v>209582350</v>
      </c>
      <c r="F21" s="244">
        <f t="shared" si="2"/>
        <v>194588798.56294906</v>
      </c>
      <c r="G21" s="244">
        <f t="shared" si="3"/>
        <v>12846003.458294284</v>
      </c>
      <c r="H21" s="250">
        <f t="shared" si="4"/>
        <v>2147547.9787566382</v>
      </c>
      <c r="I21" s="178">
        <v>1486</v>
      </c>
      <c r="J21" s="360">
        <f t="shared" si="5"/>
        <v>0.92845985629490779</v>
      </c>
      <c r="K21" s="178">
        <v>98.1</v>
      </c>
      <c r="L21" s="360">
        <f t="shared" si="6"/>
        <v>6.1293345829428303E-2</v>
      </c>
      <c r="M21" s="178">
        <v>16.399999999999999</v>
      </c>
      <c r="N21" s="360">
        <f t="shared" si="7"/>
        <v>1.0246797875663854E-2</v>
      </c>
      <c r="O21" s="178">
        <f t="shared" si="8"/>
        <v>1600.5</v>
      </c>
    </row>
    <row r="22" spans="1:15" s="85" customFormat="1" x14ac:dyDescent="0.6">
      <c r="A22" s="60">
        <f t="shared" si="0"/>
        <v>19</v>
      </c>
      <c r="B22" s="85" t="s">
        <v>179</v>
      </c>
      <c r="C22" s="244">
        <v>731330000</v>
      </c>
      <c r="D22" s="248">
        <v>0.98</v>
      </c>
      <c r="E22" s="244">
        <f t="shared" si="1"/>
        <v>716703400</v>
      </c>
      <c r="F22" s="244">
        <f t="shared" si="2"/>
        <v>14632967.419790167</v>
      </c>
      <c r="G22" s="244">
        <f t="shared" si="3"/>
        <v>589905149.26646638</v>
      </c>
      <c r="H22" s="250">
        <f t="shared" si="4"/>
        <v>112165283.3137434</v>
      </c>
      <c r="I22" s="178">
        <v>46.9</v>
      </c>
      <c r="J22" s="360">
        <f t="shared" si="5"/>
        <v>2.0417047581733485E-2</v>
      </c>
      <c r="K22" s="178">
        <v>1890.7</v>
      </c>
      <c r="L22" s="360">
        <f t="shared" si="6"/>
        <v>0.82308127639197237</v>
      </c>
      <c r="M22" s="178">
        <v>359.5</v>
      </c>
      <c r="N22" s="360">
        <f t="shared" si="7"/>
        <v>0.156501676026294</v>
      </c>
      <c r="O22" s="178">
        <f t="shared" si="8"/>
        <v>2297.1000000000004</v>
      </c>
    </row>
    <row r="23" spans="1:15" s="1335" customFormat="1" x14ac:dyDescent="0.6">
      <c r="A23" s="1334">
        <f t="shared" si="0"/>
        <v>20</v>
      </c>
      <c r="B23" s="1335" t="s">
        <v>158</v>
      </c>
      <c r="C23" s="1336"/>
      <c r="D23" s="1344"/>
      <c r="E23" s="244"/>
      <c r="F23" s="244"/>
      <c r="G23" s="244"/>
      <c r="H23" s="250"/>
      <c r="I23" s="1337"/>
      <c r="J23" s="360" t="e">
        <f t="shared" si="5"/>
        <v>#DIV/0!</v>
      </c>
      <c r="K23" s="1337"/>
      <c r="L23" s="360" t="e">
        <f t="shared" si="6"/>
        <v>#DIV/0!</v>
      </c>
      <c r="M23" s="1337"/>
      <c r="N23" s="360" t="e">
        <f t="shared" si="7"/>
        <v>#DIV/0!</v>
      </c>
      <c r="O23" s="178">
        <f t="shared" si="8"/>
        <v>0</v>
      </c>
    </row>
    <row r="24" spans="1:15" s="1335" customFormat="1" x14ac:dyDescent="0.6">
      <c r="A24" s="1334">
        <f t="shared" si="0"/>
        <v>21</v>
      </c>
      <c r="B24" s="1335" t="s">
        <v>150</v>
      </c>
      <c r="C24" s="1336"/>
      <c r="D24" s="1344"/>
      <c r="E24" s="244"/>
      <c r="F24" s="244"/>
      <c r="G24" s="244"/>
      <c r="H24" s="250"/>
      <c r="I24" s="1337">
        <v>45.6</v>
      </c>
      <c r="J24" s="1341">
        <f t="shared" si="5"/>
        <v>1</v>
      </c>
      <c r="K24" s="1337"/>
      <c r="L24" s="1341">
        <f t="shared" si="6"/>
        <v>0</v>
      </c>
      <c r="M24" s="1337"/>
      <c r="N24" s="1341">
        <f t="shared" si="7"/>
        <v>0</v>
      </c>
      <c r="O24" s="1337">
        <f t="shared" si="8"/>
        <v>45.6</v>
      </c>
    </row>
    <row r="25" spans="1:15" s="1335" customFormat="1" x14ac:dyDescent="0.6">
      <c r="A25" s="1334">
        <f t="shared" si="0"/>
        <v>22</v>
      </c>
      <c r="B25" s="1335" t="s">
        <v>166</v>
      </c>
      <c r="C25" s="1336"/>
      <c r="D25" s="1344"/>
      <c r="E25" s="244"/>
      <c r="F25" s="244"/>
      <c r="G25" s="244"/>
      <c r="H25" s="250"/>
      <c r="I25" s="1337"/>
      <c r="J25" s="360" t="e">
        <f t="shared" si="5"/>
        <v>#DIV/0!</v>
      </c>
      <c r="K25" s="1337"/>
      <c r="L25" s="360" t="e">
        <f t="shared" si="6"/>
        <v>#DIV/0!</v>
      </c>
      <c r="M25" s="1337"/>
      <c r="N25" s="360" t="e">
        <f t="shared" si="7"/>
        <v>#DIV/0!</v>
      </c>
      <c r="O25" s="178">
        <f t="shared" si="8"/>
        <v>0</v>
      </c>
    </row>
    <row r="26" spans="1:15" s="85" customFormat="1" x14ac:dyDescent="0.6">
      <c r="A26" s="60">
        <f t="shared" si="0"/>
        <v>23</v>
      </c>
      <c r="B26" s="85" t="s">
        <v>155</v>
      </c>
      <c r="C26" s="244">
        <v>36883000</v>
      </c>
      <c r="D26" s="248">
        <v>0.9</v>
      </c>
      <c r="E26" s="244">
        <f t="shared" si="1"/>
        <v>33194700</v>
      </c>
      <c r="F26" s="244">
        <f t="shared" si="2"/>
        <v>0</v>
      </c>
      <c r="G26" s="244">
        <f t="shared" si="3"/>
        <v>25121502.584493041</v>
      </c>
      <c r="H26" s="250">
        <f t="shared" si="4"/>
        <v>8073197.415506958</v>
      </c>
      <c r="I26" s="178">
        <v>0</v>
      </c>
      <c r="J26" s="360">
        <v>0</v>
      </c>
      <c r="K26" s="178">
        <v>114.2</v>
      </c>
      <c r="L26" s="360">
        <f t="shared" si="6"/>
        <v>0.75679257786613652</v>
      </c>
      <c r="M26" s="178">
        <v>36.700000000000003</v>
      </c>
      <c r="N26" s="360">
        <f t="shared" si="7"/>
        <v>0.24320742213386348</v>
      </c>
      <c r="O26" s="178">
        <f t="shared" si="8"/>
        <v>150.9</v>
      </c>
    </row>
    <row r="27" spans="1:15" s="1335" customFormat="1" x14ac:dyDescent="0.6">
      <c r="A27" s="1334">
        <f t="shared" si="0"/>
        <v>24</v>
      </c>
      <c r="B27" s="1335" t="s">
        <v>162</v>
      </c>
      <c r="C27" s="1336">
        <v>58931000</v>
      </c>
      <c r="D27" s="1344">
        <v>0</v>
      </c>
      <c r="E27" s="244"/>
      <c r="F27" s="244"/>
      <c r="G27" s="244"/>
      <c r="H27" s="250"/>
      <c r="I27" s="1337"/>
      <c r="J27" s="1341"/>
      <c r="K27" s="1337"/>
      <c r="L27" s="1341"/>
      <c r="M27" s="1337"/>
      <c r="N27" s="1341"/>
      <c r="O27" s="1337"/>
    </row>
    <row r="28" spans="1:15" s="85" customFormat="1" x14ac:dyDescent="0.6">
      <c r="A28" s="60">
        <f t="shared" si="0"/>
        <v>25</v>
      </c>
      <c r="B28" s="85" t="s">
        <v>183</v>
      </c>
      <c r="C28" s="244">
        <v>78726000</v>
      </c>
      <c r="D28" s="248">
        <v>0.95</v>
      </c>
      <c r="E28" s="244">
        <f t="shared" si="1"/>
        <v>74789700</v>
      </c>
      <c r="F28" s="244">
        <f t="shared" si="2"/>
        <v>10864188</v>
      </c>
      <c r="G28" s="244">
        <f t="shared" si="3"/>
        <v>19051692</v>
      </c>
      <c r="H28" s="250">
        <f t="shared" si="4"/>
        <v>44873820</v>
      </c>
      <c r="I28" s="178">
        <v>34.5</v>
      </c>
      <c r="J28" s="360">
        <f t="shared" si="5"/>
        <v>0.14526315789473684</v>
      </c>
      <c r="K28" s="178">
        <v>60.5</v>
      </c>
      <c r="L28" s="360">
        <f t="shared" si="6"/>
        <v>0.25473684210526315</v>
      </c>
      <c r="M28" s="178">
        <v>142.5</v>
      </c>
      <c r="N28" s="360">
        <f t="shared" si="7"/>
        <v>0.6</v>
      </c>
      <c r="O28" s="178">
        <f t="shared" si="8"/>
        <v>237.5</v>
      </c>
    </row>
    <row r="29" spans="1:15" s="85" customFormat="1" x14ac:dyDescent="0.6">
      <c r="A29" s="60">
        <f t="shared" si="0"/>
        <v>26</v>
      </c>
      <c r="B29" s="85" t="s">
        <v>184</v>
      </c>
      <c r="C29" s="244">
        <v>1000</v>
      </c>
      <c r="D29" s="248">
        <v>0.9</v>
      </c>
      <c r="E29" s="244">
        <f t="shared" si="1"/>
        <v>900</v>
      </c>
      <c r="F29" s="244">
        <f t="shared" si="2"/>
        <v>702.43902439024384</v>
      </c>
      <c r="G29" s="244">
        <f t="shared" si="3"/>
        <v>0</v>
      </c>
      <c r="H29" s="250">
        <f t="shared" si="4"/>
        <v>197.56097560975607</v>
      </c>
      <c r="I29" s="178">
        <v>3.2</v>
      </c>
      <c r="J29" s="360">
        <f t="shared" si="5"/>
        <v>0.7804878048780487</v>
      </c>
      <c r="K29" s="178">
        <v>0</v>
      </c>
      <c r="L29" s="360">
        <f t="shared" si="6"/>
        <v>0</v>
      </c>
      <c r="M29" s="178">
        <v>0.9</v>
      </c>
      <c r="N29" s="360">
        <f t="shared" si="7"/>
        <v>0.21951219512195119</v>
      </c>
      <c r="O29" s="178">
        <f t="shared" si="8"/>
        <v>4.1000000000000005</v>
      </c>
    </row>
    <row r="30" spans="1:15" s="85" customFormat="1" x14ac:dyDescent="0.6">
      <c r="A30" s="60">
        <f t="shared" si="0"/>
        <v>27</v>
      </c>
      <c r="B30" s="85" t="s">
        <v>164</v>
      </c>
      <c r="C30" s="244">
        <v>269287000</v>
      </c>
      <c r="D30" s="248">
        <v>0.9</v>
      </c>
      <c r="E30" s="244">
        <f t="shared" si="1"/>
        <v>242358300</v>
      </c>
      <c r="F30" s="244">
        <f t="shared" si="2"/>
        <v>186153127.59650028</v>
      </c>
      <c r="G30" s="244">
        <f t="shared" si="3"/>
        <v>15467024.806999484</v>
      </c>
      <c r="H30" s="250">
        <f t="shared" si="4"/>
        <v>40738147.596500263</v>
      </c>
      <c r="I30" s="178">
        <v>746.2</v>
      </c>
      <c r="J30" s="360">
        <f t="shared" si="5"/>
        <v>0.7680905815748843</v>
      </c>
      <c r="K30" s="178">
        <v>62</v>
      </c>
      <c r="L30" s="360">
        <f t="shared" si="6"/>
        <v>6.3818836850231597E-2</v>
      </c>
      <c r="M30" s="178">
        <v>163.30000000000001</v>
      </c>
      <c r="N30" s="360">
        <f t="shared" si="7"/>
        <v>0.16809058157488421</v>
      </c>
      <c r="O30" s="178">
        <f t="shared" si="8"/>
        <v>971.5</v>
      </c>
    </row>
    <row r="31" spans="1:15" s="85" customFormat="1" x14ac:dyDescent="0.6">
      <c r="A31" s="60">
        <f t="shared" si="0"/>
        <v>28</v>
      </c>
      <c r="B31" s="85" t="s">
        <v>165</v>
      </c>
      <c r="C31" s="244">
        <v>5282000</v>
      </c>
      <c r="D31" s="248">
        <v>0.95</v>
      </c>
      <c r="E31" s="244">
        <f t="shared" si="1"/>
        <v>5017900</v>
      </c>
      <c r="F31" s="244">
        <f t="shared" si="2"/>
        <v>0</v>
      </c>
      <c r="G31" s="244">
        <f t="shared" si="3"/>
        <v>146722.22222222222</v>
      </c>
      <c r="H31" s="250">
        <f t="shared" si="4"/>
        <v>4871177.777777778</v>
      </c>
      <c r="I31" s="178">
        <v>0</v>
      </c>
      <c r="J31" s="360">
        <v>0</v>
      </c>
      <c r="K31" s="178">
        <v>0.5</v>
      </c>
      <c r="L31" s="360">
        <f t="shared" si="6"/>
        <v>2.9239766081871343E-2</v>
      </c>
      <c r="M31" s="178">
        <v>16.600000000000001</v>
      </c>
      <c r="N31" s="360">
        <f t="shared" si="7"/>
        <v>0.97076023391812871</v>
      </c>
      <c r="O31" s="178">
        <f t="shared" si="8"/>
        <v>17.100000000000001</v>
      </c>
    </row>
    <row r="32" spans="1:15" s="85" customFormat="1" x14ac:dyDescent="0.6">
      <c r="A32" s="60">
        <f t="shared" si="0"/>
        <v>29</v>
      </c>
      <c r="B32" s="85" t="s">
        <v>147</v>
      </c>
      <c r="C32" s="244">
        <v>121604000</v>
      </c>
      <c r="D32" s="248">
        <v>0.9</v>
      </c>
      <c r="E32" s="244">
        <f t="shared" si="1"/>
        <v>109443600</v>
      </c>
      <c r="F32" s="244">
        <f t="shared" si="2"/>
        <v>0</v>
      </c>
      <c r="G32" s="244">
        <f t="shared" si="3"/>
        <v>109443600</v>
      </c>
      <c r="H32" s="250">
        <f t="shared" si="4"/>
        <v>0</v>
      </c>
      <c r="I32" s="178">
        <v>0</v>
      </c>
      <c r="J32" s="360">
        <v>0</v>
      </c>
      <c r="K32" s="178">
        <v>1.6</v>
      </c>
      <c r="L32" s="360">
        <f t="shared" si="6"/>
        <v>1</v>
      </c>
      <c r="M32" s="178">
        <v>0</v>
      </c>
      <c r="N32" s="360">
        <f t="shared" si="7"/>
        <v>0</v>
      </c>
      <c r="O32" s="178">
        <f t="shared" si="8"/>
        <v>1.6</v>
      </c>
    </row>
    <row r="33" spans="1:15" s="1335" customFormat="1" x14ac:dyDescent="0.6">
      <c r="A33" s="1334">
        <f t="shared" si="0"/>
        <v>30</v>
      </c>
      <c r="B33" s="1335" t="s">
        <v>170</v>
      </c>
      <c r="C33" s="1336"/>
      <c r="D33" s="1344"/>
      <c r="E33" s="244"/>
      <c r="F33" s="244"/>
      <c r="G33" s="244"/>
      <c r="H33" s="250"/>
      <c r="I33" s="1337"/>
      <c r="J33" s="360"/>
      <c r="K33" s="1337"/>
      <c r="L33" s="360"/>
      <c r="M33" s="1337"/>
      <c r="N33" s="360"/>
      <c r="O33" s="178"/>
    </row>
    <row r="34" spans="1:15" s="1335" customFormat="1" x14ac:dyDescent="0.6">
      <c r="A34" s="1334">
        <f t="shared" si="0"/>
        <v>31</v>
      </c>
      <c r="B34" s="1335" t="s">
        <v>187</v>
      </c>
      <c r="C34" s="1336"/>
      <c r="D34" s="1344"/>
      <c r="E34" s="244"/>
      <c r="F34" s="244"/>
      <c r="G34" s="244"/>
      <c r="H34" s="250"/>
      <c r="I34" s="1337"/>
      <c r="J34" s="360"/>
      <c r="K34" s="1337"/>
      <c r="L34" s="360"/>
      <c r="M34" s="1337"/>
      <c r="N34" s="360"/>
      <c r="O34" s="178"/>
    </row>
    <row r="35" spans="1:15" s="85" customFormat="1" x14ac:dyDescent="0.6">
      <c r="A35" s="60">
        <f t="shared" si="0"/>
        <v>32</v>
      </c>
      <c r="B35" s="85" t="s">
        <v>182</v>
      </c>
      <c r="C35" s="244">
        <v>1001741000</v>
      </c>
      <c r="D35" s="248">
        <v>0.99</v>
      </c>
      <c r="E35" s="244">
        <f t="shared" si="1"/>
        <v>991723590</v>
      </c>
      <c r="F35" s="244">
        <f t="shared" si="2"/>
        <v>134250135.720777</v>
      </c>
      <c r="G35" s="244">
        <f t="shared" si="3"/>
        <v>542445653.28297174</v>
      </c>
      <c r="H35" s="250">
        <f t="shared" si="4"/>
        <v>315027800.99625123</v>
      </c>
      <c r="I35" s="178">
        <v>357.5</v>
      </c>
      <c r="J35" s="360">
        <f t="shared" si="5"/>
        <v>0.13537051762656668</v>
      </c>
      <c r="K35" s="178">
        <v>1444.5</v>
      </c>
      <c r="L35" s="360">
        <f t="shared" si="6"/>
        <v>0.54697262296944227</v>
      </c>
      <c r="M35" s="178">
        <v>838.9</v>
      </c>
      <c r="N35" s="360">
        <f t="shared" si="7"/>
        <v>0.31765685940399102</v>
      </c>
      <c r="O35" s="178">
        <f t="shared" si="8"/>
        <v>2640.9</v>
      </c>
    </row>
    <row r="36" spans="1:15" s="1335" customFormat="1" x14ac:dyDescent="0.6">
      <c r="A36" s="1334">
        <f t="shared" si="0"/>
        <v>33</v>
      </c>
      <c r="B36" s="1335" t="s">
        <v>140</v>
      </c>
      <c r="C36" s="1336"/>
      <c r="D36" s="1345"/>
      <c r="E36" s="1336"/>
      <c r="F36" s="244"/>
      <c r="G36" s="244"/>
      <c r="H36" s="250"/>
      <c r="I36" s="1337">
        <v>0</v>
      </c>
      <c r="J36" s="1341">
        <v>0</v>
      </c>
      <c r="K36" s="1337">
        <v>18.399999999999999</v>
      </c>
      <c r="L36" s="1341">
        <f t="shared" si="6"/>
        <v>0.91999999999999993</v>
      </c>
      <c r="M36" s="1337">
        <v>1.6</v>
      </c>
      <c r="N36" s="1341">
        <f t="shared" si="7"/>
        <v>0.08</v>
      </c>
      <c r="O36" s="1337">
        <f t="shared" si="8"/>
        <v>20</v>
      </c>
    </row>
    <row r="37" spans="1:15" s="1335" customFormat="1" x14ac:dyDescent="0.6">
      <c r="A37" s="1334">
        <f t="shared" si="0"/>
        <v>34</v>
      </c>
      <c r="B37" s="1335" t="s">
        <v>145</v>
      </c>
      <c r="C37" s="1336"/>
      <c r="D37" s="1344"/>
      <c r="E37" s="244"/>
      <c r="F37" s="244"/>
      <c r="G37" s="244"/>
      <c r="H37" s="250"/>
      <c r="I37" s="1337"/>
      <c r="J37" s="360"/>
      <c r="K37" s="1337"/>
      <c r="L37" s="360"/>
      <c r="M37" s="1337"/>
      <c r="N37" s="360"/>
      <c r="O37" s="178"/>
    </row>
    <row r="38" spans="1:15" s="85" customFormat="1" x14ac:dyDescent="0.6">
      <c r="A38" s="60">
        <f t="shared" si="0"/>
        <v>35</v>
      </c>
      <c r="B38" s="85" t="s">
        <v>173</v>
      </c>
      <c r="C38" s="244">
        <v>2849324000</v>
      </c>
      <c r="D38" s="248">
        <v>0.95</v>
      </c>
      <c r="E38" s="244">
        <f t="shared" si="1"/>
        <v>2706857800</v>
      </c>
      <c r="F38" s="244">
        <f t="shared" si="2"/>
        <v>302329383.21515018</v>
      </c>
      <c r="G38" s="244">
        <f t="shared" si="3"/>
        <v>512001979.42759508</v>
      </c>
      <c r="H38" s="250">
        <f t="shared" si="4"/>
        <v>1892526437.3572547</v>
      </c>
      <c r="I38" s="178">
        <v>392.2</v>
      </c>
      <c r="J38" s="360">
        <f t="shared" si="5"/>
        <v>0.11169016089990032</v>
      </c>
      <c r="K38" s="178">
        <v>664.2</v>
      </c>
      <c r="L38" s="360">
        <f t="shared" si="6"/>
        <v>0.18914993592481846</v>
      </c>
      <c r="M38" s="178">
        <v>2455.1</v>
      </c>
      <c r="N38" s="360">
        <f t="shared" si="7"/>
        <v>0.69915990317528121</v>
      </c>
      <c r="O38" s="178">
        <f t="shared" si="8"/>
        <v>3511.5</v>
      </c>
    </row>
    <row r="39" spans="1:15" s="85" customFormat="1" x14ac:dyDescent="0.6">
      <c r="A39" s="60">
        <f t="shared" si="0"/>
        <v>36</v>
      </c>
      <c r="B39" s="85" t="s">
        <v>163</v>
      </c>
      <c r="C39" s="244">
        <v>22891000</v>
      </c>
      <c r="D39" s="248">
        <v>0.9</v>
      </c>
      <c r="E39" s="244">
        <f t="shared" si="1"/>
        <v>20601900</v>
      </c>
      <c r="F39" s="244">
        <f t="shared" si="2"/>
        <v>4921316.2701589847</v>
      </c>
      <c r="G39" s="244">
        <f t="shared" si="3"/>
        <v>13935678.439894773</v>
      </c>
      <c r="H39" s="250">
        <f t="shared" si="4"/>
        <v>1744905.2899462427</v>
      </c>
      <c r="I39" s="178">
        <v>417.7</v>
      </c>
      <c r="J39" s="360">
        <f t="shared" si="5"/>
        <v>0.23887681573830494</v>
      </c>
      <c r="K39" s="178">
        <v>1182.8</v>
      </c>
      <c r="L39" s="360">
        <f t="shared" si="6"/>
        <v>0.67642685577033057</v>
      </c>
      <c r="M39" s="178">
        <v>148.1</v>
      </c>
      <c r="N39" s="360">
        <f t="shared" si="7"/>
        <v>8.469632849136452E-2</v>
      </c>
      <c r="O39" s="178">
        <f t="shared" si="8"/>
        <v>1748.6</v>
      </c>
    </row>
    <row r="40" spans="1:15" s="85" customFormat="1" x14ac:dyDescent="0.6">
      <c r="A40" s="60">
        <f t="shared" si="0"/>
        <v>37</v>
      </c>
      <c r="B40" s="85" t="s">
        <v>185</v>
      </c>
      <c r="C40" s="244">
        <v>556546000</v>
      </c>
      <c r="D40" s="248">
        <v>0.95</v>
      </c>
      <c r="E40" s="244">
        <f t="shared" si="1"/>
        <v>528718700</v>
      </c>
      <c r="F40" s="244">
        <f t="shared" si="2"/>
        <v>2413923.9012358636</v>
      </c>
      <c r="G40" s="244">
        <f t="shared" si="3"/>
        <v>401169180.75883603</v>
      </c>
      <c r="H40" s="250">
        <f t="shared" si="4"/>
        <v>125135595.33992811</v>
      </c>
      <c r="I40" s="178">
        <v>17.399999999999999</v>
      </c>
      <c r="J40" s="360">
        <f t="shared" si="5"/>
        <v>4.5656109784576633E-3</v>
      </c>
      <c r="K40" s="178">
        <v>2891.7</v>
      </c>
      <c r="L40" s="360">
        <f t="shared" si="6"/>
        <v>0.75875731416126579</v>
      </c>
      <c r="M40" s="178">
        <v>902</v>
      </c>
      <c r="N40" s="360">
        <f t="shared" si="7"/>
        <v>0.23667707486027656</v>
      </c>
      <c r="O40" s="178">
        <f t="shared" si="8"/>
        <v>3811.1</v>
      </c>
    </row>
    <row r="41" spans="1:15" s="85" customFormat="1" x14ac:dyDescent="0.6">
      <c r="A41" s="60">
        <f t="shared" si="0"/>
        <v>38</v>
      </c>
      <c r="B41" s="85" t="s">
        <v>153</v>
      </c>
      <c r="C41" s="244">
        <v>24149000</v>
      </c>
      <c r="D41" s="248">
        <v>0.1</v>
      </c>
      <c r="E41" s="244">
        <f t="shared" si="1"/>
        <v>2414900</v>
      </c>
      <c r="F41" s="244">
        <f t="shared" si="2"/>
        <v>0</v>
      </c>
      <c r="G41" s="244">
        <f t="shared" si="3"/>
        <v>2414900</v>
      </c>
      <c r="H41" s="250">
        <f t="shared" si="4"/>
        <v>0</v>
      </c>
      <c r="I41" s="178">
        <v>0</v>
      </c>
      <c r="J41" s="360">
        <v>0</v>
      </c>
      <c r="K41" s="178">
        <v>0.9</v>
      </c>
      <c r="L41" s="360">
        <f t="shared" si="6"/>
        <v>1</v>
      </c>
      <c r="M41" s="178"/>
      <c r="N41" s="360"/>
      <c r="O41" s="178">
        <f t="shared" si="8"/>
        <v>0.9</v>
      </c>
    </row>
    <row r="42" spans="1:15" s="1335" customFormat="1" x14ac:dyDescent="0.6">
      <c r="A42" s="1334">
        <f t="shared" si="0"/>
        <v>39</v>
      </c>
      <c r="B42" s="1335" t="s">
        <v>138</v>
      </c>
      <c r="C42" s="1336"/>
      <c r="D42" s="1344"/>
      <c r="E42" s="244"/>
      <c r="F42" s="244"/>
      <c r="G42" s="244"/>
      <c r="H42" s="250"/>
      <c r="I42" s="1337">
        <v>1278.0999999999999</v>
      </c>
      <c r="J42" s="360">
        <f t="shared" si="5"/>
        <v>0.19826262312882958</v>
      </c>
      <c r="K42" s="1337">
        <v>5128.3999999999996</v>
      </c>
      <c r="L42" s="360">
        <f t="shared" si="6"/>
        <v>0.7955324594741332</v>
      </c>
      <c r="M42" s="1337">
        <v>40</v>
      </c>
      <c r="N42" s="360">
        <f t="shared" si="7"/>
        <v>6.2049173970371522E-3</v>
      </c>
      <c r="O42" s="178">
        <f t="shared" si="8"/>
        <v>6446.5</v>
      </c>
    </row>
    <row r="43" spans="1:15" s="1335" customFormat="1" x14ac:dyDescent="0.6">
      <c r="A43" s="1334">
        <f t="shared" si="0"/>
        <v>40</v>
      </c>
      <c r="B43" s="1335" t="s">
        <v>146</v>
      </c>
      <c r="C43" s="1336"/>
      <c r="D43" s="1344"/>
      <c r="E43" s="244"/>
      <c r="F43" s="244"/>
      <c r="G43" s="244"/>
      <c r="H43" s="250"/>
      <c r="I43" s="1337"/>
      <c r="J43" s="360"/>
      <c r="K43" s="1337"/>
      <c r="L43" s="360"/>
      <c r="M43" s="1337"/>
      <c r="N43" s="360"/>
      <c r="O43" s="178"/>
    </row>
    <row r="44" spans="1:15" s="1335" customFormat="1" x14ac:dyDescent="0.6">
      <c r="A44" s="1334">
        <f t="shared" si="0"/>
        <v>41</v>
      </c>
      <c r="B44" s="1335" t="s">
        <v>186</v>
      </c>
      <c r="C44" s="1336"/>
      <c r="D44" s="1344"/>
      <c r="E44" s="244"/>
      <c r="F44" s="244"/>
      <c r="G44" s="244"/>
      <c r="H44" s="250"/>
      <c r="I44" s="1337"/>
      <c r="J44" s="360"/>
      <c r="K44" s="1337"/>
      <c r="L44" s="360"/>
      <c r="M44" s="1337"/>
      <c r="N44" s="360"/>
      <c r="O44" s="178"/>
    </row>
    <row r="45" spans="1:15" s="85" customFormat="1" x14ac:dyDescent="0.6">
      <c r="A45" s="60">
        <f t="shared" si="0"/>
        <v>42</v>
      </c>
      <c r="B45" s="85" t="s">
        <v>159</v>
      </c>
      <c r="C45" s="244">
        <v>8098000</v>
      </c>
      <c r="D45" s="248">
        <v>0.9</v>
      </c>
      <c r="E45" s="244">
        <f t="shared" si="1"/>
        <v>7288200</v>
      </c>
      <c r="F45" s="244">
        <f t="shared" si="2"/>
        <v>0</v>
      </c>
      <c r="G45" s="244">
        <f t="shared" si="3"/>
        <v>4496349.1935483869</v>
      </c>
      <c r="H45" s="250">
        <f t="shared" si="4"/>
        <v>2791850.8064516131</v>
      </c>
      <c r="I45" s="178">
        <v>0</v>
      </c>
      <c r="J45" s="360">
        <v>0</v>
      </c>
      <c r="K45" s="178">
        <v>15.3</v>
      </c>
      <c r="L45" s="360">
        <f t="shared" si="6"/>
        <v>0.61693548387096775</v>
      </c>
      <c r="M45" s="178">
        <v>9.5</v>
      </c>
      <c r="N45" s="360">
        <f t="shared" si="7"/>
        <v>0.38306451612903225</v>
      </c>
      <c r="O45" s="178">
        <f t="shared" si="8"/>
        <v>24.8</v>
      </c>
    </row>
    <row r="46" spans="1:15" s="85" customFormat="1" x14ac:dyDescent="0.6">
      <c r="A46" s="60">
        <f t="shared" si="0"/>
        <v>43</v>
      </c>
      <c r="B46" s="85" t="s">
        <v>177</v>
      </c>
      <c r="C46" s="244">
        <v>2195000</v>
      </c>
      <c r="D46" s="248">
        <v>0.9</v>
      </c>
      <c r="E46" s="244">
        <f t="shared" si="1"/>
        <v>1975500</v>
      </c>
      <c r="F46" s="244">
        <f t="shared" si="2"/>
        <v>1532829.4314381271</v>
      </c>
      <c r="G46" s="244">
        <f t="shared" si="3"/>
        <v>330351.17056856188</v>
      </c>
      <c r="H46" s="250">
        <f t="shared" si="4"/>
        <v>112319.39799331104</v>
      </c>
      <c r="I46" s="178">
        <v>23.2</v>
      </c>
      <c r="J46" s="360">
        <f t="shared" si="5"/>
        <v>0.77591973244147161</v>
      </c>
      <c r="K46" s="178">
        <v>5</v>
      </c>
      <c r="L46" s="360">
        <f t="shared" si="6"/>
        <v>0.16722408026755853</v>
      </c>
      <c r="M46" s="178">
        <v>1.7</v>
      </c>
      <c r="N46" s="360">
        <f t="shared" si="7"/>
        <v>5.6856187290969903E-2</v>
      </c>
      <c r="O46" s="178">
        <f t="shared" si="8"/>
        <v>29.9</v>
      </c>
    </row>
    <row r="47" spans="1:15" s="85" customFormat="1" x14ac:dyDescent="0.6">
      <c r="A47" s="60">
        <f t="shared" si="0"/>
        <v>44</v>
      </c>
      <c r="B47" s="85" t="s">
        <v>180</v>
      </c>
      <c r="C47" s="244">
        <v>4005371000</v>
      </c>
      <c r="D47" s="248">
        <v>0.95</v>
      </c>
      <c r="E47" s="244">
        <f t="shared" si="1"/>
        <v>3805102450</v>
      </c>
      <c r="F47" s="244">
        <f t="shared" si="2"/>
        <v>104599924.44852084</v>
      </c>
      <c r="G47" s="244">
        <f t="shared" si="3"/>
        <v>2097236253.0633197</v>
      </c>
      <c r="H47" s="250">
        <f t="shared" si="4"/>
        <v>1603266272.4881597</v>
      </c>
      <c r="I47" s="178">
        <v>471.3</v>
      </c>
      <c r="J47" s="360">
        <f t="shared" si="5"/>
        <v>2.7489384536419206E-2</v>
      </c>
      <c r="K47" s="178">
        <v>9449.6</v>
      </c>
      <c r="L47" s="360">
        <f t="shared" si="6"/>
        <v>0.55116420139050915</v>
      </c>
      <c r="M47" s="178">
        <v>7223.9</v>
      </c>
      <c r="N47" s="360">
        <f t="shared" si="7"/>
        <v>0.42134641407307172</v>
      </c>
      <c r="O47" s="178">
        <f t="shared" si="8"/>
        <v>17144.8</v>
      </c>
    </row>
    <row r="48" spans="1:15" s="85" customFormat="1" x14ac:dyDescent="0.6">
      <c r="A48" s="60">
        <f t="shared" si="0"/>
        <v>45</v>
      </c>
      <c r="B48" s="85" t="s">
        <v>161</v>
      </c>
      <c r="C48" s="244">
        <v>130212000</v>
      </c>
      <c r="D48" s="248">
        <v>0.8</v>
      </c>
      <c r="E48" s="244">
        <f t="shared" si="1"/>
        <v>104169600</v>
      </c>
      <c r="F48" s="244">
        <f t="shared" si="2"/>
        <v>33697357.923008062</v>
      </c>
      <c r="G48" s="244">
        <f t="shared" si="3"/>
        <v>48556524.977618627</v>
      </c>
      <c r="H48" s="250">
        <f t="shared" si="4"/>
        <v>21915717.099373322</v>
      </c>
      <c r="I48" s="178">
        <v>325.2</v>
      </c>
      <c r="J48" s="360">
        <f t="shared" si="5"/>
        <v>0.32348552670844527</v>
      </c>
      <c r="K48" s="178">
        <v>468.6</v>
      </c>
      <c r="L48" s="360">
        <f t="shared" si="6"/>
        <v>0.46612951357803645</v>
      </c>
      <c r="M48" s="178">
        <v>211.5</v>
      </c>
      <c r="N48" s="360">
        <f t="shared" si="7"/>
        <v>0.21038495971351837</v>
      </c>
      <c r="O48" s="178">
        <f t="shared" si="8"/>
        <v>1005.3</v>
      </c>
    </row>
    <row r="49" spans="1:15" s="1335" customFormat="1" x14ac:dyDescent="0.6">
      <c r="A49" s="1334">
        <f t="shared" si="0"/>
        <v>46</v>
      </c>
      <c r="B49" s="1335" t="s">
        <v>156</v>
      </c>
      <c r="C49" s="1336"/>
      <c r="D49" s="1344"/>
      <c r="E49" s="244"/>
      <c r="F49" s="244"/>
      <c r="G49" s="244"/>
      <c r="H49" s="250"/>
      <c r="I49" s="1337"/>
      <c r="J49" s="360"/>
      <c r="K49" s="1337"/>
      <c r="L49" s="360"/>
      <c r="M49" s="1337"/>
      <c r="N49" s="360"/>
      <c r="O49" s="178"/>
    </row>
    <row r="50" spans="1:15" s="85" customFormat="1" x14ac:dyDescent="0.6">
      <c r="A50" s="60">
        <f t="shared" si="0"/>
        <v>47</v>
      </c>
      <c r="B50" s="85" t="s">
        <v>174</v>
      </c>
      <c r="C50" s="244">
        <v>2258000</v>
      </c>
      <c r="D50" s="248">
        <v>0.9</v>
      </c>
      <c r="E50" s="244">
        <f t="shared" si="1"/>
        <v>2032200</v>
      </c>
      <c r="F50" s="244">
        <f t="shared" si="2"/>
        <v>1350059.3851537115</v>
      </c>
      <c r="G50" s="244">
        <f t="shared" si="3"/>
        <v>681632.69182704308</v>
      </c>
      <c r="H50" s="250">
        <f t="shared" si="4"/>
        <v>507.92301924518875</v>
      </c>
      <c r="I50" s="178">
        <v>265.8</v>
      </c>
      <c r="J50" s="360">
        <f t="shared" si="5"/>
        <v>0.66433391652086982</v>
      </c>
      <c r="K50" s="178">
        <v>134.19999999999999</v>
      </c>
      <c r="L50" s="360">
        <f t="shared" si="6"/>
        <v>0.33541614596350905</v>
      </c>
      <c r="M50" s="178">
        <v>0.1</v>
      </c>
      <c r="N50" s="360">
        <f t="shared" si="7"/>
        <v>2.4993751562109475E-4</v>
      </c>
      <c r="O50" s="178">
        <f t="shared" si="8"/>
        <v>400.1</v>
      </c>
    </row>
    <row r="51" spans="1:15" s="1335" customFormat="1" x14ac:dyDescent="0.6">
      <c r="A51" s="1334">
        <f t="shared" si="0"/>
        <v>48</v>
      </c>
      <c r="B51" s="1335" t="s">
        <v>139</v>
      </c>
      <c r="C51" s="1336">
        <v>43893000</v>
      </c>
      <c r="D51" s="1345"/>
      <c r="E51" s="1336"/>
      <c r="F51" s="244"/>
      <c r="G51" s="244"/>
      <c r="H51" s="250"/>
      <c r="I51" s="1337"/>
      <c r="J51" s="1341"/>
      <c r="K51" s="1337"/>
      <c r="L51" s="1341"/>
      <c r="M51" s="1337"/>
      <c r="N51" s="1341"/>
      <c r="O51" s="1337"/>
    </row>
    <row r="52" spans="1:15" s="85" customFormat="1" x14ac:dyDescent="0.6">
      <c r="A52" s="60">
        <f t="shared" si="0"/>
        <v>49</v>
      </c>
      <c r="B52" s="85" t="s">
        <v>148</v>
      </c>
      <c r="C52" s="244">
        <v>668880000</v>
      </c>
      <c r="D52" s="248">
        <v>0.9</v>
      </c>
      <c r="E52" s="244">
        <f t="shared" si="1"/>
        <v>601992000</v>
      </c>
      <c r="F52" s="244">
        <f t="shared" si="2"/>
        <v>362418465.98932326</v>
      </c>
      <c r="G52" s="244">
        <f t="shared" si="3"/>
        <v>232820394.8928633</v>
      </c>
      <c r="H52" s="250">
        <f t="shared" si="4"/>
        <v>6753139.1178134773</v>
      </c>
      <c r="I52" s="178">
        <v>2447.1999999999998</v>
      </c>
      <c r="J52" s="360">
        <f t="shared" si="5"/>
        <v>0.6020320303082487</v>
      </c>
      <c r="K52" s="178">
        <v>1572.1</v>
      </c>
      <c r="L52" s="360">
        <f t="shared" si="6"/>
        <v>0.38674998154936163</v>
      </c>
      <c r="M52" s="178">
        <v>45.6</v>
      </c>
      <c r="N52" s="360">
        <f t="shared" si="7"/>
        <v>1.1217988142389728E-2</v>
      </c>
      <c r="O52" s="178">
        <f t="shared" si="8"/>
        <v>4064.8999999999996</v>
      </c>
    </row>
    <row r="53" spans="1:15" s="1335" customFormat="1" x14ac:dyDescent="0.6">
      <c r="A53" s="1334">
        <f t="shared" si="0"/>
        <v>50</v>
      </c>
      <c r="B53" s="1335" t="s">
        <v>149</v>
      </c>
      <c r="C53" s="1336">
        <v>9263000</v>
      </c>
      <c r="D53" s="1345"/>
      <c r="E53" s="1336"/>
      <c r="F53" s="244"/>
      <c r="G53" s="244"/>
      <c r="H53" s="250"/>
      <c r="I53" s="1337"/>
      <c r="J53" s="1341"/>
      <c r="K53" s="1337"/>
      <c r="L53" s="1341"/>
      <c r="M53" s="1337"/>
      <c r="N53" s="1341"/>
      <c r="O53" s="1337"/>
    </row>
    <row r="54" spans="1:15" s="85" customFormat="1" x14ac:dyDescent="0.6">
      <c r="A54" s="60">
        <f t="shared" si="0"/>
        <v>51</v>
      </c>
      <c r="B54" s="85" t="s">
        <v>169</v>
      </c>
      <c r="C54" s="244">
        <v>883913000</v>
      </c>
      <c r="D54" s="248">
        <v>0.94</v>
      </c>
      <c r="E54" s="244">
        <f t="shared" si="1"/>
        <v>830878220</v>
      </c>
      <c r="F54" s="244">
        <f t="shared" si="2"/>
        <v>602400529.82967389</v>
      </c>
      <c r="G54" s="244">
        <f t="shared" si="3"/>
        <v>182916670.01175427</v>
      </c>
      <c r="H54" s="250">
        <f t="shared" si="4"/>
        <v>45561020.15857175</v>
      </c>
      <c r="I54" s="178">
        <v>6538.2</v>
      </c>
      <c r="J54" s="360">
        <f t="shared" si="5"/>
        <v>0.72501663339986688</v>
      </c>
      <c r="K54" s="178">
        <v>1985.3</v>
      </c>
      <c r="L54" s="360">
        <f t="shared" si="6"/>
        <v>0.22014859170547793</v>
      </c>
      <c r="M54" s="178">
        <v>494.5</v>
      </c>
      <c r="N54" s="360">
        <f t="shared" si="7"/>
        <v>5.4834774894655137E-2</v>
      </c>
      <c r="O54" s="178">
        <f t="shared" si="8"/>
        <v>9018</v>
      </c>
    </row>
    <row r="55" spans="1:15" s="85" customFormat="1" x14ac:dyDescent="0.6">
      <c r="C55" s="244"/>
      <c r="D55" s="248"/>
      <c r="E55" s="244"/>
      <c r="F55" s="244"/>
      <c r="G55" s="244"/>
      <c r="H55" s="250"/>
      <c r="I55" s="178"/>
      <c r="J55" s="360"/>
      <c r="K55" s="178"/>
      <c r="L55" s="360"/>
      <c r="M55" s="178"/>
      <c r="N55" s="360"/>
      <c r="O55" s="178">
        <f t="shared" si="8"/>
        <v>0</v>
      </c>
    </row>
    <row r="56" spans="1:15" s="1298" customFormat="1" x14ac:dyDescent="0.6">
      <c r="B56" s="1298" t="s">
        <v>42</v>
      </c>
      <c r="C56" s="1346">
        <f>SUM(C4:C55)</f>
        <v>12601202000</v>
      </c>
      <c r="D56" s="1347"/>
      <c r="E56" s="1346">
        <f>SUM(E4:E55)</f>
        <v>11753191630</v>
      </c>
      <c r="F56" s="1346">
        <f t="shared" ref="F56:H56" si="9">SUM(F4:F55)</f>
        <v>2041578452.9667115</v>
      </c>
      <c r="G56" s="1346">
        <f t="shared" si="9"/>
        <v>5220902695.0712986</v>
      </c>
      <c r="H56" s="1348">
        <f t="shared" si="9"/>
        <v>4490710481.9619875</v>
      </c>
      <c r="I56" s="1349">
        <f>SUM(I45:I54)+SUM(I28:I40)+SUM(I4:I13)+SUM(I18:I23)</f>
        <v>15244.400000000001</v>
      </c>
      <c r="J56" s="1350"/>
      <c r="K56" s="1349"/>
      <c r="L56" s="1350"/>
      <c r="M56" s="1349"/>
      <c r="N56" s="1350"/>
      <c r="O56" s="1349"/>
    </row>
    <row r="57" spans="1:15" s="85" customFormat="1" x14ac:dyDescent="0.6">
      <c r="C57" s="244">
        <f>SUM(C4:C15)+SUM(C18:C26)+SUM(C28:C50)+C52+C54</f>
        <v>12482972000</v>
      </c>
      <c r="D57" s="248"/>
      <c r="E57" s="1267">
        <f>E56/C56</f>
        <v>0.93270400950639476</v>
      </c>
      <c r="F57" s="244"/>
      <c r="G57" s="244"/>
      <c r="H57" s="250"/>
      <c r="I57" s="178">
        <f>SUM(I4:I54)</f>
        <v>17821</v>
      </c>
      <c r="J57" s="360"/>
      <c r="K57" s="178"/>
      <c r="L57" s="360"/>
      <c r="M57" s="178"/>
      <c r="N57" s="360"/>
      <c r="O57" s="178"/>
    </row>
    <row r="58" spans="1:15" s="167" customFormat="1" ht="15.9" thickBot="1" x14ac:dyDescent="0.65">
      <c r="A58" s="243"/>
      <c r="B58" s="243"/>
      <c r="C58" s="1663">
        <f>C57/C56</f>
        <v>0.99061756172149296</v>
      </c>
      <c r="D58" s="1342"/>
      <c r="E58" s="245"/>
      <c r="F58" s="245"/>
      <c r="G58" s="245"/>
      <c r="H58" s="252"/>
      <c r="I58" s="360">
        <f>I56/I57</f>
        <v>0.85541776555748839</v>
      </c>
      <c r="J58" s="1339"/>
      <c r="K58" s="180"/>
      <c r="L58" s="1339"/>
      <c r="M58" s="180"/>
      <c r="N58" s="1339"/>
      <c r="O58" s="180"/>
    </row>
    <row r="59" spans="1:15" s="167" customFormat="1" ht="15.9" thickTop="1" x14ac:dyDescent="0.6">
      <c r="C59" s="246"/>
      <c r="D59" s="1343"/>
      <c r="E59" s="246"/>
      <c r="F59" s="246"/>
      <c r="G59" s="246"/>
      <c r="H59" s="246"/>
      <c r="I59" s="180"/>
      <c r="J59" s="1339"/>
      <c r="K59" s="180"/>
      <c r="L59" s="1339"/>
      <c r="M59" s="180"/>
      <c r="N59" s="1339"/>
      <c r="O59" s="180"/>
    </row>
    <row r="60" spans="1:15" s="167" customFormat="1" x14ac:dyDescent="0.6">
      <c r="C60" s="246"/>
      <c r="D60" s="1343"/>
      <c r="E60" s="246"/>
      <c r="F60" s="246"/>
      <c r="G60" s="246"/>
      <c r="H60" s="246"/>
      <c r="I60" s="180"/>
      <c r="J60" s="1339"/>
      <c r="K60" s="180"/>
      <c r="L60" s="1339"/>
      <c r="M60" s="180"/>
      <c r="N60" s="1339"/>
      <c r="O60" s="180"/>
    </row>
    <row r="61" spans="1:15" s="167" customFormat="1" x14ac:dyDescent="0.6">
      <c r="B61" s="85"/>
      <c r="C61" s="244"/>
      <c r="D61" s="1351"/>
      <c r="E61" s="244"/>
      <c r="F61" s="246"/>
      <c r="G61" s="246"/>
      <c r="H61" s="246"/>
      <c r="I61" s="180"/>
      <c r="J61" s="1339"/>
      <c r="K61" s="180"/>
      <c r="L61" s="1339"/>
      <c r="M61" s="180"/>
      <c r="N61" s="1339"/>
      <c r="O61" s="18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T83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2.84765625" style="1" customWidth="1"/>
    <col min="3" max="3" width="11.09765625" style="13" bestFit="1" customWidth="1"/>
    <col min="4" max="4" width="11.09765625" style="13" customWidth="1"/>
    <col min="5" max="5" width="11.34765625" style="13" customWidth="1"/>
    <col min="6" max="6" width="9.59765625" style="13" customWidth="1"/>
    <col min="7" max="7" width="10.5" style="13" customWidth="1"/>
    <col min="8" max="8" width="11.09765625" style="13" bestFit="1" customWidth="1"/>
    <col min="9" max="9" width="11.09765625" style="13" customWidth="1"/>
    <col min="10" max="10" width="11.34765625" style="13" customWidth="1"/>
    <col min="11" max="11" width="9.59765625" style="13" customWidth="1"/>
    <col min="12" max="12" width="10.5" style="13" customWidth="1"/>
    <col min="13" max="14" width="18.59765625" style="13" bestFit="1" customWidth="1"/>
    <col min="15" max="16" width="15.09765625" style="3" customWidth="1"/>
    <col min="17" max="17" width="19" style="13" bestFit="1" customWidth="1"/>
    <col min="18" max="18" width="12.34765625" style="55" bestFit="1" customWidth="1"/>
    <col min="19" max="19" width="13.09765625" style="7" bestFit="1" customWidth="1"/>
    <col min="20" max="20" width="11.5" style="1" bestFit="1" customWidth="1"/>
    <col min="21" max="21" width="11.34765625" style="10" bestFit="1" customWidth="1"/>
    <col min="22" max="22" width="11.09765625" style="812" bestFit="1" customWidth="1"/>
    <col min="23" max="23" width="9.34765625" style="506" bestFit="1" customWidth="1"/>
    <col min="24" max="24" width="9.5" style="28" customWidth="1"/>
    <col min="25" max="25" width="9.09765625" style="331" bestFit="1" customWidth="1"/>
    <col min="26" max="26" width="8.84765625" style="10" bestFit="1" customWidth="1"/>
    <col min="27" max="27" width="9.34765625" style="10" bestFit="1" customWidth="1"/>
    <col min="28" max="28" width="9.59765625" style="271" bestFit="1" customWidth="1"/>
    <col min="29" max="29" width="7.84765625" style="10" customWidth="1"/>
    <col min="30" max="30" width="16.59765625" style="70" customWidth="1"/>
    <col min="31" max="31" width="15.84765625" style="57" customWidth="1"/>
    <col min="32" max="32" width="15" style="17" bestFit="1" customWidth="1"/>
    <col min="33" max="33" width="14" style="17" bestFit="1" customWidth="1"/>
    <col min="34" max="34" width="10.59765625" style="10" bestFit="1" customWidth="1"/>
    <col min="35" max="35" width="17.5" style="17" bestFit="1" customWidth="1"/>
    <col min="36" max="39" width="10.84765625" style="1"/>
    <col min="40" max="40" width="16.5" style="1" bestFit="1" customWidth="1"/>
    <col min="41" max="41" width="18.09765625" style="1" bestFit="1" customWidth="1"/>
    <col min="42" max="42" width="10.84765625" style="71"/>
    <col min="43" max="43" width="10.84765625" style="1"/>
    <col min="44" max="44" width="15" style="1" bestFit="1" customWidth="1"/>
    <col min="45" max="45" width="10.84765625" style="1"/>
    <col min="46" max="46" width="16.5" style="1" bestFit="1" customWidth="1"/>
    <col min="47" max="16384" width="10.84765625" style="1"/>
  </cols>
  <sheetData>
    <row r="1" spans="1:46" x14ac:dyDescent="0.6">
      <c r="A1" s="24" t="s">
        <v>45</v>
      </c>
      <c r="E1" s="14" t="s">
        <v>1529</v>
      </c>
      <c r="J1" s="14" t="s">
        <v>1530</v>
      </c>
      <c r="M1" s="19"/>
      <c r="N1" s="19" t="s">
        <v>42</v>
      </c>
      <c r="O1" s="486"/>
      <c r="P1" s="486"/>
      <c r="Q1" s="27"/>
      <c r="R1" s="107"/>
    </row>
    <row r="2" spans="1:46" s="2" customFormat="1" x14ac:dyDescent="0.6">
      <c r="C2" s="14"/>
      <c r="D2" s="14"/>
      <c r="E2" s="19" t="s">
        <v>1522</v>
      </c>
      <c r="F2" s="14"/>
      <c r="G2" s="14"/>
      <c r="H2" s="14"/>
      <c r="I2" s="14"/>
      <c r="J2" s="19" t="s">
        <v>1522</v>
      </c>
      <c r="K2" s="14"/>
      <c r="L2" s="14"/>
      <c r="M2" s="14" t="s">
        <v>1097</v>
      </c>
      <c r="N2" s="14" t="s">
        <v>1544</v>
      </c>
      <c r="O2" s="460" t="s">
        <v>663</v>
      </c>
      <c r="P2" s="460" t="s">
        <v>663</v>
      </c>
      <c r="Q2" s="14" t="s">
        <v>25</v>
      </c>
      <c r="R2" s="56"/>
      <c r="S2" s="8"/>
      <c r="T2" s="11" t="s">
        <v>638</v>
      </c>
      <c r="U2" s="11" t="s">
        <v>638</v>
      </c>
      <c r="V2" s="813" t="s">
        <v>675</v>
      </c>
      <c r="W2" s="508" t="s">
        <v>627</v>
      </c>
      <c r="X2" s="71" t="s">
        <v>194</v>
      </c>
      <c r="Y2" s="332" t="s">
        <v>194</v>
      </c>
      <c r="Z2" s="11" t="s">
        <v>194</v>
      </c>
      <c r="AA2" s="11" t="s">
        <v>650</v>
      </c>
      <c r="AB2" s="272" t="s">
        <v>397</v>
      </c>
      <c r="AC2" s="11" t="s">
        <v>42</v>
      </c>
      <c r="AD2" s="114"/>
      <c r="AE2" s="58" t="s">
        <v>45</v>
      </c>
      <c r="AF2" s="18" t="s">
        <v>42</v>
      </c>
      <c r="AG2" s="18"/>
      <c r="AH2" s="11" t="s">
        <v>645</v>
      </c>
      <c r="AI2" s="18"/>
      <c r="AK2" s="83" t="s">
        <v>536</v>
      </c>
      <c r="AL2" s="10"/>
      <c r="AM2" s="28"/>
      <c r="AN2" s="13"/>
      <c r="AO2" s="460"/>
      <c r="AP2" s="71" t="s">
        <v>79</v>
      </c>
      <c r="AQ2" s="2" t="s">
        <v>79</v>
      </c>
      <c r="AR2" s="2" t="s">
        <v>42</v>
      </c>
    </row>
    <row r="3" spans="1:46" s="2" customFormat="1" x14ac:dyDescent="0.6">
      <c r="C3" s="14" t="s">
        <v>117</v>
      </c>
      <c r="D3" s="14" t="s">
        <v>1446</v>
      </c>
      <c r="E3" s="14" t="s">
        <v>118</v>
      </c>
      <c r="F3" s="14" t="s">
        <v>119</v>
      </c>
      <c r="G3" s="14" t="s">
        <v>120</v>
      </c>
      <c r="H3" s="14" t="s">
        <v>117</v>
      </c>
      <c r="I3" s="14" t="s">
        <v>1446</v>
      </c>
      <c r="J3" s="14" t="s">
        <v>118</v>
      </c>
      <c r="K3" s="14" t="s">
        <v>119</v>
      </c>
      <c r="L3" s="14" t="s">
        <v>120</v>
      </c>
      <c r="M3" s="14" t="s">
        <v>121</v>
      </c>
      <c r="N3" s="14" t="s">
        <v>121</v>
      </c>
      <c r="O3" s="460" t="s">
        <v>669</v>
      </c>
      <c r="P3" s="460" t="s">
        <v>664</v>
      </c>
      <c r="Q3" s="14" t="s">
        <v>109</v>
      </c>
      <c r="R3" s="56" t="s">
        <v>41</v>
      </c>
      <c r="S3" s="8" t="s">
        <v>635</v>
      </c>
      <c r="T3" s="11" t="s">
        <v>649</v>
      </c>
      <c r="U3" s="11" t="s">
        <v>846</v>
      </c>
      <c r="V3" s="813" t="s">
        <v>1353</v>
      </c>
      <c r="W3" s="508" t="s">
        <v>606</v>
      </c>
      <c r="X3" s="71" t="s">
        <v>84</v>
      </c>
      <c r="Y3" s="332" t="s">
        <v>651</v>
      </c>
      <c r="Z3" s="11" t="s">
        <v>652</v>
      </c>
      <c r="AA3" s="11" t="s">
        <v>403</v>
      </c>
      <c r="AB3" s="272" t="s">
        <v>79</v>
      </c>
      <c r="AC3" s="11" t="s">
        <v>198</v>
      </c>
      <c r="AD3" s="114" t="s">
        <v>602</v>
      </c>
      <c r="AE3" s="58" t="s">
        <v>76</v>
      </c>
      <c r="AF3" s="18" t="s">
        <v>77</v>
      </c>
      <c r="AG3" s="18" t="s">
        <v>34</v>
      </c>
      <c r="AH3" s="11" t="s">
        <v>846</v>
      </c>
      <c r="AI3" s="18" t="s">
        <v>642</v>
      </c>
      <c r="AK3" s="1390" t="s">
        <v>1338</v>
      </c>
      <c r="AL3" s="1391"/>
      <c r="AM3" s="1391"/>
      <c r="AN3" s="1391">
        <v>3405629000</v>
      </c>
      <c r="AO3" s="460" t="s">
        <v>1349</v>
      </c>
      <c r="AP3" s="71" t="s">
        <v>1350</v>
      </c>
      <c r="AQ3" s="2" t="s">
        <v>1132</v>
      </c>
      <c r="AR3" s="2" t="s">
        <v>85</v>
      </c>
      <c r="AS3" s="2" t="s">
        <v>1351</v>
      </c>
      <c r="AT3" s="2" t="s">
        <v>1352</v>
      </c>
    </row>
    <row r="4" spans="1:46" x14ac:dyDescent="0.6">
      <c r="A4" s="61">
        <v>1</v>
      </c>
      <c r="B4" s="44" t="s">
        <v>37</v>
      </c>
      <c r="C4" s="290">
        <v>139</v>
      </c>
      <c r="D4" s="290">
        <v>17879</v>
      </c>
      <c r="E4" s="290">
        <v>19397</v>
      </c>
      <c r="F4" s="290">
        <v>6281</v>
      </c>
      <c r="G4" s="961">
        <v>438</v>
      </c>
      <c r="H4" s="1455">
        <f>929+106</f>
        <v>1035</v>
      </c>
      <c r="I4" s="1449">
        <v>0</v>
      </c>
      <c r="J4" s="1449">
        <f>245498+12715</f>
        <v>258213</v>
      </c>
      <c r="K4" s="1449">
        <f>350586+2526</f>
        <v>353112</v>
      </c>
      <c r="L4" s="1449">
        <f>60359+5</f>
        <v>60364</v>
      </c>
      <c r="M4" s="290">
        <f>((H4)*Assumptions!$C$81+(I4)*Assumptions!$C$82+(J4)*Assumptions!$C$83+(K4)*Assumptions!$C$84+(L4)*Assumptions!$C$85)*1000</f>
        <v>14405368243.999998</v>
      </c>
      <c r="N4" s="290">
        <f>((C4+H4)*Assumptions!$C$81+(D4+I4)*Assumptions!$C$82+(E4+J4)*Assumptions!$C$83+(F4+K4)*Assumptions!$C$84+(G4+L4)*Assumptions!$C$85)*1000</f>
        <v>15556876316</v>
      </c>
      <c r="O4" s="487">
        <f>(IF(N4=0,0,(N4/SUM(C4:L4)/1000)))</f>
        <v>21.701475488869484</v>
      </c>
      <c r="P4" s="487">
        <f>O4*8</f>
        <v>173.61180391095587</v>
      </c>
      <c r="Q4" s="345">
        <f>N4*1000000/Assumptions!$C$8</f>
        <v>124455010528</v>
      </c>
      <c r="R4" s="399">
        <v>1</v>
      </c>
      <c r="S4" s="297">
        <f>Assumptions!$C$54</f>
        <v>0.13175999999999999</v>
      </c>
      <c r="T4" s="389"/>
      <c r="U4" s="301">
        <f>2.34/8</f>
        <v>0.29249999999999998</v>
      </c>
      <c r="V4" s="87"/>
      <c r="W4" s="306"/>
      <c r="X4" s="322"/>
      <c r="Y4" s="329">
        <f>X4*U4</f>
        <v>0</v>
      </c>
      <c r="Z4" s="313">
        <f>-'State gasoline'!AA60</f>
        <v>0</v>
      </c>
      <c r="AA4" s="313"/>
      <c r="AB4" s="314">
        <f>-Z4*Q4</f>
        <v>0</v>
      </c>
      <c r="AC4" s="41"/>
      <c r="AD4" s="366">
        <f>'State Sev Tax'!F56</f>
        <v>2041578452.9667115</v>
      </c>
      <c r="AE4" s="337">
        <f>-'OECD coal subsidies'!C3</f>
        <v>-1352550400</v>
      </c>
      <c r="AF4" s="342">
        <f>AE4*R4</f>
        <v>-1352550400</v>
      </c>
      <c r="AG4" s="111">
        <f>AD4+AF4</f>
        <v>689028052.96671152</v>
      </c>
      <c r="AH4" s="281">
        <f>U4+W4</f>
        <v>0.29249999999999998</v>
      </c>
      <c r="AI4" s="342">
        <f>AH4*Q4+AF4</f>
        <v>35050540179.439995</v>
      </c>
      <c r="AK4" s="411"/>
      <c r="AL4" s="1389" t="s">
        <v>1335</v>
      </c>
      <c r="AM4" s="239">
        <v>0.28999999999999998</v>
      </c>
      <c r="AN4" s="13">
        <f t="shared" ref="AN4:AN14" si="0">AM4*$AN$3</f>
        <v>987632409.99999988</v>
      </c>
      <c r="AO4" s="1393">
        <f>AM17*AM18</f>
        <v>213.5</v>
      </c>
      <c r="AP4" s="71">
        <v>0.06</v>
      </c>
      <c r="AQ4" s="1392">
        <f>AP4*AO4</f>
        <v>12.809999999999999</v>
      </c>
      <c r="AR4" s="217">
        <f>AQ4*AN4</f>
        <v>12651571172.099997</v>
      </c>
    </row>
    <row r="5" spans="1:46" s="2" customFormat="1" x14ac:dyDescent="0.6">
      <c r="A5" s="46"/>
      <c r="B5" s="40" t="s">
        <v>35</v>
      </c>
      <c r="C5" s="288"/>
      <c r="D5" s="288"/>
      <c r="E5" s="288"/>
      <c r="F5" s="288"/>
      <c r="G5" s="1454"/>
      <c r="H5" s="1456"/>
      <c r="I5" s="1450"/>
      <c r="J5" s="1450"/>
      <c r="K5" s="1450"/>
      <c r="L5" s="1450"/>
      <c r="M5" s="356"/>
      <c r="N5" s="356"/>
      <c r="O5" s="488"/>
      <c r="P5" s="488"/>
      <c r="Q5" s="346"/>
      <c r="R5" s="418"/>
      <c r="S5" s="298"/>
      <c r="T5" s="385"/>
      <c r="U5" s="302"/>
      <c r="V5" s="426"/>
      <c r="W5" s="511"/>
      <c r="X5" s="315"/>
      <c r="Y5" s="333"/>
      <c r="Z5" s="316"/>
      <c r="AA5" s="316"/>
      <c r="AB5" s="317"/>
      <c r="AC5" s="30"/>
      <c r="AD5" s="367"/>
      <c r="AE5" s="338"/>
      <c r="AF5" s="342"/>
      <c r="AG5" s="165"/>
      <c r="AH5" s="316"/>
      <c r="AI5" s="343"/>
      <c r="AK5" s="411"/>
      <c r="AL5" s="1389" t="s">
        <v>1334</v>
      </c>
      <c r="AM5" s="239">
        <v>0.27</v>
      </c>
      <c r="AN5" s="13">
        <f t="shared" si="0"/>
        <v>919519830.00000012</v>
      </c>
      <c r="AO5" s="1393">
        <f>AO4</f>
        <v>213.5</v>
      </c>
      <c r="AP5" s="71">
        <v>0.06</v>
      </c>
      <c r="AQ5" s="1392">
        <f t="shared" ref="AQ5:AQ14" si="1">AP5*AO5</f>
        <v>12.809999999999999</v>
      </c>
      <c r="AR5" s="217">
        <f t="shared" ref="AR5:AR14" si="2">AQ5*AN5</f>
        <v>11779049022.300001</v>
      </c>
    </row>
    <row r="6" spans="1:46" x14ac:dyDescent="0.6">
      <c r="A6" s="46">
        <f>A4+1</f>
        <v>2</v>
      </c>
      <c r="B6" s="44" t="s">
        <v>0</v>
      </c>
      <c r="C6" s="290">
        <v>225</v>
      </c>
      <c r="D6" s="290">
        <f>1668+204</f>
        <v>1872</v>
      </c>
      <c r="E6" s="290">
        <v>277</v>
      </c>
      <c r="F6" s="290">
        <v>0</v>
      </c>
      <c r="G6" s="961">
        <v>0</v>
      </c>
      <c r="H6" s="1455">
        <v>0</v>
      </c>
      <c r="I6" s="1449">
        <v>0</v>
      </c>
      <c r="J6" s="1449">
        <f>760+15</f>
        <v>775</v>
      </c>
      <c r="K6" s="1449">
        <v>0</v>
      </c>
      <c r="L6" s="1449">
        <v>0</v>
      </c>
      <c r="M6" s="290">
        <f>((H6)*Assumptions!$C$81+(I6)*Assumptions!$C$82+(J6)*Assumptions!$C$83+(K6)*Assumptions!$C$84+(L6)*Assumptions!$C$85)*1000</f>
        <v>20497200</v>
      </c>
      <c r="N6" s="290">
        <f>((C6+H6)*Assumptions!$C$81+(D6+I6)*Assumptions!$C$82+(E6+J6)*Assumptions!$C$83+(F6+K6)*Assumptions!$C$84+(G6+L6)*Assumptions!$C$85)*1000</f>
        <v>87678156</v>
      </c>
      <c r="O6" s="487">
        <f t="shared" ref="O6:O26" si="3">(IF(N6=0,0,(N6/SUM(C6:L6)/1000)))</f>
        <v>27.843174341060653</v>
      </c>
      <c r="P6" s="487">
        <f t="shared" ref="P6:P65" si="4">O6*8</f>
        <v>222.74539472848522</v>
      </c>
      <c r="Q6" s="345">
        <f>N6*1000000/Assumptions!$C$8</f>
        <v>701425248</v>
      </c>
      <c r="R6" s="391">
        <f>Assumptions!$H$3</f>
        <v>1.1863330000000001</v>
      </c>
      <c r="S6" s="297">
        <f>Assumptions!$C$54</f>
        <v>0.13175999999999999</v>
      </c>
      <c r="T6" s="422"/>
      <c r="U6" s="1077">
        <f>Assumptions!$G$106</f>
        <v>0.45372050816696913</v>
      </c>
      <c r="V6" s="472">
        <v>0.31</v>
      </c>
      <c r="W6" s="306">
        <f>V6*S6*R6</f>
        <v>4.8456483184799996E-2</v>
      </c>
      <c r="X6" s="325"/>
      <c r="Y6" s="329"/>
      <c r="Z6" s="281"/>
      <c r="AA6" s="281">
        <f>Z6+Y6</f>
        <v>0</v>
      </c>
      <c r="AB6" s="314">
        <f t="shared" ref="AB6:AB26" si="5">Y6*Q6</f>
        <v>0</v>
      </c>
      <c r="AC6" s="34">
        <f t="shared" ref="AC6:AC34" si="6">AB6+W6</f>
        <v>4.8456483184799996E-2</v>
      </c>
      <c r="AD6" s="366">
        <f t="shared" ref="AD6:AD26" si="7">Q6*AC6</f>
        <v>33988600.73510617</v>
      </c>
      <c r="AE6" s="336">
        <f>-'OECD coal subsidies'!C105</f>
        <v>0</v>
      </c>
      <c r="AF6" s="342">
        <f t="shared" ref="AF6:AF26" si="8">AE6*R6</f>
        <v>0</v>
      </c>
      <c r="AG6" s="111">
        <f t="shared" ref="AG6:AG26" si="9">AD6+AF6</f>
        <v>33988600.73510617</v>
      </c>
      <c r="AH6" s="281">
        <f t="shared" ref="AH6:AH26" si="10">U6+W6</f>
        <v>0.50217699135176908</v>
      </c>
      <c r="AI6" s="342">
        <f t="shared" ref="AI6:AI26" si="11">AH6*Q6+AF6</f>
        <v>352239620.69880849</v>
      </c>
      <c r="AK6" s="411"/>
      <c r="AL6" s="1389" t="s">
        <v>1336</v>
      </c>
      <c r="AM6" s="239">
        <v>0.15</v>
      </c>
      <c r="AN6" s="13">
        <f t="shared" si="0"/>
        <v>510844350</v>
      </c>
      <c r="AO6" s="1393">
        <f t="shared" ref="AO6:AO14" si="12">AO5</f>
        <v>213.5</v>
      </c>
      <c r="AP6" s="71">
        <v>0.06</v>
      </c>
      <c r="AQ6" s="1392">
        <f t="shared" si="1"/>
        <v>12.809999999999999</v>
      </c>
      <c r="AR6" s="217">
        <f t="shared" si="2"/>
        <v>6543916123.499999</v>
      </c>
    </row>
    <row r="7" spans="1:46" x14ac:dyDescent="0.6">
      <c r="A7" s="46">
        <f>A6+1</f>
        <v>3</v>
      </c>
      <c r="B7" s="44" t="s">
        <v>1</v>
      </c>
      <c r="C7" s="290">
        <v>45</v>
      </c>
      <c r="D7" s="290">
        <v>3039</v>
      </c>
      <c r="E7" s="290">
        <v>598</v>
      </c>
      <c r="F7" s="290">
        <v>0</v>
      </c>
      <c r="G7" s="961">
        <v>776</v>
      </c>
      <c r="H7" s="1455">
        <v>0</v>
      </c>
      <c r="I7" s="1449">
        <v>0</v>
      </c>
      <c r="J7" s="1449">
        <v>3605</v>
      </c>
      <c r="K7" s="1449">
        <v>0</v>
      </c>
      <c r="L7" s="1449">
        <f>7268+25930</f>
        <v>33198</v>
      </c>
      <c r="M7" s="290">
        <f>((H7)*Assumptions!$C$81+(I7)*Assumptions!$C$82+(J7)*Assumptions!$C$83+(K7)*Assumptions!$C$84+(L7)*Assumptions!$C$85)*1000</f>
        <v>607523784</v>
      </c>
      <c r="N7" s="290">
        <f>((C7+H7)*Assumptions!$C$81+(D7+I7)*Assumptions!$C$82+(E7+J7)*Assumptions!$C$83+(F7+K7)*Assumptions!$C$84+(G7+L7)*Assumptions!$C$85)*1000</f>
        <v>723303826</v>
      </c>
      <c r="O7" s="487">
        <f t="shared" si="3"/>
        <v>17.529963549114175</v>
      </c>
      <c r="P7" s="487">
        <f t="shared" si="4"/>
        <v>140.2397083929134</v>
      </c>
      <c r="Q7" s="345">
        <f>N7*1000000/Assumptions!$C$8</f>
        <v>5786430608</v>
      </c>
      <c r="R7" s="391">
        <f>Assumptions!$H$15</f>
        <v>4.5997000000000003E-2</v>
      </c>
      <c r="S7" s="297">
        <f>Assumptions!$C$54</f>
        <v>0.13175999999999999</v>
      </c>
      <c r="T7" s="386"/>
      <c r="U7" s="1077">
        <f>Assumptions!$G$106</f>
        <v>0.45372050816696913</v>
      </c>
      <c r="V7" s="513">
        <v>8.5</v>
      </c>
      <c r="W7" s="306">
        <f t="shared" ref="W7:W25" si="13">V7*S7*R7</f>
        <v>5.1514800119999996E-2</v>
      </c>
      <c r="X7" s="325"/>
      <c r="Y7" s="329"/>
      <c r="Z7" s="281"/>
      <c r="AA7" s="281">
        <f t="shared" ref="AA7:AA39" si="14">Z7+Y7</f>
        <v>0</v>
      </c>
      <c r="AB7" s="314">
        <f t="shared" si="5"/>
        <v>0</v>
      </c>
      <c r="AC7" s="34">
        <f t="shared" si="6"/>
        <v>5.1514800119999996E-2</v>
      </c>
      <c r="AD7" s="366">
        <f t="shared" si="7"/>
        <v>298086816.17937005</v>
      </c>
      <c r="AE7" s="336">
        <f>-'OECD coal subsidies'!C119</f>
        <v>-878253790</v>
      </c>
      <c r="AF7" s="342">
        <f t="shared" si="8"/>
        <v>-40397039.57863</v>
      </c>
      <c r="AG7" s="111">
        <f t="shared" si="9"/>
        <v>257689776.60074005</v>
      </c>
      <c r="AH7" s="281">
        <f t="shared" si="10"/>
        <v>0.50523530828696916</v>
      </c>
      <c r="AI7" s="342">
        <f t="shared" si="11"/>
        <v>2883112012.5354047</v>
      </c>
      <c r="AK7" s="411"/>
      <c r="AL7" s="1389" t="s">
        <v>1337</v>
      </c>
      <c r="AM7" s="239">
        <v>0.06</v>
      </c>
      <c r="AN7" s="13">
        <f t="shared" si="0"/>
        <v>204337740</v>
      </c>
      <c r="AO7" s="1393">
        <f t="shared" si="12"/>
        <v>213.5</v>
      </c>
      <c r="AP7" s="71">
        <v>0.02</v>
      </c>
      <c r="AQ7" s="1392">
        <f t="shared" si="1"/>
        <v>4.2700000000000005</v>
      </c>
      <c r="AR7" s="217">
        <f t="shared" si="2"/>
        <v>872522149.80000007</v>
      </c>
    </row>
    <row r="8" spans="1:46" x14ac:dyDescent="0.6">
      <c r="A8" s="46">
        <f t="shared" ref="A8:A26" si="15">A7+1</f>
        <v>4</v>
      </c>
      <c r="B8" s="44" t="s">
        <v>2</v>
      </c>
      <c r="C8" s="290">
        <v>0</v>
      </c>
      <c r="D8" s="290">
        <v>0</v>
      </c>
      <c r="E8" s="290">
        <v>181</v>
      </c>
      <c r="F8" s="290">
        <v>0</v>
      </c>
      <c r="G8" s="961">
        <v>0</v>
      </c>
      <c r="H8" s="1455">
        <v>0</v>
      </c>
      <c r="I8" s="1449">
        <v>0</v>
      </c>
      <c r="J8" s="1449">
        <v>2962</v>
      </c>
      <c r="K8" s="1449">
        <v>0</v>
      </c>
      <c r="L8" s="1449">
        <v>0</v>
      </c>
      <c r="M8" s="290">
        <f>((H8)*Assumptions!$C$81+(I8)*Assumptions!$C$82+(J8)*Assumptions!$C$83+(K8)*Assumptions!$C$84+(L8)*Assumptions!$C$85)*1000</f>
        <v>78338976</v>
      </c>
      <c r="N8" s="290">
        <f>((C8+H8)*Assumptions!$C$81+(D8+I8)*Assumptions!$C$82+(E8+J8)*Assumptions!$C$83+(F8+K8)*Assumptions!$C$84+(G8+L8)*Assumptions!$C$85)*1000</f>
        <v>83126064</v>
      </c>
      <c r="O8" s="487">
        <f t="shared" si="3"/>
        <v>26.448</v>
      </c>
      <c r="P8" s="487">
        <f t="shared" si="4"/>
        <v>211.584</v>
      </c>
      <c r="Q8" s="345">
        <f>N8*1000000/Assumptions!$C$8</f>
        <v>665008512</v>
      </c>
      <c r="R8" s="391">
        <f>Assumptions!$H$16</f>
        <v>0.15934999999999999</v>
      </c>
      <c r="S8" s="297">
        <f>Assumptions!$C$54</f>
        <v>0.13175999999999999</v>
      </c>
      <c r="T8" s="423"/>
      <c r="U8" s="1077">
        <f>Assumptions!$G$106</f>
        <v>0.45372050816696913</v>
      </c>
      <c r="V8" s="814">
        <v>70.599999999999994</v>
      </c>
      <c r="W8" s="306">
        <f t="shared" si="13"/>
        <v>1.4823144935999997</v>
      </c>
      <c r="X8" s="325"/>
      <c r="Y8" s="329"/>
      <c r="Z8" s="281"/>
      <c r="AA8" s="281">
        <f t="shared" si="14"/>
        <v>0</v>
      </c>
      <c r="AB8" s="314">
        <f t="shared" si="5"/>
        <v>0</v>
      </c>
      <c r="AC8" s="34">
        <f t="shared" si="6"/>
        <v>1.4823144935999997</v>
      </c>
      <c r="AD8" s="366">
        <f t="shared" si="7"/>
        <v>985751755.70496929</v>
      </c>
      <c r="AE8" s="336">
        <f>-'OECD coal subsidies'!C148</f>
        <v>0</v>
      </c>
      <c r="AF8" s="342">
        <f t="shared" si="8"/>
        <v>0</v>
      </c>
      <c r="AG8" s="111">
        <f t="shared" si="9"/>
        <v>985751755.70496929</v>
      </c>
      <c r="AH8" s="281">
        <f t="shared" si="10"/>
        <v>1.9360350017669687</v>
      </c>
      <c r="AI8" s="342">
        <f t="shared" si="11"/>
        <v>1287479755.7049692</v>
      </c>
      <c r="AK8" s="13"/>
      <c r="AL8" s="1389" t="s">
        <v>1339</v>
      </c>
      <c r="AM8" s="239">
        <v>0.04</v>
      </c>
      <c r="AN8" s="13">
        <f t="shared" si="0"/>
        <v>136225160</v>
      </c>
      <c r="AO8" s="1393">
        <f t="shared" si="12"/>
        <v>213.5</v>
      </c>
      <c r="AP8" s="71">
        <f>AP7</f>
        <v>0.02</v>
      </c>
      <c r="AQ8" s="1392">
        <f t="shared" si="1"/>
        <v>4.2700000000000005</v>
      </c>
      <c r="AR8" s="217">
        <f t="shared" si="2"/>
        <v>581681433.20000005</v>
      </c>
    </row>
    <row r="9" spans="1:46" x14ac:dyDescent="0.6">
      <c r="A9" s="46">
        <f t="shared" si="15"/>
        <v>5</v>
      </c>
      <c r="B9" s="44" t="s">
        <v>3</v>
      </c>
      <c r="C9" s="290">
        <v>1233</v>
      </c>
      <c r="D9" s="290">
        <v>11440</v>
      </c>
      <c r="E9" s="290">
        <v>2262</v>
      </c>
      <c r="F9" s="290">
        <v>0</v>
      </c>
      <c r="G9" s="961">
        <v>550</v>
      </c>
      <c r="H9" s="1455">
        <f>1888+373</f>
        <v>2261</v>
      </c>
      <c r="I9" s="1449">
        <f>230+46</f>
        <v>276</v>
      </c>
      <c r="J9" s="1449">
        <f>32134+6562</f>
        <v>38696</v>
      </c>
      <c r="K9" s="1449">
        <v>0</v>
      </c>
      <c r="L9" s="1449">
        <f>154374+7292</f>
        <v>161666</v>
      </c>
      <c r="M9" s="290">
        <f>((H9)*Assumptions!$C$81+(I9)*Assumptions!$C$82+(J9)*Assumptions!$C$83+(K9)*Assumptions!$C$84+(L9)*Assumptions!$C$85)*1000</f>
        <v>3590271308</v>
      </c>
      <c r="N9" s="290">
        <f>((C9+H9)*Assumptions!$C$81+(D9+I9)*Assumptions!$C$82+(E9+J9)*Assumptions!$C$83+(F9+K9)*Assumptions!$C$84+(G9+L9)*Assumptions!$C$85)*1000</f>
        <v>4020293200</v>
      </c>
      <c r="O9" s="487">
        <f t="shared" si="3"/>
        <v>18.409284562971646</v>
      </c>
      <c r="P9" s="487">
        <f t="shared" si="4"/>
        <v>147.27427650377317</v>
      </c>
      <c r="Q9" s="345">
        <f>N9*1000000/Assumptions!$C$8</f>
        <v>32162345600</v>
      </c>
      <c r="R9" s="391">
        <f>Assumptions!$H$3</f>
        <v>1.1863330000000001</v>
      </c>
      <c r="S9" s="297">
        <f>Assumptions!$C$54</f>
        <v>0.13175999999999999</v>
      </c>
      <c r="T9" s="422">
        <f>74.45+4</f>
        <v>78.45</v>
      </c>
      <c r="U9" s="458">
        <f>T9/P9*R9</f>
        <v>0.63193536617112911</v>
      </c>
      <c r="V9" s="472">
        <v>0.3</v>
      </c>
      <c r="W9" s="306">
        <f t="shared" si="13"/>
        <v>4.6893370823999997E-2</v>
      </c>
      <c r="X9" s="325"/>
      <c r="Y9" s="329"/>
      <c r="Z9" s="281"/>
      <c r="AA9" s="281">
        <f t="shared" si="14"/>
        <v>0</v>
      </c>
      <c r="AB9" s="314">
        <f t="shared" si="5"/>
        <v>0</v>
      </c>
      <c r="AC9" s="34">
        <f t="shared" si="6"/>
        <v>4.6893370823999997E-2</v>
      </c>
      <c r="AD9" s="366">
        <f t="shared" si="7"/>
        <v>1508200798.7904446</v>
      </c>
      <c r="AE9" s="336">
        <f>-'OECD coal subsidies'!C153</f>
        <v>-258051630</v>
      </c>
      <c r="AF9" s="342">
        <f t="shared" si="8"/>
        <v>-306135164.37279004</v>
      </c>
      <c r="AG9" s="111">
        <f t="shared" si="9"/>
        <v>1202065634.4176545</v>
      </c>
      <c r="AH9" s="281">
        <f t="shared" si="10"/>
        <v>0.67882873699512913</v>
      </c>
      <c r="AI9" s="342">
        <f t="shared" si="11"/>
        <v>21526589278.076057</v>
      </c>
      <c r="AK9" s="13"/>
      <c r="AL9" s="1389" t="s">
        <v>1340</v>
      </c>
      <c r="AM9" s="239">
        <v>0.04</v>
      </c>
      <c r="AN9" s="13">
        <f t="shared" si="0"/>
        <v>136225160</v>
      </c>
      <c r="AO9" s="1393">
        <f t="shared" si="12"/>
        <v>213.5</v>
      </c>
      <c r="AP9" s="71">
        <f t="shared" ref="AP9:AP14" si="16">AP8</f>
        <v>0.02</v>
      </c>
      <c r="AQ9" s="1392">
        <f t="shared" si="1"/>
        <v>4.2700000000000005</v>
      </c>
      <c r="AR9" s="217">
        <f t="shared" si="2"/>
        <v>581681433.20000005</v>
      </c>
    </row>
    <row r="10" spans="1:46" x14ac:dyDescent="0.6">
      <c r="A10" s="46">
        <f t="shared" si="15"/>
        <v>6</v>
      </c>
      <c r="B10" s="44" t="s">
        <v>4</v>
      </c>
      <c r="C10" s="290">
        <v>0</v>
      </c>
      <c r="D10" s="290">
        <v>0</v>
      </c>
      <c r="E10" s="290">
        <v>26</v>
      </c>
      <c r="F10" s="290">
        <v>0</v>
      </c>
      <c r="G10" s="961">
        <v>0</v>
      </c>
      <c r="H10" s="1455">
        <v>0</v>
      </c>
      <c r="I10" s="1449">
        <v>0</v>
      </c>
      <c r="J10" s="1449">
        <f>11470+608</f>
        <v>12078</v>
      </c>
      <c r="K10" s="1449">
        <v>0</v>
      </c>
      <c r="L10" s="1449">
        <v>0</v>
      </c>
      <c r="M10" s="290">
        <f>((H10)*Assumptions!$C$81+(I10)*Assumptions!$C$82+(J10)*Assumptions!$C$83+(K10)*Assumptions!$C$84+(L10)*Assumptions!$C$85)*1000</f>
        <v>319438944</v>
      </c>
      <c r="N10" s="290">
        <f>((C10+H10)*Assumptions!$C$81+(D10+I10)*Assumptions!$C$82+(E10+J10)*Assumptions!$C$83+(F10+K10)*Assumptions!$C$84+(G10+L10)*Assumptions!$C$85)*1000</f>
        <v>320126592</v>
      </c>
      <c r="O10" s="487">
        <f t="shared" si="3"/>
        <v>26.448</v>
      </c>
      <c r="P10" s="487">
        <f t="shared" si="4"/>
        <v>211.584</v>
      </c>
      <c r="Q10" s="345">
        <f>N10*1000000/Assumptions!$C$8</f>
        <v>2561012736</v>
      </c>
      <c r="R10" s="391">
        <f>Assumptions!$H$3</f>
        <v>1.1863330000000001</v>
      </c>
      <c r="S10" s="297">
        <f>Assumptions!$C$54</f>
        <v>0.13175999999999999</v>
      </c>
      <c r="T10" s="422"/>
      <c r="U10" s="1077">
        <f>Assumptions!$G$106</f>
        <v>0.45372050816696913</v>
      </c>
      <c r="V10" s="472">
        <v>0.65</v>
      </c>
      <c r="W10" s="306">
        <f t="shared" si="13"/>
        <v>0.101602303452</v>
      </c>
      <c r="X10" s="325"/>
      <c r="Y10" s="329"/>
      <c r="Z10" s="281"/>
      <c r="AA10" s="281">
        <f t="shared" si="14"/>
        <v>0</v>
      </c>
      <c r="AB10" s="314">
        <f t="shared" si="5"/>
        <v>0</v>
      </c>
      <c r="AC10" s="34">
        <f t="shared" si="6"/>
        <v>0.101602303452</v>
      </c>
      <c r="AD10" s="366">
        <f t="shared" si="7"/>
        <v>260204793.14750877</v>
      </c>
      <c r="AE10" s="336">
        <f>-'OECD coal subsidies'!C185</f>
        <v>-7830000</v>
      </c>
      <c r="AF10" s="342">
        <f t="shared" si="8"/>
        <v>-9288987.3900000006</v>
      </c>
      <c r="AG10" s="111">
        <f t="shared" si="9"/>
        <v>250915805.75750875</v>
      </c>
      <c r="AH10" s="281">
        <f t="shared" si="10"/>
        <v>0.55532281161896913</v>
      </c>
      <c r="AI10" s="342">
        <f t="shared" si="11"/>
        <v>1412899805.7575085</v>
      </c>
      <c r="AK10" s="13"/>
      <c r="AL10" s="1389" t="s">
        <v>1341</v>
      </c>
      <c r="AM10" s="239">
        <v>0.04</v>
      </c>
      <c r="AN10" s="13">
        <f t="shared" si="0"/>
        <v>136225160</v>
      </c>
      <c r="AO10" s="1393">
        <f t="shared" si="12"/>
        <v>213.5</v>
      </c>
      <c r="AP10" s="71">
        <f t="shared" si="16"/>
        <v>0.02</v>
      </c>
      <c r="AQ10" s="1392">
        <f t="shared" si="1"/>
        <v>4.2700000000000005</v>
      </c>
      <c r="AR10" s="217">
        <f t="shared" si="2"/>
        <v>581681433.20000005</v>
      </c>
    </row>
    <row r="11" spans="1:46" x14ac:dyDescent="0.6">
      <c r="A11" s="46">
        <f t="shared" si="15"/>
        <v>7</v>
      </c>
      <c r="B11" s="44" t="s">
        <v>5</v>
      </c>
      <c r="C11" s="290">
        <v>0</v>
      </c>
      <c r="D11" s="290">
        <v>0</v>
      </c>
      <c r="E11" s="290">
        <v>281</v>
      </c>
      <c r="F11" s="290">
        <v>0</v>
      </c>
      <c r="G11" s="961">
        <v>244</v>
      </c>
      <c r="H11" s="1455">
        <v>0</v>
      </c>
      <c r="I11" s="1449">
        <v>0</v>
      </c>
      <c r="J11" s="1449">
        <v>0</v>
      </c>
      <c r="K11" s="1449">
        <v>0</v>
      </c>
      <c r="L11" s="1449">
        <f>28281+15742</f>
        <v>44023</v>
      </c>
      <c r="M11" s="290">
        <f>((H11)*Assumptions!$C$81+(I11)*Assumptions!$C$82+(J11)*Assumptions!$C$83+(K11)*Assumptions!$C$84+(L11)*Assumptions!$C$85)*1000</f>
        <v>679186844</v>
      </c>
      <c r="N11" s="290">
        <f>((C11+H11)*Assumptions!$C$81+(D11+I11)*Assumptions!$C$82+(E11+J11)*Assumptions!$C$83+(F11+K11)*Assumptions!$C$84+(G11+L11)*Assumptions!$C$85)*1000</f>
        <v>690383164.00000012</v>
      </c>
      <c r="O11" s="487">
        <f t="shared" si="3"/>
        <v>15.49751198707013</v>
      </c>
      <c r="P11" s="487">
        <f t="shared" si="4"/>
        <v>123.98009589656104</v>
      </c>
      <c r="Q11" s="345">
        <f>N11*1000000/Assumptions!$C$8</f>
        <v>5523065312.000001</v>
      </c>
      <c r="R11" s="391">
        <f>Assumptions!$H$3</f>
        <v>1.1863330000000001</v>
      </c>
      <c r="S11" s="297">
        <f>Assumptions!$C$54</f>
        <v>0.13175999999999999</v>
      </c>
      <c r="T11" s="422"/>
      <c r="U11" s="1077">
        <f>Assumptions!$G$106</f>
        <v>0.45372050816696913</v>
      </c>
      <c r="V11" s="472">
        <v>0.3</v>
      </c>
      <c r="W11" s="306">
        <f t="shared" si="13"/>
        <v>4.6893370823999997E-2</v>
      </c>
      <c r="X11" s="325"/>
      <c r="Y11" s="329"/>
      <c r="Z11" s="281"/>
      <c r="AA11" s="281">
        <f t="shared" si="14"/>
        <v>0</v>
      </c>
      <c r="AB11" s="314">
        <f t="shared" si="5"/>
        <v>0</v>
      </c>
      <c r="AC11" s="34">
        <f t="shared" si="6"/>
        <v>4.6893370823999997E-2</v>
      </c>
      <c r="AD11" s="366">
        <f t="shared" si="7"/>
        <v>258995149.76078728</v>
      </c>
      <c r="AE11" s="336">
        <f>-'OECD coal subsidies'!C200</f>
        <v>-402284662</v>
      </c>
      <c r="AF11" s="342">
        <f t="shared" si="8"/>
        <v>-477243569.92444605</v>
      </c>
      <c r="AG11" s="111">
        <f t="shared" si="9"/>
        <v>-218248420.16365877</v>
      </c>
      <c r="AH11" s="281">
        <f t="shared" si="10"/>
        <v>0.5006138789909691</v>
      </c>
      <c r="AI11" s="342">
        <f t="shared" si="11"/>
        <v>2287679579.8363414</v>
      </c>
      <c r="AK11" s="13"/>
      <c r="AL11" s="1389" t="s">
        <v>1342</v>
      </c>
      <c r="AM11" s="239">
        <v>0.04</v>
      </c>
      <c r="AN11" s="13">
        <f t="shared" si="0"/>
        <v>136225160</v>
      </c>
      <c r="AO11" s="1393">
        <f t="shared" si="12"/>
        <v>213.5</v>
      </c>
      <c r="AP11" s="71">
        <f t="shared" si="16"/>
        <v>0.02</v>
      </c>
      <c r="AQ11" s="1392">
        <f t="shared" si="1"/>
        <v>4.2700000000000005</v>
      </c>
      <c r="AR11" s="217">
        <f t="shared" si="2"/>
        <v>581681433.20000005</v>
      </c>
    </row>
    <row r="12" spans="1:46" x14ac:dyDescent="0.6">
      <c r="A12" s="46">
        <f t="shared" si="15"/>
        <v>8</v>
      </c>
      <c r="B12" s="44" t="s">
        <v>6</v>
      </c>
      <c r="C12" s="290">
        <v>215</v>
      </c>
      <c r="D12" s="290">
        <v>2027</v>
      </c>
      <c r="E12" s="290">
        <v>275</v>
      </c>
      <c r="F12" s="290">
        <v>0</v>
      </c>
      <c r="G12" s="961">
        <v>0</v>
      </c>
      <c r="H12" s="1455">
        <v>2176</v>
      </c>
      <c r="I12" s="1449">
        <v>0</v>
      </c>
      <c r="J12" s="1449">
        <f>18154+60</f>
        <v>18214</v>
      </c>
      <c r="K12" s="1449">
        <v>2298</v>
      </c>
      <c r="L12" s="1449">
        <v>0</v>
      </c>
      <c r="M12" s="290">
        <f>((H12)*Assumptions!$C$81+(I12)*Assumptions!$C$82+(J12)*Assumptions!$C$83+(K12)*Assumptions!$C$84+(L12)*Assumptions!$C$85)*1000</f>
        <v>587121356</v>
      </c>
      <c r="N12" s="290">
        <f>((C12+H12)*Assumptions!$C$81+(D12+I12)*Assumptions!$C$82+(E12+J12)*Assumptions!$C$83+(F12+K12)*Assumptions!$C$84+(G12+L12)*Assumptions!$C$85)*1000</f>
        <v>658385046</v>
      </c>
      <c r="O12" s="487">
        <f t="shared" si="3"/>
        <v>26.121207934933544</v>
      </c>
      <c r="P12" s="487">
        <f t="shared" si="4"/>
        <v>208.96966347946835</v>
      </c>
      <c r="Q12" s="345">
        <f>N12*1000000/Assumptions!$C$8</f>
        <v>5267080368</v>
      </c>
      <c r="R12" s="391">
        <f>Assumptions!$H$3</f>
        <v>1.1863330000000001</v>
      </c>
      <c r="S12" s="297">
        <f>Assumptions!$C$54</f>
        <v>0.13175999999999999</v>
      </c>
      <c r="T12" s="422"/>
      <c r="U12" s="1077">
        <f>Assumptions!$G$106</f>
        <v>0.45372050816696913</v>
      </c>
      <c r="V12" s="475">
        <v>0.15</v>
      </c>
      <c r="W12" s="306">
        <f t="shared" si="13"/>
        <v>2.3446685411999998E-2</v>
      </c>
      <c r="X12" s="325"/>
      <c r="Y12" s="329"/>
      <c r="Z12" s="281"/>
      <c r="AA12" s="281">
        <f t="shared" si="14"/>
        <v>0</v>
      </c>
      <c r="AB12" s="314">
        <f t="shared" si="5"/>
        <v>0</v>
      </c>
      <c r="AC12" s="34">
        <f t="shared" si="6"/>
        <v>2.3446685411999998E-2</v>
      </c>
      <c r="AD12" s="366">
        <f t="shared" si="7"/>
        <v>123495576.42821719</v>
      </c>
      <c r="AE12" s="336">
        <f>-'OECD coal subsidies'!C204</f>
        <v>-488772001</v>
      </c>
      <c r="AF12" s="342">
        <f t="shared" si="8"/>
        <v>-579846354.26233304</v>
      </c>
      <c r="AG12" s="111">
        <f t="shared" si="9"/>
        <v>-456350777.83411586</v>
      </c>
      <c r="AH12" s="281">
        <f t="shared" si="10"/>
        <v>0.47716719357896914</v>
      </c>
      <c r="AI12" s="342">
        <f t="shared" si="11"/>
        <v>1933431603.291111</v>
      </c>
      <c r="AK12" s="13"/>
      <c r="AL12" s="1389" t="s">
        <v>1343</v>
      </c>
      <c r="AM12" s="239">
        <v>0.03</v>
      </c>
      <c r="AN12" s="13">
        <f t="shared" si="0"/>
        <v>102168870</v>
      </c>
      <c r="AO12" s="1393">
        <f t="shared" si="12"/>
        <v>213.5</v>
      </c>
      <c r="AP12" s="71">
        <f t="shared" si="16"/>
        <v>0.02</v>
      </c>
      <c r="AQ12" s="1392">
        <f t="shared" si="1"/>
        <v>4.2700000000000005</v>
      </c>
      <c r="AR12" s="217">
        <f t="shared" si="2"/>
        <v>436261074.90000004</v>
      </c>
    </row>
    <row r="13" spans="1:46" x14ac:dyDescent="0.6">
      <c r="A13" s="46">
        <f t="shared" si="15"/>
        <v>9</v>
      </c>
      <c r="B13" s="44" t="s">
        <v>7</v>
      </c>
      <c r="C13" s="290">
        <v>582</v>
      </c>
      <c r="D13" s="290">
        <v>4465</v>
      </c>
      <c r="E13" s="290">
        <v>1845</v>
      </c>
      <c r="F13" s="290">
        <v>0</v>
      </c>
      <c r="G13" s="961">
        <v>123</v>
      </c>
      <c r="H13" s="1455">
        <v>0</v>
      </c>
      <c r="I13" s="1449">
        <v>0</v>
      </c>
      <c r="J13" s="1449">
        <f>3423+228</f>
        <v>3651</v>
      </c>
      <c r="K13" s="1449">
        <v>0</v>
      </c>
      <c r="L13" s="1449">
        <v>0</v>
      </c>
      <c r="M13" s="290">
        <f>((H13)*Assumptions!$C$81+(I13)*Assumptions!$C$82+(J13)*Assumptions!$C$83+(K13)*Assumptions!$C$84+(L13)*Assumptions!$C$85)*1000</f>
        <v>96561648</v>
      </c>
      <c r="N13" s="290">
        <f>((C13+H13)*Assumptions!$C$81+(D13+I13)*Assumptions!$C$82+(E13+J13)*Assumptions!$C$83+(F13+K13)*Assumptions!$C$84+(G13+L13)*Assumptions!$C$85)*1000</f>
        <v>291317766</v>
      </c>
      <c r="O13" s="487">
        <f t="shared" si="3"/>
        <v>27.312747609225578</v>
      </c>
      <c r="P13" s="487">
        <f t="shared" si="4"/>
        <v>218.50198087380463</v>
      </c>
      <c r="Q13" s="345">
        <f>N13*1000000/Assumptions!$C$8</f>
        <v>2330542128</v>
      </c>
      <c r="R13" s="391">
        <f>Assumptions!$H$3</f>
        <v>1.1863330000000001</v>
      </c>
      <c r="S13" s="297">
        <f>Assumptions!$C$54</f>
        <v>0.13175999999999999</v>
      </c>
      <c r="T13" s="422"/>
      <c r="U13" s="1077">
        <f>Assumptions!$G$106</f>
        <v>0.45372050816696913</v>
      </c>
      <c r="V13" s="472">
        <v>1.32</v>
      </c>
      <c r="W13" s="306">
        <f t="shared" si="13"/>
        <v>0.20633083162560001</v>
      </c>
      <c r="X13" s="325"/>
      <c r="Y13" s="329"/>
      <c r="Z13" s="281"/>
      <c r="AA13" s="281">
        <f t="shared" si="14"/>
        <v>0</v>
      </c>
      <c r="AB13" s="314">
        <f t="shared" si="5"/>
        <v>0</v>
      </c>
      <c r="AC13" s="34">
        <f t="shared" si="6"/>
        <v>0.20633083162560001</v>
      </c>
      <c r="AD13" s="366">
        <f t="shared" si="7"/>
        <v>480862695.40873551</v>
      </c>
      <c r="AE13" s="336">
        <f>-'OECD coal subsidies'!C266</f>
        <v>-38401452</v>
      </c>
      <c r="AF13" s="342">
        <f t="shared" si="8"/>
        <v>-45556909.755516</v>
      </c>
      <c r="AG13" s="111">
        <f t="shared" si="9"/>
        <v>435305785.65321952</v>
      </c>
      <c r="AH13" s="281">
        <f t="shared" si="10"/>
        <v>0.66005133979256914</v>
      </c>
      <c r="AI13" s="342">
        <f t="shared" si="11"/>
        <v>1492720544.2739091</v>
      </c>
      <c r="AK13" s="13"/>
      <c r="AL13" s="1389" t="s">
        <v>1344</v>
      </c>
      <c r="AM13" s="239">
        <v>0.02</v>
      </c>
      <c r="AN13" s="13">
        <f t="shared" si="0"/>
        <v>68112580</v>
      </c>
      <c r="AO13" s="1393">
        <f t="shared" si="12"/>
        <v>213.5</v>
      </c>
      <c r="AP13" s="71">
        <f t="shared" si="16"/>
        <v>0.02</v>
      </c>
      <c r="AQ13" s="1392">
        <f t="shared" si="1"/>
        <v>4.2700000000000005</v>
      </c>
      <c r="AR13" s="217">
        <f t="shared" si="2"/>
        <v>290840716.60000002</v>
      </c>
    </row>
    <row r="14" spans="1:46" x14ac:dyDescent="0.6">
      <c r="A14" s="46">
        <f t="shared" si="15"/>
        <v>10</v>
      </c>
      <c r="B14" s="44" t="s">
        <v>8</v>
      </c>
      <c r="C14" s="290">
        <v>63</v>
      </c>
      <c r="D14" s="290">
        <v>0</v>
      </c>
      <c r="E14" s="290">
        <v>363</v>
      </c>
      <c r="F14" s="290">
        <v>0</v>
      </c>
      <c r="G14" s="961">
        <v>0</v>
      </c>
      <c r="H14" s="1455">
        <v>0</v>
      </c>
      <c r="I14" s="1449">
        <v>0</v>
      </c>
      <c r="J14" s="1449">
        <v>1886</v>
      </c>
      <c r="K14" s="1449">
        <v>0</v>
      </c>
      <c r="L14" s="1449">
        <f>2708+31</f>
        <v>2739</v>
      </c>
      <c r="M14" s="290">
        <f>((H14)*Assumptions!$C$81+(I14)*Assumptions!$C$82+(J14)*Assumptions!$C$83+(K14)*Assumptions!$C$84+(L14)*Assumptions!$C$85)*1000</f>
        <v>92138220</v>
      </c>
      <c r="N14" s="290">
        <f>((C14+H14)*Assumptions!$C$81+(D14+I14)*Assumptions!$C$82+(E14+J14)*Assumptions!$C$83+(F14+K14)*Assumptions!$C$84+(G14+L14)*Assumptions!$C$85)*1000</f>
        <v>103543920.00000001</v>
      </c>
      <c r="O14" s="487">
        <f t="shared" si="3"/>
        <v>20.499687190655315</v>
      </c>
      <c r="P14" s="487">
        <f t="shared" si="4"/>
        <v>163.99749752524252</v>
      </c>
      <c r="Q14" s="345">
        <f>N14*1000000/Assumptions!$C$8</f>
        <v>828351360.00000012</v>
      </c>
      <c r="R14" s="391">
        <f>Assumptions!$H$3</f>
        <v>1.1863330000000001</v>
      </c>
      <c r="S14" s="297">
        <f>Assumptions!$C$54</f>
        <v>0.13175999999999999</v>
      </c>
      <c r="T14" s="422"/>
      <c r="U14" s="1077">
        <f>Assumptions!$G$106</f>
        <v>0.45372050816696913</v>
      </c>
      <c r="V14" s="472">
        <v>1.89</v>
      </c>
      <c r="W14" s="306">
        <f t="shared" si="13"/>
        <v>0.29542823619119996</v>
      </c>
      <c r="X14" s="325"/>
      <c r="Y14" s="329"/>
      <c r="Z14" s="281"/>
      <c r="AA14" s="281">
        <f t="shared" si="14"/>
        <v>0</v>
      </c>
      <c r="AB14" s="314">
        <f t="shared" si="5"/>
        <v>0</v>
      </c>
      <c r="AC14" s="34">
        <f t="shared" si="6"/>
        <v>0.29542823619119996</v>
      </c>
      <c r="AD14" s="366">
        <f t="shared" si="7"/>
        <v>244718381.23138174</v>
      </c>
      <c r="AE14" s="336">
        <f>-'OECD coal subsidies'!C296</f>
        <v>-342286642</v>
      </c>
      <c r="AF14" s="342">
        <f t="shared" si="8"/>
        <v>-406065938.86378604</v>
      </c>
      <c r="AG14" s="111">
        <f t="shared" si="9"/>
        <v>-161347557.6324043</v>
      </c>
      <c r="AH14" s="281">
        <f t="shared" si="10"/>
        <v>0.74914874435816903</v>
      </c>
      <c r="AI14" s="342">
        <f t="shared" si="11"/>
        <v>214492442.36759573</v>
      </c>
      <c r="AK14" s="13"/>
      <c r="AL14" s="1389" t="s">
        <v>1345</v>
      </c>
      <c r="AM14" s="239">
        <v>0.02</v>
      </c>
      <c r="AN14" s="13">
        <f t="shared" si="0"/>
        <v>68112580</v>
      </c>
      <c r="AO14" s="1393">
        <f t="shared" si="12"/>
        <v>213.5</v>
      </c>
      <c r="AP14" s="71">
        <f t="shared" si="16"/>
        <v>0.02</v>
      </c>
      <c r="AQ14" s="1392">
        <f t="shared" si="1"/>
        <v>4.2700000000000005</v>
      </c>
      <c r="AR14" s="217">
        <f t="shared" si="2"/>
        <v>290840716.60000002</v>
      </c>
    </row>
    <row r="15" spans="1:46" x14ac:dyDescent="0.6">
      <c r="A15" s="46">
        <f t="shared" si="15"/>
        <v>11</v>
      </c>
      <c r="B15" s="44" t="s">
        <v>9</v>
      </c>
      <c r="C15" s="290">
        <v>0</v>
      </c>
      <c r="D15" s="290">
        <v>90</v>
      </c>
      <c r="E15" s="290">
        <v>383</v>
      </c>
      <c r="F15" s="290">
        <v>0</v>
      </c>
      <c r="G15" s="961">
        <v>3</v>
      </c>
      <c r="H15" s="1455">
        <v>0</v>
      </c>
      <c r="I15" s="1449">
        <v>2153</v>
      </c>
      <c r="J15" s="1449">
        <f>15780+89</f>
        <v>15869</v>
      </c>
      <c r="K15" s="1449">
        <v>445</v>
      </c>
      <c r="L15" s="1449">
        <v>0</v>
      </c>
      <c r="M15" s="290">
        <f>((H15)*Assumptions!$C$81+(I15)*Assumptions!$C$82+(J15)*Assumptions!$C$83+(K15)*Assumptions!$C$84+(L15)*Assumptions!$C$85)*1000</f>
        <v>489465032.00000006</v>
      </c>
      <c r="N15" s="290">
        <f>((C15+H15)*Assumptions!$C$81+(D15+I15)*Assumptions!$C$82+(E15+J15)*Assumptions!$C$83+(F15+K15)*Assumptions!$C$84+(G15+L15)*Assumptions!$C$85)*1000</f>
        <v>502208600</v>
      </c>
      <c r="O15" s="487">
        <f t="shared" si="3"/>
        <v>26.511566277780712</v>
      </c>
      <c r="P15" s="487">
        <f t="shared" si="4"/>
        <v>212.0925302222457</v>
      </c>
      <c r="Q15" s="345">
        <f>N15*1000000/Assumptions!$C$8</f>
        <v>4017668800</v>
      </c>
      <c r="R15" s="391">
        <f>Assumptions!$H$3</f>
        <v>1.1863330000000001</v>
      </c>
      <c r="S15" s="297">
        <f>Assumptions!$C$54</f>
        <v>0.13175999999999999</v>
      </c>
      <c r="T15" s="422"/>
      <c r="U15" s="1077">
        <f>Assumptions!$G$106</f>
        <v>0.45372050816696913</v>
      </c>
      <c r="V15" s="472">
        <v>0.16</v>
      </c>
      <c r="W15" s="306">
        <f t="shared" si="13"/>
        <v>2.5009797772800001E-2</v>
      </c>
      <c r="X15" s="325"/>
      <c r="Y15" s="329"/>
      <c r="Z15" s="281"/>
      <c r="AA15" s="281">
        <f t="shared" si="14"/>
        <v>0</v>
      </c>
      <c r="AB15" s="314">
        <f t="shared" si="5"/>
        <v>0</v>
      </c>
      <c r="AC15" s="34">
        <f t="shared" si="6"/>
        <v>2.5009797772800001E-2</v>
      </c>
      <c r="AD15" s="366">
        <f t="shared" si="7"/>
        <v>100481084.20608805</v>
      </c>
      <c r="AE15" s="336">
        <f>-'OECD coal subsidies'!C320</f>
        <v>-779404069</v>
      </c>
      <c r="AF15" s="342">
        <f t="shared" si="8"/>
        <v>-924632767.38897705</v>
      </c>
      <c r="AG15" s="111">
        <f t="shared" si="9"/>
        <v>-824151683.18288898</v>
      </c>
      <c r="AH15" s="281">
        <f t="shared" si="10"/>
        <v>0.47873030593976912</v>
      </c>
      <c r="AI15" s="342">
        <f t="shared" si="11"/>
        <v>998747046.39968801</v>
      </c>
      <c r="AK15" s="13"/>
      <c r="AL15" s="1389" t="s">
        <v>42</v>
      </c>
      <c r="AM15" s="239"/>
      <c r="AN15" s="13"/>
      <c r="AO15" s="13"/>
      <c r="AR15" s="217">
        <f>SUM(AR4:AR14)</f>
        <v>35191726708.599998</v>
      </c>
      <c r="AS15" s="1394">
        <f>Assumptions!H11</f>
        <v>0.152529</v>
      </c>
      <c r="AT15" s="17">
        <f>AS15*AR15</f>
        <v>5367758883.1360493</v>
      </c>
    </row>
    <row r="16" spans="1:46" x14ac:dyDescent="0.6">
      <c r="A16" s="46">
        <f t="shared" si="15"/>
        <v>12</v>
      </c>
      <c r="B16" s="44" t="s">
        <v>10</v>
      </c>
      <c r="C16" s="290">
        <v>11</v>
      </c>
      <c r="D16" s="290">
        <v>0</v>
      </c>
      <c r="E16" s="290">
        <v>62</v>
      </c>
      <c r="F16" s="290">
        <v>0</v>
      </c>
      <c r="G16" s="961">
        <v>0</v>
      </c>
      <c r="H16" s="1455">
        <v>0</v>
      </c>
      <c r="I16" s="1449">
        <v>0</v>
      </c>
      <c r="J16" s="1449">
        <v>0</v>
      </c>
      <c r="K16" s="1449">
        <v>0</v>
      </c>
      <c r="L16" s="1449">
        <v>0</v>
      </c>
      <c r="M16" s="290">
        <f>((H16)*Assumptions!$C$81+(I16)*Assumptions!$C$82+(J16)*Assumptions!$C$83+(K16)*Assumptions!$C$84+(L16)*Assumptions!$C$85)*1000</f>
        <v>0</v>
      </c>
      <c r="N16" s="290">
        <f>((C16+H16)*Assumptions!$C$81+(D16+I16)*Assumptions!$C$82+(E16+J16)*Assumptions!$C$83+(F16+K16)*Assumptions!$C$84+(G16+L16)*Assumptions!$C$85)*1000</f>
        <v>1954948</v>
      </c>
      <c r="O16" s="487">
        <f t="shared" si="3"/>
        <v>26.780109589041093</v>
      </c>
      <c r="P16" s="487">
        <f t="shared" si="4"/>
        <v>214.24087671232874</v>
      </c>
      <c r="Q16" s="345">
        <f>N16*1000000/Assumptions!$C$8</f>
        <v>15639584</v>
      </c>
      <c r="R16" s="391">
        <f>Assumptions!$H$3</f>
        <v>1.1863330000000001</v>
      </c>
      <c r="S16" s="297">
        <f>Assumptions!$C$54</f>
        <v>0.13175999999999999</v>
      </c>
      <c r="T16" s="422"/>
      <c r="U16" s="1077">
        <f>Assumptions!$G$106</f>
        <v>0.45372050816696913</v>
      </c>
      <c r="V16" s="472">
        <v>0.15</v>
      </c>
      <c r="W16" s="306">
        <f t="shared" si="13"/>
        <v>2.3446685411999998E-2</v>
      </c>
      <c r="X16" s="325"/>
      <c r="Y16" s="329"/>
      <c r="Z16" s="281"/>
      <c r="AA16" s="281">
        <f t="shared" si="14"/>
        <v>0</v>
      </c>
      <c r="AB16" s="314">
        <f t="shared" si="5"/>
        <v>0</v>
      </c>
      <c r="AC16" s="34">
        <f t="shared" si="6"/>
        <v>2.3446685411999998E-2</v>
      </c>
      <c r="AD16" s="366">
        <f t="shared" si="7"/>
        <v>366696.40602254856</v>
      </c>
      <c r="AE16" s="336">
        <f>-'OECD coal subsidies'!C331</f>
        <v>0</v>
      </c>
      <c r="AF16" s="342">
        <f t="shared" si="8"/>
        <v>0</v>
      </c>
      <c r="AG16" s="111">
        <f t="shared" si="9"/>
        <v>366696.40602254856</v>
      </c>
      <c r="AH16" s="281">
        <f t="shared" si="10"/>
        <v>0.47716719357896914</v>
      </c>
      <c r="AI16" s="342">
        <f t="shared" si="11"/>
        <v>7462696.4060225487</v>
      </c>
      <c r="AK16" s="13"/>
      <c r="AL16" s="1389"/>
      <c r="AM16" s="239"/>
      <c r="AN16" s="13"/>
      <c r="AO16" s="13"/>
    </row>
    <row r="17" spans="1:41" x14ac:dyDescent="0.6">
      <c r="A17" s="46">
        <f t="shared" si="15"/>
        <v>13</v>
      </c>
      <c r="B17" s="44" t="s">
        <v>11</v>
      </c>
      <c r="C17" s="290">
        <v>0</v>
      </c>
      <c r="D17" s="290">
        <v>0</v>
      </c>
      <c r="E17" s="290">
        <v>42</v>
      </c>
      <c r="F17" s="290">
        <v>91</v>
      </c>
      <c r="G17" s="961">
        <v>341</v>
      </c>
      <c r="H17" s="1455">
        <v>0</v>
      </c>
      <c r="I17" s="1449">
        <v>0</v>
      </c>
      <c r="J17" s="1449">
        <v>0</v>
      </c>
      <c r="K17" s="1449">
        <f>49+20</f>
        <v>69</v>
      </c>
      <c r="L17" s="1449">
        <f>8713+67</f>
        <v>8780</v>
      </c>
      <c r="M17" s="290">
        <f>((H17)*Assumptions!$C$81+(I17)*Assumptions!$C$82+(J17)*Assumptions!$C$83+(K17)*Assumptions!$C$84+(L17)*Assumptions!$C$85)*1000</f>
        <v>136750486</v>
      </c>
      <c r="N17" s="290">
        <f>((C17+H17)*Assumptions!$C$81+(D17+I17)*Assumptions!$C$82+(E17+J17)*Assumptions!$C$83+(F17+K17)*Assumptions!$C$84+(G17+L17)*Assumptions!$C$85)*1000</f>
        <v>144827044</v>
      </c>
      <c r="O17" s="487">
        <f t="shared" si="3"/>
        <v>15.53438206585863</v>
      </c>
      <c r="P17" s="487">
        <f t="shared" si="4"/>
        <v>124.27505652686904</v>
      </c>
      <c r="Q17" s="345">
        <f>N17*1000000/Assumptions!$C$8</f>
        <v>1158616352</v>
      </c>
      <c r="R17" s="391">
        <f>Assumptions!$H$17</f>
        <v>3.8049999999999998E-3</v>
      </c>
      <c r="S17" s="297">
        <f>Assumptions!$C$54</f>
        <v>0.13175999999999999</v>
      </c>
      <c r="T17" s="388"/>
      <c r="U17" s="1077">
        <f>Assumptions!$G$106</f>
        <v>0.45372050816696913</v>
      </c>
      <c r="V17" s="476">
        <v>93.09</v>
      </c>
      <c r="W17" s="306">
        <f t="shared" si="13"/>
        <v>4.6670373611999993E-2</v>
      </c>
      <c r="X17" s="325"/>
      <c r="Y17" s="329"/>
      <c r="Z17" s="281"/>
      <c r="AA17" s="281">
        <f t="shared" si="14"/>
        <v>0</v>
      </c>
      <c r="AB17" s="314">
        <f t="shared" si="5"/>
        <v>0</v>
      </c>
      <c r="AC17" s="34">
        <f t="shared" si="6"/>
        <v>4.6670373611999993E-2</v>
      </c>
      <c r="AD17" s="366">
        <f t="shared" si="7"/>
        <v>54073058.020812497</v>
      </c>
      <c r="AE17" s="336">
        <f>-'OECD coal subsidies'!C338</f>
        <v>-19881914429</v>
      </c>
      <c r="AF17" s="342">
        <f t="shared" si="8"/>
        <v>-75650684.402345002</v>
      </c>
      <c r="AG17" s="111">
        <f t="shared" si="9"/>
        <v>-21577626.381532505</v>
      </c>
      <c r="AH17" s="281">
        <f t="shared" si="10"/>
        <v>0.50039088177896907</v>
      </c>
      <c r="AI17" s="342">
        <f t="shared" si="11"/>
        <v>504110373.61846739</v>
      </c>
      <c r="AK17" s="13"/>
      <c r="AL17" s="1389" t="s">
        <v>1346</v>
      </c>
      <c r="AM17" s="217">
        <v>427</v>
      </c>
      <c r="AN17" s="13" t="s">
        <v>1347</v>
      </c>
      <c r="AO17" s="3"/>
    </row>
    <row r="18" spans="1:41" x14ac:dyDescent="0.6">
      <c r="A18" s="46">
        <f t="shared" si="15"/>
        <v>14</v>
      </c>
      <c r="B18" s="44" t="s">
        <v>12</v>
      </c>
      <c r="C18" s="290">
        <v>33</v>
      </c>
      <c r="D18" s="290">
        <v>94</v>
      </c>
      <c r="E18" s="290">
        <v>0</v>
      </c>
      <c r="F18" s="290">
        <v>0</v>
      </c>
      <c r="G18" s="961">
        <v>41</v>
      </c>
      <c r="H18" s="1455">
        <v>0</v>
      </c>
      <c r="I18" s="1449">
        <v>4376</v>
      </c>
      <c r="J18" s="1449">
        <f>9881+3595</f>
        <v>13476</v>
      </c>
      <c r="K18" s="1449">
        <v>0</v>
      </c>
      <c r="L18" s="1449">
        <v>0</v>
      </c>
      <c r="M18" s="290">
        <f>((H18)*Assumptions!$C$81+(I18)*Assumptions!$C$82+(J18)*Assumptions!$C$83+(K18)*Assumptions!$C$84+(L18)*Assumptions!$C$85)*1000</f>
        <v>481260528.00000006</v>
      </c>
      <c r="N18" s="290">
        <f>((C18+H18)*Assumptions!$C$81+(D18+I18)*Assumptions!$C$82+(E18+J18)*Assumptions!$C$83+(F18+K18)*Assumptions!$C$84+(G18+L18)*Assumptions!$C$85)*1000</f>
        <v>485520412.00000006</v>
      </c>
      <c r="O18" s="487">
        <f t="shared" si="3"/>
        <v>26.943419089900114</v>
      </c>
      <c r="P18" s="487">
        <f t="shared" si="4"/>
        <v>215.54735271920092</v>
      </c>
      <c r="Q18" s="345">
        <f>N18*1000000/Assumptions!$C$8</f>
        <v>3884163296.0000005</v>
      </c>
      <c r="R18" s="391">
        <f>Assumptions!$H$3</f>
        <v>1.1863330000000001</v>
      </c>
      <c r="S18" s="297">
        <f>Assumptions!$C$54</f>
        <v>0.13175999999999999</v>
      </c>
      <c r="T18" s="422"/>
      <c r="U18" s="1077">
        <f>Assumptions!$G$106</f>
        <v>0.45372050816696913</v>
      </c>
      <c r="V18" s="815">
        <v>0.53</v>
      </c>
      <c r="W18" s="306">
        <f t="shared" si="13"/>
        <v>8.2844955122400005E-2</v>
      </c>
      <c r="X18" s="325"/>
      <c r="Y18" s="329"/>
      <c r="Z18" s="281"/>
      <c r="AA18" s="281">
        <f t="shared" si="14"/>
        <v>0</v>
      </c>
      <c r="AB18" s="314">
        <f t="shared" si="5"/>
        <v>0</v>
      </c>
      <c r="AC18" s="34">
        <f t="shared" si="6"/>
        <v>8.2844955122400005E-2</v>
      </c>
      <c r="AD18" s="366">
        <f t="shared" si="7"/>
        <v>321783333.94519335</v>
      </c>
      <c r="AE18" s="336">
        <f>-'OECD coal subsidies'!C352</f>
        <v>0</v>
      </c>
      <c r="AF18" s="342">
        <f t="shared" si="8"/>
        <v>0</v>
      </c>
      <c r="AG18" s="111">
        <f t="shared" si="9"/>
        <v>321783333.94519335</v>
      </c>
      <c r="AH18" s="281">
        <f t="shared" si="10"/>
        <v>0.53656546328936916</v>
      </c>
      <c r="AI18" s="342">
        <f t="shared" si="11"/>
        <v>2084107878.4098034</v>
      </c>
      <c r="AK18" s="13" t="s">
        <v>1348</v>
      </c>
      <c r="AL18" s="13"/>
      <c r="AM18" s="239">
        <v>0.5</v>
      </c>
      <c r="AN18" s="13"/>
      <c r="AO18" s="3"/>
    </row>
    <row r="19" spans="1:41" x14ac:dyDescent="0.6">
      <c r="A19" s="46">
        <f t="shared" si="15"/>
        <v>15</v>
      </c>
      <c r="B19" s="44" t="s">
        <v>13</v>
      </c>
      <c r="C19" s="290">
        <v>0</v>
      </c>
      <c r="D19" s="290">
        <v>0</v>
      </c>
      <c r="E19" s="290">
        <v>166</v>
      </c>
      <c r="F19" s="290">
        <v>82</v>
      </c>
      <c r="G19" s="961">
        <v>11</v>
      </c>
      <c r="H19" s="1455">
        <v>0</v>
      </c>
      <c r="I19" s="1449">
        <v>1773</v>
      </c>
      <c r="J19" s="1449">
        <f>718+248</f>
        <v>966</v>
      </c>
      <c r="K19" s="1449">
        <v>0</v>
      </c>
      <c r="L19" s="1449">
        <v>0</v>
      </c>
      <c r="M19" s="290">
        <f>((H19)*Assumptions!$C$81+(I19)*Assumptions!$C$82+(J19)*Assumptions!$C$83+(K19)*Assumptions!$C$84+(L19)*Assumptions!$C$85)*1000</f>
        <v>76132458</v>
      </c>
      <c r="N19" s="290">
        <f>((C19+H19)*Assumptions!$C$81+(D19+I19)*Assumptions!$C$82+(E19+J19)*Assumptions!$C$83+(F19+K19)*Assumptions!$C$84+(G19+L19)*Assumptions!$C$85)*1000</f>
        <v>82228722</v>
      </c>
      <c r="O19" s="487">
        <f t="shared" si="3"/>
        <v>27.427859239492996</v>
      </c>
      <c r="P19" s="487">
        <f t="shared" si="4"/>
        <v>219.42287391594397</v>
      </c>
      <c r="Q19" s="345">
        <f>N19*1000000/Assumptions!$C$8</f>
        <v>657829776</v>
      </c>
      <c r="R19" s="391">
        <f>Assumptions!$H$3</f>
        <v>1.1863330000000001</v>
      </c>
      <c r="S19" s="297">
        <f>Assumptions!$C$54</f>
        <v>0.13175999999999999</v>
      </c>
      <c r="T19" s="422">
        <v>102.8</v>
      </c>
      <c r="U19" s="458">
        <f>T19/P19*R19</f>
        <v>0.5557990843138727</v>
      </c>
      <c r="V19" s="815">
        <v>50</v>
      </c>
      <c r="W19" s="306">
        <f>V19/P19*R19</f>
        <v>0.27033029392698094</v>
      </c>
      <c r="X19" s="325"/>
      <c r="Y19" s="329"/>
      <c r="Z19" s="281"/>
      <c r="AA19" s="281">
        <f t="shared" si="14"/>
        <v>0</v>
      </c>
      <c r="AB19" s="314">
        <f t="shared" si="5"/>
        <v>0</v>
      </c>
      <c r="AC19" s="34">
        <f t="shared" si="6"/>
        <v>0.27033029392698094</v>
      </c>
      <c r="AD19" s="366">
        <f t="shared" si="7"/>
        <v>177831316.70000002</v>
      </c>
      <c r="AE19" s="336">
        <f>-'OECD coal subsidies'!C354</f>
        <v>0</v>
      </c>
      <c r="AF19" s="342">
        <f t="shared" si="8"/>
        <v>0</v>
      </c>
      <c r="AG19" s="111">
        <f t="shared" si="9"/>
        <v>177831316.70000002</v>
      </c>
      <c r="AH19" s="281">
        <f t="shared" si="10"/>
        <v>0.82612937824085364</v>
      </c>
      <c r="AI19" s="342">
        <f t="shared" si="11"/>
        <v>543452503.83520007</v>
      </c>
    </row>
    <row r="20" spans="1:41" x14ac:dyDescent="0.6">
      <c r="A20" s="46">
        <f t="shared" si="15"/>
        <v>16</v>
      </c>
      <c r="B20" s="44" t="s">
        <v>14</v>
      </c>
      <c r="C20" s="290">
        <v>0</v>
      </c>
      <c r="D20" s="290">
        <v>2</v>
      </c>
      <c r="E20" s="290">
        <v>16874</v>
      </c>
      <c r="F20" s="290">
        <v>0</v>
      </c>
      <c r="G20" s="961">
        <v>624</v>
      </c>
      <c r="H20" s="1455">
        <v>0</v>
      </c>
      <c r="I20" s="1449">
        <f>52+13231</f>
        <v>13283</v>
      </c>
      <c r="J20" s="1449">
        <f>37900</f>
        <v>37900</v>
      </c>
      <c r="K20" s="1449">
        <v>0</v>
      </c>
      <c r="L20" s="1449">
        <f>2608+59763</f>
        <v>62371</v>
      </c>
      <c r="M20" s="290">
        <f>((H20)*Assumptions!$C$81+(I20)*Assumptions!$C$82+(J20)*Assumptions!$C$83+(K20)*Assumptions!$C$84+(L20)*Assumptions!$C$85)*1000</f>
        <v>2343602978</v>
      </c>
      <c r="N20" s="290">
        <f>((C20+H20)*Assumptions!$C$81+(D20+I20)*Assumptions!$C$82+(E20+J20)*Assumptions!$C$83+(F20+K20)*Assumptions!$C$84+(G20+L20)*Assumptions!$C$85)*1000</f>
        <v>2799570662.0000005</v>
      </c>
      <c r="O20" s="487">
        <f t="shared" si="3"/>
        <v>21.361962717658376</v>
      </c>
      <c r="P20" s="487">
        <f t="shared" si="4"/>
        <v>170.895701741267</v>
      </c>
      <c r="Q20" s="345">
        <f>N20*1000000/Assumptions!$C$8</f>
        <v>22396565296.000004</v>
      </c>
      <c r="R20" s="391">
        <f>Assumptions!$H$18</f>
        <v>0.28262100000000001</v>
      </c>
      <c r="S20" s="297">
        <f>Assumptions!$C$54</f>
        <v>0.13175999999999999</v>
      </c>
      <c r="T20" s="424"/>
      <c r="U20" s="1077">
        <f>Assumptions!$G$106</f>
        <v>0.45372050816696913</v>
      </c>
      <c r="V20" s="816">
        <v>1.28</v>
      </c>
      <c r="W20" s="306">
        <f t="shared" si="13"/>
        <v>4.7664822988800003E-2</v>
      </c>
      <c r="X20" s="325"/>
      <c r="Y20" s="329"/>
      <c r="Z20" s="281"/>
      <c r="AA20" s="281">
        <f t="shared" si="14"/>
        <v>0</v>
      </c>
      <c r="AB20" s="314">
        <f t="shared" si="5"/>
        <v>0</v>
      </c>
      <c r="AC20" s="34">
        <f t="shared" si="6"/>
        <v>4.7664822988800003E-2</v>
      </c>
      <c r="AD20" s="366">
        <f t="shared" si="7"/>
        <v>1067528320.3909413</v>
      </c>
      <c r="AE20" s="336">
        <f>-'OECD coal subsidies'!C358</f>
        <v>-1743490231</v>
      </c>
      <c r="AF20" s="342">
        <f t="shared" si="8"/>
        <v>-492746952.57545102</v>
      </c>
      <c r="AG20" s="111">
        <f t="shared" si="9"/>
        <v>574781367.81549025</v>
      </c>
      <c r="AH20" s="281">
        <f t="shared" si="10"/>
        <v>0.50138533115576911</v>
      </c>
      <c r="AI20" s="342">
        <f t="shared" si="11"/>
        <v>10736562355.111317</v>
      </c>
      <c r="AK20" s="1" t="s">
        <v>1448</v>
      </c>
      <c r="AM20" s="10">
        <f>AM17*AS15</f>
        <v>65.129882999999992</v>
      </c>
      <c r="AN20" s="1" t="s">
        <v>1132</v>
      </c>
    </row>
    <row r="21" spans="1:41" x14ac:dyDescent="0.6">
      <c r="A21" s="46">
        <f t="shared" si="15"/>
        <v>17</v>
      </c>
      <c r="B21" s="44" t="s">
        <v>15</v>
      </c>
      <c r="C21" s="290">
        <v>10</v>
      </c>
      <c r="D21" s="290">
        <v>0</v>
      </c>
      <c r="E21" s="290">
        <v>0</v>
      </c>
      <c r="F21" s="290">
        <v>0</v>
      </c>
      <c r="G21" s="961">
        <v>0</v>
      </c>
      <c r="H21" s="1455">
        <v>0</v>
      </c>
      <c r="I21" s="1449">
        <v>0</v>
      </c>
      <c r="J21" s="1449">
        <v>5494</v>
      </c>
      <c r="K21" s="1449">
        <v>0</v>
      </c>
      <c r="L21" s="1449">
        <v>0</v>
      </c>
      <c r="M21" s="290">
        <f>((H21)*Assumptions!$C$81+(I21)*Assumptions!$C$82+(J21)*Assumptions!$C$83+(K21)*Assumptions!$C$84+(L21)*Assumptions!$C$85)*1000</f>
        <v>145305312</v>
      </c>
      <c r="N21" s="290">
        <f>((C21+H21)*Assumptions!$C$81+(D21+I21)*Assumptions!$C$82+(E21+J21)*Assumptions!$C$83+(F21+K21)*Assumptions!$C$84+(G21+L21)*Assumptions!$C$85)*1000</f>
        <v>145591832</v>
      </c>
      <c r="O21" s="487">
        <f t="shared" si="3"/>
        <v>26.452004360465114</v>
      </c>
      <c r="P21" s="487">
        <f t="shared" si="4"/>
        <v>211.61603488372091</v>
      </c>
      <c r="Q21" s="345">
        <f>N21*1000000/Assumptions!$C$8</f>
        <v>1164734656</v>
      </c>
      <c r="R21" s="391">
        <f>Assumptions!$H$3</f>
        <v>1.1863330000000001</v>
      </c>
      <c r="S21" s="297">
        <f>Assumptions!$C$54</f>
        <v>0.13175999999999999</v>
      </c>
      <c r="T21" s="422">
        <v>55.63</v>
      </c>
      <c r="U21" s="458">
        <f>T21/P21*R21</f>
        <v>0.31186533112324605</v>
      </c>
      <c r="V21" s="472">
        <v>0.59</v>
      </c>
      <c r="W21" s="306">
        <f t="shared" si="13"/>
        <v>9.2223629287199987E-2</v>
      </c>
      <c r="X21" s="325"/>
      <c r="Y21" s="329"/>
      <c r="Z21" s="281"/>
      <c r="AA21" s="281">
        <f t="shared" si="14"/>
        <v>0</v>
      </c>
      <c r="AB21" s="314">
        <f t="shared" si="5"/>
        <v>0</v>
      </c>
      <c r="AC21" s="34">
        <f t="shared" si="6"/>
        <v>9.2223629287199987E-2</v>
      </c>
      <c r="AD21" s="366">
        <f t="shared" si="7"/>
        <v>107416057.13289841</v>
      </c>
      <c r="AE21" s="336">
        <f>-'OECD coal subsidies'!C408</f>
        <v>-76650321</v>
      </c>
      <c r="AF21" s="342">
        <f t="shared" si="8"/>
        <v>-90932805.262893006</v>
      </c>
      <c r="AG21" s="111">
        <f t="shared" si="9"/>
        <v>16483251.870005399</v>
      </c>
      <c r="AH21" s="281">
        <f t="shared" si="10"/>
        <v>0.40408896041044606</v>
      </c>
      <c r="AI21" s="342">
        <f t="shared" si="11"/>
        <v>379723611.0341655</v>
      </c>
      <c r="AM21" s="10">
        <f>AM20/O36</f>
        <v>2.4251760392584991</v>
      </c>
      <c r="AN21" s="1" t="s">
        <v>83</v>
      </c>
    </row>
    <row r="22" spans="1:41" x14ac:dyDescent="0.6">
      <c r="A22" s="46">
        <f t="shared" si="15"/>
        <v>18</v>
      </c>
      <c r="B22" s="44" t="s">
        <v>16</v>
      </c>
      <c r="C22" s="290">
        <v>0</v>
      </c>
      <c r="D22" s="290">
        <v>0</v>
      </c>
      <c r="E22" s="290">
        <v>7</v>
      </c>
      <c r="F22" s="290">
        <v>35</v>
      </c>
      <c r="G22" s="961">
        <v>22</v>
      </c>
      <c r="H22" s="1455">
        <v>0</v>
      </c>
      <c r="I22" s="1449">
        <v>0</v>
      </c>
      <c r="J22" s="1449">
        <v>5</v>
      </c>
      <c r="K22" s="1449">
        <v>325</v>
      </c>
      <c r="L22" s="1449">
        <v>3190</v>
      </c>
      <c r="M22" s="290">
        <f>((H22)*Assumptions!$C$81+(I22)*Assumptions!$C$82+(J22)*Assumptions!$C$83+(K22)*Assumptions!$C$84+(L22)*Assumptions!$C$85)*1000</f>
        <v>55436110</v>
      </c>
      <c r="N22" s="290">
        <f>((C22+H22)*Assumptions!$C$81+(D22+I22)*Assumptions!$C$82+(E22+J22)*Assumptions!$C$83+(F22+K22)*Assumptions!$C$84+(G22+L22)*Assumptions!$C$85)*1000</f>
        <v>56616352.000000007</v>
      </c>
      <c r="O22" s="487">
        <f t="shared" si="3"/>
        <v>15.796973214285716</v>
      </c>
      <c r="P22" s="487">
        <f t="shared" si="4"/>
        <v>126.37578571428573</v>
      </c>
      <c r="Q22" s="345">
        <f>N22*1000000/Assumptions!$C$8</f>
        <v>452930816.00000006</v>
      </c>
      <c r="R22" s="391">
        <f>Assumptions!$H$3</f>
        <v>1.1863330000000001</v>
      </c>
      <c r="S22" s="297">
        <f>Assumptions!$C$54</f>
        <v>0.13175999999999999</v>
      </c>
      <c r="T22" s="422"/>
      <c r="U22" s="1077">
        <f>Assumptions!$G$106</f>
        <v>0.45372050816696913</v>
      </c>
      <c r="V22" s="475">
        <v>1.71</v>
      </c>
      <c r="W22" s="306">
        <f t="shared" si="13"/>
        <v>0.26729221369680001</v>
      </c>
      <c r="X22" s="325"/>
      <c r="Y22" s="329"/>
      <c r="Z22" s="281"/>
      <c r="AA22" s="281">
        <f t="shared" si="14"/>
        <v>0</v>
      </c>
      <c r="AB22" s="314">
        <f t="shared" si="5"/>
        <v>0</v>
      </c>
      <c r="AC22" s="34">
        <f t="shared" si="6"/>
        <v>0.26729221369680001</v>
      </c>
      <c r="AD22" s="366">
        <f t="shared" si="7"/>
        <v>121064880.46013802</v>
      </c>
      <c r="AE22" s="336">
        <f>-'OECD coal subsidies'!C411</f>
        <v>-19061784</v>
      </c>
      <c r="AF22" s="342">
        <f t="shared" si="8"/>
        <v>-22613623.398072001</v>
      </c>
      <c r="AG22" s="111">
        <f t="shared" si="9"/>
        <v>98451257.062066019</v>
      </c>
      <c r="AH22" s="281">
        <f t="shared" si="10"/>
        <v>0.72101272186376919</v>
      </c>
      <c r="AI22" s="342">
        <f t="shared" si="11"/>
        <v>303955257.06206608</v>
      </c>
      <c r="AM22" s="10">
        <f>AM21/8</f>
        <v>0.30314700490731239</v>
      </c>
      <c r="AN22" s="1" t="s">
        <v>674</v>
      </c>
    </row>
    <row r="23" spans="1:41" x14ac:dyDescent="0.6">
      <c r="A23" s="46">
        <f t="shared" si="15"/>
        <v>19</v>
      </c>
      <c r="B23" s="44" t="s">
        <v>17</v>
      </c>
      <c r="C23" s="290">
        <v>82</v>
      </c>
      <c r="D23" s="290">
        <v>2</v>
      </c>
      <c r="E23" s="290">
        <v>449</v>
      </c>
      <c r="F23" s="290">
        <v>0</v>
      </c>
      <c r="G23" s="961">
        <v>145</v>
      </c>
      <c r="H23" s="1455">
        <v>40</v>
      </c>
      <c r="I23" s="1449">
        <v>0</v>
      </c>
      <c r="J23" s="1449">
        <v>454</v>
      </c>
      <c r="K23" s="1449">
        <v>0</v>
      </c>
      <c r="L23" s="1449">
        <v>2444</v>
      </c>
      <c r="M23" s="290">
        <f>((H23)*Assumptions!$C$81+(I23)*Assumptions!$C$82+(J23)*Assumptions!$C$83+(K23)*Assumptions!$C$84+(L23)*Assumptions!$C$85)*1000</f>
        <v>50859504</v>
      </c>
      <c r="N23" s="290">
        <f>((C23+H23)*Assumptions!$C$81+(D23+I23)*Assumptions!$C$82+(E23+J23)*Assumptions!$C$83+(F23+K23)*Assumptions!$C$84+(G23+L23)*Assumptions!$C$85)*1000</f>
        <v>67378240</v>
      </c>
      <c r="O23" s="487">
        <f t="shared" si="3"/>
        <v>18.63336283185841</v>
      </c>
      <c r="P23" s="487">
        <f t="shared" si="4"/>
        <v>149.06690265486728</v>
      </c>
      <c r="Q23" s="345">
        <f>N23*1000000/Assumptions!$C$8</f>
        <v>539025920</v>
      </c>
      <c r="R23" s="391">
        <f>Assumptions!$H$3</f>
        <v>1.1863330000000001</v>
      </c>
      <c r="S23" s="297">
        <f>Assumptions!$C$54</f>
        <v>0.13175999999999999</v>
      </c>
      <c r="T23" s="422"/>
      <c r="U23" s="1077">
        <f>Assumptions!$G$106</f>
        <v>0.45372050816696913</v>
      </c>
      <c r="V23" s="472">
        <v>0.31</v>
      </c>
      <c r="W23" s="306">
        <f t="shared" si="13"/>
        <v>4.8456483184799996E-2</v>
      </c>
      <c r="X23" s="325"/>
      <c r="Y23" s="329"/>
      <c r="Z23" s="281"/>
      <c r="AA23" s="281">
        <f t="shared" si="14"/>
        <v>0</v>
      </c>
      <c r="AB23" s="314">
        <f t="shared" si="5"/>
        <v>0</v>
      </c>
      <c r="AC23" s="34">
        <f t="shared" si="6"/>
        <v>4.8456483184799996E-2</v>
      </c>
      <c r="AD23" s="366">
        <f t="shared" si="7"/>
        <v>26119300.428651348</v>
      </c>
      <c r="AE23" s="336">
        <f>-'OECD coal subsidies'!C424</f>
        <v>-167928864</v>
      </c>
      <c r="AF23" s="342">
        <f t="shared" si="8"/>
        <v>-199219553.01571202</v>
      </c>
      <c r="AG23" s="111">
        <f t="shared" si="9"/>
        <v>-173100252.58706069</v>
      </c>
      <c r="AH23" s="281">
        <f t="shared" si="10"/>
        <v>0.50217699135176908</v>
      </c>
      <c r="AI23" s="342">
        <f t="shared" si="11"/>
        <v>71466861.750507355</v>
      </c>
    </row>
    <row r="24" spans="1:41" x14ac:dyDescent="0.6">
      <c r="A24" s="46">
        <f t="shared" si="15"/>
        <v>20</v>
      </c>
      <c r="B24" s="44" t="s">
        <v>18</v>
      </c>
      <c r="C24" s="290">
        <v>0</v>
      </c>
      <c r="D24" s="290">
        <v>0</v>
      </c>
      <c r="E24" s="290">
        <v>130</v>
      </c>
      <c r="F24" s="290">
        <v>0</v>
      </c>
      <c r="G24" s="961">
        <v>912</v>
      </c>
      <c r="H24" s="1455">
        <v>0</v>
      </c>
      <c r="I24" s="1449">
        <v>1224</v>
      </c>
      <c r="J24" s="1449">
        <f>606+1628</f>
        <v>2234</v>
      </c>
      <c r="K24" s="1449">
        <v>0</v>
      </c>
      <c r="L24" s="1449">
        <f>594+3451</f>
        <v>4045</v>
      </c>
      <c r="M24" s="290">
        <f>((H24)*Assumptions!$C$81+(I24)*Assumptions!$C$82+(J24)*Assumptions!$C$83+(K24)*Assumptions!$C$84+(L24)*Assumptions!$C$85)*1000</f>
        <v>156411812</v>
      </c>
      <c r="N24" s="290">
        <f>((C24+H24)*Assumptions!$C$81+(D24+I24)*Assumptions!$C$82+(E24+J24)*Assumptions!$C$83+(F24+K24)*Assumptions!$C$84+(G24+L24)*Assumptions!$C$85)*1000</f>
        <v>173920388</v>
      </c>
      <c r="O24" s="487">
        <f t="shared" si="3"/>
        <v>20.353468461088355</v>
      </c>
      <c r="P24" s="487">
        <f t="shared" si="4"/>
        <v>162.82774768870684</v>
      </c>
      <c r="Q24" s="345">
        <f>N24*1000000/Assumptions!$C$8</f>
        <v>1391363104</v>
      </c>
      <c r="R24" s="391">
        <f>Assumptions!$H$3</f>
        <v>1.1863330000000001</v>
      </c>
      <c r="S24" s="297">
        <f>Assumptions!$C$54</f>
        <v>0.13175999999999999</v>
      </c>
      <c r="T24" s="422">
        <v>69.86</v>
      </c>
      <c r="U24" s="458">
        <f>T24/P24*R24</f>
        <v>0.50898710174659056</v>
      </c>
      <c r="V24" s="472">
        <v>154.41999999999999</v>
      </c>
      <c r="W24" s="306">
        <f t="shared" ref="W24:W39" si="17">V24/P24*R24</f>
        <v>1.125075697848676</v>
      </c>
      <c r="X24" s="325"/>
      <c r="Y24" s="329"/>
      <c r="Z24" s="281"/>
      <c r="AA24" s="281">
        <f t="shared" si="14"/>
        <v>0</v>
      </c>
      <c r="AB24" s="314">
        <f t="shared" si="5"/>
        <v>0</v>
      </c>
      <c r="AC24" s="34">
        <f t="shared" si="6"/>
        <v>1.125075697848676</v>
      </c>
      <c r="AD24" s="366">
        <f t="shared" si="7"/>
        <v>1565388815.1937001</v>
      </c>
      <c r="AE24" s="336">
        <f>-'OECD coal subsidies'!C432</f>
        <v>-174162522</v>
      </c>
      <c r="AF24" s="342">
        <f t="shared" si="8"/>
        <v>-206614747.21182603</v>
      </c>
      <c r="AG24" s="111">
        <f t="shared" si="9"/>
        <v>1358774067.981874</v>
      </c>
      <c r="AH24" s="281">
        <f t="shared" si="10"/>
        <v>1.6340627995952666</v>
      </c>
      <c r="AI24" s="342">
        <f t="shared" si="11"/>
        <v>2066959941.763974</v>
      </c>
    </row>
    <row r="25" spans="1:41" x14ac:dyDescent="0.6">
      <c r="A25" s="46">
        <f t="shared" si="15"/>
        <v>21</v>
      </c>
      <c r="B25" s="44" t="s">
        <v>19</v>
      </c>
      <c r="C25" s="290"/>
      <c r="D25" s="290"/>
      <c r="E25" s="290">
        <v>0</v>
      </c>
      <c r="F25" s="290">
        <v>1587</v>
      </c>
      <c r="G25" s="961">
        <v>521</v>
      </c>
      <c r="H25" s="1455">
        <v>0</v>
      </c>
      <c r="I25" s="1449">
        <v>0</v>
      </c>
      <c r="J25" s="1449">
        <v>286</v>
      </c>
      <c r="K25" s="1449">
        <v>0</v>
      </c>
      <c r="L25" s="1449">
        <v>0</v>
      </c>
      <c r="M25" s="290">
        <f>((H25)*Assumptions!$C$81+(I25)*Assumptions!$C$82+(J25)*Assumptions!$C$83+(K25)*Assumptions!$C$84+(L25)*Assumptions!$C$85)*1000</f>
        <v>7564128</v>
      </c>
      <c r="N25" s="290">
        <f>((C25+H25)*Assumptions!$C$81+(D25+I25)*Assumptions!$C$82+(E25+J25)*Assumptions!$C$83+(F25+K25)*Assumptions!$C$84+(G25+L25)*Assumptions!$C$85)*1000</f>
        <v>45332974</v>
      </c>
      <c r="O25" s="487">
        <f t="shared" si="3"/>
        <v>18.936079365079365</v>
      </c>
      <c r="P25" s="487">
        <f t="shared" si="4"/>
        <v>151.48863492063492</v>
      </c>
      <c r="Q25" s="345">
        <f>N25*1000000/Assumptions!$C$8</f>
        <v>362663792</v>
      </c>
      <c r="R25" s="391">
        <f>Assumptions!$H$19</f>
        <v>0.119739</v>
      </c>
      <c r="S25" s="297">
        <f>Assumptions!$C$54</f>
        <v>0.13175999999999999</v>
      </c>
      <c r="T25" s="425"/>
      <c r="U25" s="1077">
        <f>Assumptions!$G$106</f>
        <v>0.45372050816696913</v>
      </c>
      <c r="V25" s="817">
        <v>65.98</v>
      </c>
      <c r="W25" s="306">
        <f t="shared" si="13"/>
        <v>1.0409539660272</v>
      </c>
      <c r="X25" s="325"/>
      <c r="Y25" s="329"/>
      <c r="Z25" s="281"/>
      <c r="AA25" s="281">
        <f t="shared" si="14"/>
        <v>0</v>
      </c>
      <c r="AB25" s="314">
        <f t="shared" si="5"/>
        <v>0</v>
      </c>
      <c r="AC25" s="34">
        <f t="shared" si="6"/>
        <v>1.0409539660272</v>
      </c>
      <c r="AD25" s="366">
        <f t="shared" si="7"/>
        <v>377516312.61686355</v>
      </c>
      <c r="AE25" s="336">
        <f>-'OECD coal subsidies'!C443</f>
        <v>-5507527535</v>
      </c>
      <c r="AF25" s="342">
        <f t="shared" si="8"/>
        <v>-659465839.51336503</v>
      </c>
      <c r="AG25" s="111">
        <f t="shared" si="9"/>
        <v>-281949526.89650148</v>
      </c>
      <c r="AH25" s="281">
        <f t="shared" si="10"/>
        <v>1.4946744741941691</v>
      </c>
      <c r="AI25" s="342">
        <f t="shared" si="11"/>
        <v>-117401526.89650154</v>
      </c>
    </row>
    <row r="26" spans="1:41" ht="15.9" thickBot="1" x14ac:dyDescent="0.65">
      <c r="A26" s="15">
        <f t="shared" si="15"/>
        <v>22</v>
      </c>
      <c r="B26" s="47" t="s">
        <v>20</v>
      </c>
      <c r="C26" s="291">
        <v>0</v>
      </c>
      <c r="D26" s="291">
        <v>139</v>
      </c>
      <c r="E26" s="291">
        <v>2596</v>
      </c>
      <c r="F26" s="291">
        <v>0</v>
      </c>
      <c r="G26" s="962">
        <v>0</v>
      </c>
      <c r="H26" s="1457">
        <v>0</v>
      </c>
      <c r="I26" s="1451">
        <v>5004</v>
      </c>
      <c r="J26" s="1451">
        <f>29178+19</f>
        <v>29197</v>
      </c>
      <c r="K26" s="1451">
        <v>0</v>
      </c>
      <c r="L26" s="1451">
        <v>0</v>
      </c>
      <c r="M26" s="291">
        <f>((H26)*Assumptions!$C$81+(I26)*Assumptions!$C$82+(J26)*Assumptions!$C$83+(K26)*Assumptions!$C$84+(L26)*Assumptions!$C$85)*1000</f>
        <v>914966376</v>
      </c>
      <c r="N26" s="291">
        <f>((C26+H26)*Assumptions!$C$81+(D26+I26)*Assumptions!$C$82+(E26+J26)*Assumptions!$C$83+(F26+K26)*Assumptions!$C$84+(G26+L26)*Assumptions!$C$85)*1000</f>
        <v>987591054</v>
      </c>
      <c r="O26" s="489">
        <f t="shared" si="3"/>
        <v>26.737899447693309</v>
      </c>
      <c r="P26" s="489">
        <f t="shared" si="4"/>
        <v>213.90319558154647</v>
      </c>
      <c r="Q26" s="347">
        <f>N26*1000000/Assumptions!$C$8</f>
        <v>7900728432</v>
      </c>
      <c r="R26" s="419">
        <f>Assumptions!$H$20</f>
        <v>1.337591</v>
      </c>
      <c r="S26" s="299">
        <f>Assumptions!$C$54</f>
        <v>0.13175999999999999</v>
      </c>
      <c r="T26" s="421">
        <v>87.06</v>
      </c>
      <c r="U26" s="371">
        <f>T26/P26*R26</f>
        <v>0.54440828779299577</v>
      </c>
      <c r="V26" s="518">
        <v>6.73</v>
      </c>
      <c r="W26" s="309">
        <f t="shared" si="17"/>
        <v>4.2084398998930177E-2</v>
      </c>
      <c r="X26" s="376"/>
      <c r="Y26" s="334"/>
      <c r="Z26" s="318"/>
      <c r="AA26" s="318">
        <f t="shared" si="14"/>
        <v>0</v>
      </c>
      <c r="AB26" s="319">
        <f t="shared" si="5"/>
        <v>0</v>
      </c>
      <c r="AC26" s="37">
        <f t="shared" si="6"/>
        <v>4.2084398998930177E-2</v>
      </c>
      <c r="AD26" s="368">
        <f t="shared" si="7"/>
        <v>332497407.71447998</v>
      </c>
      <c r="AE26" s="340">
        <f>-'OECD coal subsidies'!C457</f>
        <v>-891833160</v>
      </c>
      <c r="AF26" s="344">
        <f t="shared" si="8"/>
        <v>-1192908008.31756</v>
      </c>
      <c r="AG26" s="163">
        <f t="shared" si="9"/>
        <v>-860410600.60308003</v>
      </c>
      <c r="AH26" s="318">
        <f t="shared" si="10"/>
        <v>0.5864926867919259</v>
      </c>
      <c r="AI26" s="344">
        <f t="shared" si="11"/>
        <v>3440811437.3794794</v>
      </c>
    </row>
    <row r="27" spans="1:41" ht="15.9" thickTop="1" x14ac:dyDescent="0.6">
      <c r="A27" s="48" t="s">
        <v>36</v>
      </c>
      <c r="B27" s="44"/>
      <c r="C27" s="1405"/>
      <c r="D27" s="1405"/>
      <c r="E27" s="1405"/>
      <c r="F27" s="1405"/>
      <c r="G27" s="1448"/>
      <c r="H27" s="1458"/>
      <c r="I27" s="1452"/>
      <c r="J27" s="1452"/>
      <c r="K27" s="1452"/>
      <c r="L27" s="1452"/>
      <c r="M27" s="290"/>
      <c r="N27" s="290"/>
      <c r="O27" s="487"/>
      <c r="P27" s="487"/>
      <c r="Q27" s="345">
        <f>N27*1000000/Assumptions!$C$8</f>
        <v>0</v>
      </c>
      <c r="R27" s="399"/>
      <c r="S27" s="297"/>
      <c r="T27" s="383"/>
      <c r="U27" s="301"/>
      <c r="V27" s="393"/>
      <c r="W27" s="306"/>
      <c r="X27" s="322"/>
      <c r="Y27" s="329"/>
      <c r="Z27" s="320"/>
      <c r="AA27" s="320"/>
      <c r="AB27" s="314"/>
      <c r="AC27" s="41">
        <f t="shared" si="6"/>
        <v>0</v>
      </c>
      <c r="AD27" s="366"/>
      <c r="AE27" s="336"/>
      <c r="AF27" s="342"/>
      <c r="AG27" s="111"/>
      <c r="AH27" s="320"/>
      <c r="AI27" s="342"/>
    </row>
    <row r="28" spans="1:41" x14ac:dyDescent="0.6">
      <c r="A28" s="61">
        <f>A26+1</f>
        <v>23</v>
      </c>
      <c r="B28" s="44" t="s">
        <v>38</v>
      </c>
      <c r="C28" s="290">
        <v>243</v>
      </c>
      <c r="D28" s="290">
        <v>300</v>
      </c>
      <c r="E28" s="290">
        <v>751</v>
      </c>
      <c r="F28" s="290">
        <v>413</v>
      </c>
      <c r="G28" s="961">
        <v>320</v>
      </c>
      <c r="H28" s="1455">
        <v>0</v>
      </c>
      <c r="I28" s="1449">
        <v>2940</v>
      </c>
      <c r="J28" s="1449">
        <v>2898</v>
      </c>
      <c r="K28" s="1449">
        <v>24479</v>
      </c>
      <c r="L28" s="1449">
        <v>8847</v>
      </c>
      <c r="M28" s="290">
        <f>((H28)*Assumptions!$C$81+(I28)*Assumptions!$C$82+(J28)*Assumptions!$C$83+(K28)*Assumptions!$C$84+(L28)*Assumptions!$C$85)*1000</f>
        <v>755605606.00000012</v>
      </c>
      <c r="N28" s="290">
        <f>((C28+H28)*Assumptions!$C$81+(D28+I28)*Assumptions!$C$82+(E28+J28)*Assumptions!$C$83+(F28+K28)*Assumptions!$C$84+(G28+L28)*Assumptions!$C$85)*1000</f>
        <v>803663592.00000012</v>
      </c>
      <c r="O28" s="487">
        <f t="shared" ref="O28:O34" si="18">(IF(N28=0,0,(N28/SUM(C28:L28)/1000)))</f>
        <v>19.510659901434781</v>
      </c>
      <c r="P28" s="487">
        <f t="shared" si="4"/>
        <v>156.08527921147825</v>
      </c>
      <c r="Q28" s="345">
        <f>N28*1000000/Assumptions!$C$8</f>
        <v>6429308736.000001</v>
      </c>
      <c r="R28" s="399">
        <f>Assumptions!$H$4</f>
        <v>0.78824099999999997</v>
      </c>
      <c r="S28" s="297">
        <f>Assumptions!$C$54</f>
        <v>0.13175999999999999</v>
      </c>
      <c r="T28" s="441"/>
      <c r="U28" s="458">
        <f>Assumptions!G109</f>
        <v>0.35446914700544463</v>
      </c>
      <c r="V28" s="473"/>
      <c r="W28" s="306">
        <f t="shared" si="17"/>
        <v>0</v>
      </c>
      <c r="X28" s="322"/>
      <c r="Y28" s="329">
        <f t="shared" ref="Y28:Y34" si="19">X28*U28</f>
        <v>0</v>
      </c>
      <c r="Z28" s="320">
        <f t="shared" ref="Z28:Z34" si="20">X28*W28</f>
        <v>0</v>
      </c>
      <c r="AA28" s="320">
        <f t="shared" si="14"/>
        <v>0</v>
      </c>
      <c r="AB28" s="314">
        <f t="shared" ref="AB28:AB34" si="21">Y28*Q28</f>
        <v>0</v>
      </c>
      <c r="AC28" s="41">
        <f t="shared" si="6"/>
        <v>0</v>
      </c>
      <c r="AD28" s="366">
        <f t="shared" ref="AD28:AD34" si="22">Q28*AC28</f>
        <v>0</v>
      </c>
      <c r="AE28" s="336">
        <f>-'OECD coal subsidies'!C479</f>
        <v>-23987977</v>
      </c>
      <c r="AF28" s="342">
        <f t="shared" ref="AF28:AF34" si="23">AE28*R28</f>
        <v>-18908306.978457</v>
      </c>
      <c r="AG28" s="111">
        <f t="shared" ref="AG28:AG34" si="24">AD28+AF28</f>
        <v>-18908306.978457</v>
      </c>
      <c r="AH28" s="320">
        <f t="shared" ref="AH28:AH34" si="25">U28+W28</f>
        <v>0.35446914700544463</v>
      </c>
      <c r="AI28" s="342">
        <f t="shared" ref="AI28:AI34" si="26">AH28*Q28+AF28</f>
        <v>2260083276.5061169</v>
      </c>
    </row>
    <row r="29" spans="1:41" x14ac:dyDescent="0.6">
      <c r="A29" s="61">
        <f t="shared" ref="A29:A34" si="27">A28+1</f>
        <v>24</v>
      </c>
      <c r="B29" s="44" t="s">
        <v>39</v>
      </c>
      <c r="C29" s="290">
        <v>0</v>
      </c>
      <c r="D29" s="290">
        <v>0</v>
      </c>
      <c r="E29" s="290">
        <v>649</v>
      </c>
      <c r="F29" s="290">
        <v>0</v>
      </c>
      <c r="G29" s="961">
        <v>0</v>
      </c>
      <c r="H29" s="1455">
        <v>0</v>
      </c>
      <c r="I29" s="1449">
        <v>0</v>
      </c>
      <c r="J29" s="1449">
        <v>26</v>
      </c>
      <c r="K29" s="1449">
        <v>0</v>
      </c>
      <c r="L29" s="1449">
        <v>0</v>
      </c>
      <c r="M29" s="290">
        <f>((H29)*Assumptions!$C$81+(I29)*Assumptions!$C$82+(J29)*Assumptions!$C$83+(K29)*Assumptions!$C$84+(L29)*Assumptions!$C$85)*1000</f>
        <v>687648</v>
      </c>
      <c r="N29" s="290">
        <f>((C29+H29)*Assumptions!$C$81+(D29+I29)*Assumptions!$C$82+(E29+J29)*Assumptions!$C$83+(F29+K29)*Assumptions!$C$84+(G29+L29)*Assumptions!$C$85)*1000</f>
        <v>17852400</v>
      </c>
      <c r="O29" s="487">
        <f t="shared" si="18"/>
        <v>26.448</v>
      </c>
      <c r="P29" s="487">
        <f t="shared" si="4"/>
        <v>211.584</v>
      </c>
      <c r="Q29" s="345">
        <f>N29*1000000/Assumptions!$C$8</f>
        <v>142819200</v>
      </c>
      <c r="R29" s="399">
        <f>Assumptions!$H$5</f>
        <v>0.12035</v>
      </c>
      <c r="S29" s="297">
        <f>Assumptions!$C$54</f>
        <v>0.13175999999999999</v>
      </c>
      <c r="T29" s="442"/>
      <c r="U29" s="1077">
        <f>Assumptions!$G$106</f>
        <v>0.45372050816696913</v>
      </c>
      <c r="V29" s="478"/>
      <c r="W29" s="306">
        <f>U83</f>
        <v>0.2310419125</v>
      </c>
      <c r="X29" s="322"/>
      <c r="Y29" s="329">
        <f t="shared" si="19"/>
        <v>0</v>
      </c>
      <c r="Z29" s="320">
        <f t="shared" si="20"/>
        <v>0</v>
      </c>
      <c r="AA29" s="320">
        <f t="shared" si="14"/>
        <v>0</v>
      </c>
      <c r="AB29" s="314">
        <f t="shared" si="21"/>
        <v>0</v>
      </c>
      <c r="AC29" s="41">
        <f t="shared" si="6"/>
        <v>0.2310419125</v>
      </c>
      <c r="AD29" s="366">
        <f t="shared" si="22"/>
        <v>32997221.109719999</v>
      </c>
      <c r="AE29" s="336">
        <f>-'OECD coal subsidies'!C505</f>
        <v>-536346476</v>
      </c>
      <c r="AF29" s="342">
        <f t="shared" si="23"/>
        <v>-64549298.386600003</v>
      </c>
      <c r="AG29" s="111">
        <f t="shared" si="24"/>
        <v>-31552077.276880004</v>
      </c>
      <c r="AH29" s="320">
        <f t="shared" si="25"/>
        <v>0.68476242066696913</v>
      </c>
      <c r="AI29" s="342">
        <f t="shared" si="26"/>
        <v>33247922.723119989</v>
      </c>
    </row>
    <row r="30" spans="1:41" x14ac:dyDescent="0.6">
      <c r="A30" s="61">
        <f t="shared" si="27"/>
        <v>25</v>
      </c>
      <c r="B30" s="44" t="s">
        <v>40</v>
      </c>
      <c r="C30" s="290">
        <v>12</v>
      </c>
      <c r="D30" s="290">
        <v>0</v>
      </c>
      <c r="E30" s="290">
        <v>65</v>
      </c>
      <c r="F30" s="290">
        <v>0</v>
      </c>
      <c r="G30" s="961">
        <v>130</v>
      </c>
      <c r="H30" s="1455">
        <v>0</v>
      </c>
      <c r="I30" s="1449">
        <v>0</v>
      </c>
      <c r="J30" s="1449">
        <v>0</v>
      </c>
      <c r="K30" s="1449">
        <v>0</v>
      </c>
      <c r="L30" s="1449">
        <v>0</v>
      </c>
      <c r="M30" s="290">
        <f>((H30)*Assumptions!$C$81+(I30)*Assumptions!$C$82+(J30)*Assumptions!$C$83+(K30)*Assumptions!$C$84+(L30)*Assumptions!$C$85)*1000</f>
        <v>0</v>
      </c>
      <c r="N30" s="290">
        <f>((C30+H30)*Assumptions!$C$81+(D30+I30)*Assumptions!$C$82+(E30+J30)*Assumptions!$C$83+(F30+K30)*Assumptions!$C$84+(G30+L30)*Assumptions!$C$85)*1000</f>
        <v>4068584</v>
      </c>
      <c r="O30" s="487">
        <f t="shared" si="18"/>
        <v>19.654995169082124</v>
      </c>
      <c r="P30" s="487">
        <f t="shared" si="4"/>
        <v>157.23996135265699</v>
      </c>
      <c r="Q30" s="345">
        <f>N30*1000000/Assumptions!$C$8</f>
        <v>32548672</v>
      </c>
      <c r="R30" s="399">
        <f>Assumptions!$H$6</f>
        <v>1.010632</v>
      </c>
      <c r="S30" s="297">
        <f>Assumptions!$C$54</f>
        <v>0.13175999999999999</v>
      </c>
      <c r="T30" s="443">
        <v>95</v>
      </c>
      <c r="U30" s="458">
        <f>T30/P30*R30</f>
        <v>0.61059567284342664</v>
      </c>
      <c r="V30" s="480"/>
      <c r="W30" s="306">
        <f>U75</f>
        <v>0.70491581999999997</v>
      </c>
      <c r="X30" s="322"/>
      <c r="Y30" s="329">
        <f t="shared" si="19"/>
        <v>0</v>
      </c>
      <c r="Z30" s="320">
        <f t="shared" si="20"/>
        <v>0</v>
      </c>
      <c r="AA30" s="320">
        <f t="shared" si="14"/>
        <v>0</v>
      </c>
      <c r="AB30" s="314">
        <f t="shared" si="21"/>
        <v>0</v>
      </c>
      <c r="AC30" s="41">
        <f t="shared" si="6"/>
        <v>0.70491581999999997</v>
      </c>
      <c r="AD30" s="366">
        <f t="shared" si="22"/>
        <v>22944073.812791038</v>
      </c>
      <c r="AE30" s="336">
        <f>-'OECD coal subsidies'!C509</f>
        <v>-30019168</v>
      </c>
      <c r="AF30" s="342">
        <f t="shared" si="23"/>
        <v>-30338331.794176001</v>
      </c>
      <c r="AG30" s="111">
        <f t="shared" si="24"/>
        <v>-7394257.9813849628</v>
      </c>
      <c r="AH30" s="320">
        <f t="shared" si="25"/>
        <v>1.3155114928434266</v>
      </c>
      <c r="AI30" s="342">
        <f t="shared" si="26"/>
        <v>12479820.298615042</v>
      </c>
    </row>
    <row r="31" spans="1:41" x14ac:dyDescent="0.6">
      <c r="A31" s="61">
        <f t="shared" si="27"/>
        <v>26</v>
      </c>
      <c r="B31" s="44" t="s">
        <v>31</v>
      </c>
      <c r="C31" s="290">
        <v>0</v>
      </c>
      <c r="D31" s="290">
        <v>3</v>
      </c>
      <c r="E31" s="290">
        <v>15810</v>
      </c>
      <c r="F31" s="290">
        <v>0</v>
      </c>
      <c r="G31" s="961">
        <v>0</v>
      </c>
      <c r="H31" s="1455">
        <v>0</v>
      </c>
      <c r="I31" s="1449">
        <v>50328</v>
      </c>
      <c r="J31" s="1449">
        <v>104620</v>
      </c>
      <c r="K31" s="1449">
        <v>0</v>
      </c>
      <c r="L31" s="1449">
        <v>0</v>
      </c>
      <c r="M31" s="290">
        <f>((H31)*Assumptions!$C$81+(I31)*Assumptions!$C$82+(J31)*Assumptions!$C$83+(K31)*Assumptions!$C$84+(L31)*Assumptions!$C$85)*1000</f>
        <v>4202847600.0000005</v>
      </c>
      <c r="N31" s="290">
        <f>((C31+H31)*Assumptions!$C$81+(D31+I31)*Assumptions!$C$82+(E31+J31)*Assumptions!$C$83+(F31+K31)*Assumptions!$C$84+(G31+L31)*Assumptions!$C$85)*1000</f>
        <v>4621076070</v>
      </c>
      <c r="O31" s="487">
        <f t="shared" si="18"/>
        <v>27.061659688102086</v>
      </c>
      <c r="P31" s="487">
        <f t="shared" si="4"/>
        <v>216.49327750481669</v>
      </c>
      <c r="Q31" s="345">
        <f>N31*1000000/Assumptions!$C$8</f>
        <v>36968608560</v>
      </c>
      <c r="R31" s="399">
        <f>Assumptions!$H$7</f>
        <v>8.829E-3</v>
      </c>
      <c r="S31" s="297">
        <f>Assumptions!$C$54</f>
        <v>0.13175999999999999</v>
      </c>
      <c r="T31" s="444">
        <f>9925</f>
        <v>9925</v>
      </c>
      <c r="U31" s="458">
        <f>T31/P31*R31</f>
        <v>0.40476002770132385</v>
      </c>
      <c r="V31" s="521">
        <v>1140</v>
      </c>
      <c r="W31" s="306">
        <f t="shared" si="17"/>
        <v>4.6491328118842233E-2</v>
      </c>
      <c r="X31" s="322"/>
      <c r="Y31" s="329">
        <f t="shared" si="19"/>
        <v>0</v>
      </c>
      <c r="Z31" s="320">
        <f t="shared" si="20"/>
        <v>0</v>
      </c>
      <c r="AA31" s="320">
        <f t="shared" si="14"/>
        <v>0</v>
      </c>
      <c r="AB31" s="314">
        <f t="shared" si="21"/>
        <v>0</v>
      </c>
      <c r="AC31" s="41">
        <f t="shared" si="6"/>
        <v>4.6491328118842233E-2</v>
      </c>
      <c r="AD31" s="366">
        <f t="shared" si="22"/>
        <v>1718719710.6599996</v>
      </c>
      <c r="AE31" s="336">
        <f>-'OECD coal subsidies'!C517</f>
        <v>-22388394546</v>
      </c>
      <c r="AF31" s="342">
        <f t="shared" si="23"/>
        <v>-197667135.44663399</v>
      </c>
      <c r="AG31" s="111">
        <f t="shared" si="24"/>
        <v>1521052575.2133656</v>
      </c>
      <c r="AH31" s="320">
        <f t="shared" si="25"/>
        <v>0.45125135582016607</v>
      </c>
      <c r="AI31" s="342">
        <f t="shared" si="26"/>
        <v>16484467600.038363</v>
      </c>
    </row>
    <row r="32" spans="1:41" x14ac:dyDescent="0.6">
      <c r="A32" s="61">
        <f t="shared" si="27"/>
        <v>27</v>
      </c>
      <c r="B32" s="44" t="s">
        <v>47</v>
      </c>
      <c r="C32" s="290">
        <v>1978</v>
      </c>
      <c r="D32" s="290">
        <v>2117</v>
      </c>
      <c r="E32" s="290">
        <v>5058</v>
      </c>
      <c r="F32" s="290">
        <v>0</v>
      </c>
      <c r="G32" s="961">
        <v>0</v>
      </c>
      <c r="H32" s="1455">
        <f>2125+148</f>
        <v>2273</v>
      </c>
      <c r="I32" s="1449">
        <v>34253</v>
      </c>
      <c r="J32" s="1449">
        <f>72768+7885</f>
        <v>80653</v>
      </c>
      <c r="K32" s="1449">
        <v>6824</v>
      </c>
      <c r="L32" s="1449">
        <v>0</v>
      </c>
      <c r="M32" s="290">
        <f>((H32)*Assumptions!$C$81+(I32)*Assumptions!$C$82+(J32)*Assumptions!$C$83+(K32)*Assumptions!$C$84+(L32)*Assumptions!$C$85)*1000</f>
        <v>3303315446.0000005</v>
      </c>
      <c r="N32" s="290">
        <f>((C32+H32)*Assumptions!$C$81+(D32+I32)*Assumptions!$C$82+(E32+J32)*Assumptions!$C$83+(F32+K32)*Assumptions!$C$84+(G32+L32)*Assumptions!$C$85)*1000</f>
        <v>3554161096.0000005</v>
      </c>
      <c r="O32" s="487">
        <f t="shared" si="18"/>
        <v>26.691708191895223</v>
      </c>
      <c r="P32" s="487">
        <f t="shared" si="4"/>
        <v>213.53366553516179</v>
      </c>
      <c r="Q32" s="345">
        <f>N32*1000000/Assumptions!$C$8</f>
        <v>28433288768.000004</v>
      </c>
      <c r="R32" s="399">
        <f>Assumptions!$H$8</f>
        <v>9.3000000000000005E-4</v>
      </c>
      <c r="S32" s="297">
        <f>Assumptions!$C$54</f>
        <v>0.13175999999999999</v>
      </c>
      <c r="T32" s="446"/>
      <c r="U32" s="1077">
        <f>U31</f>
        <v>0.40476002770132385</v>
      </c>
      <c r="V32" s="522"/>
      <c r="W32" s="306">
        <f t="shared" si="17"/>
        <v>0</v>
      </c>
      <c r="X32" s="322"/>
      <c r="Y32" s="329">
        <f t="shared" si="19"/>
        <v>0</v>
      </c>
      <c r="Z32" s="320">
        <f t="shared" si="20"/>
        <v>0</v>
      </c>
      <c r="AA32" s="320">
        <f t="shared" si="14"/>
        <v>0</v>
      </c>
      <c r="AB32" s="314">
        <f t="shared" si="21"/>
        <v>0</v>
      </c>
      <c r="AC32" s="41">
        <f t="shared" si="6"/>
        <v>0</v>
      </c>
      <c r="AD32" s="366">
        <f t="shared" si="22"/>
        <v>0</v>
      </c>
      <c r="AE32" s="336">
        <f>-'OECD coal subsidies'!C548</f>
        <v>-312816052122</v>
      </c>
      <c r="AF32" s="342">
        <f t="shared" si="23"/>
        <v>-290918928.47346002</v>
      </c>
      <c r="AG32" s="111">
        <f t="shared" si="24"/>
        <v>-290918928.47346002</v>
      </c>
      <c r="AH32" s="320">
        <f t="shared" si="25"/>
        <v>0.40476002770132385</v>
      </c>
      <c r="AI32" s="342">
        <f t="shared" si="26"/>
        <v>11217739820.901962</v>
      </c>
    </row>
    <row r="33" spans="1:42" x14ac:dyDescent="0.6">
      <c r="A33" s="61">
        <f t="shared" si="27"/>
        <v>28</v>
      </c>
      <c r="B33" s="44" t="s">
        <v>32</v>
      </c>
      <c r="C33" s="290">
        <v>26</v>
      </c>
      <c r="D33" s="290">
        <v>0</v>
      </c>
      <c r="E33" s="290">
        <v>1394</v>
      </c>
      <c r="F33" s="290">
        <v>2226</v>
      </c>
      <c r="G33" s="961">
        <v>19</v>
      </c>
      <c r="H33" s="1455">
        <v>0</v>
      </c>
      <c r="I33" s="1449">
        <v>3947</v>
      </c>
      <c r="J33" s="1449">
        <v>23625</v>
      </c>
      <c r="K33" s="1449">
        <f>20105+426</f>
        <v>20531</v>
      </c>
      <c r="L33" s="1449">
        <f>63550+1297</f>
        <v>64847</v>
      </c>
      <c r="M33" s="290">
        <f>((H33)*Assumptions!$C$81+(I33)*Assumptions!$C$82+(J33)*Assumptions!$C$83+(K33)*Assumptions!$C$84+(L33)*Assumptions!$C$85)*1000</f>
        <v>2122529180.0000002</v>
      </c>
      <c r="N33" s="290">
        <f>((C33+H33)*Assumptions!$C$81+(D33+I33)*Assumptions!$C$82+(E33+J33)*Assumptions!$C$83+(F33+K33)*Assumptions!$C$84+(G33+L33)*Assumptions!$C$85)*1000</f>
        <v>2202137660</v>
      </c>
      <c r="O33" s="487">
        <f t="shared" si="18"/>
        <v>18.883828495476571</v>
      </c>
      <c r="P33" s="487">
        <f t="shared" si="4"/>
        <v>151.07062796381257</v>
      </c>
      <c r="Q33" s="345">
        <f>N33*1000000/Assumptions!$C$8</f>
        <v>17617101280</v>
      </c>
      <c r="R33" s="399">
        <f>Assumptions!$H$9</f>
        <v>0.77382200000000001</v>
      </c>
      <c r="S33" s="297">
        <f>Assumptions!$C$54</f>
        <v>0.13175999999999999</v>
      </c>
      <c r="T33" s="389"/>
      <c r="U33" s="1077">
        <f>Assumptions!$C$112</f>
        <v>0.25</v>
      </c>
      <c r="V33" s="509"/>
      <c r="W33" s="306">
        <f t="shared" si="17"/>
        <v>0</v>
      </c>
      <c r="X33" s="322"/>
      <c r="Y33" s="329">
        <f t="shared" si="19"/>
        <v>0</v>
      </c>
      <c r="Z33" s="320">
        <f t="shared" si="20"/>
        <v>0</v>
      </c>
      <c r="AA33" s="320">
        <f t="shared" si="14"/>
        <v>0</v>
      </c>
      <c r="AB33" s="314">
        <f t="shared" si="21"/>
        <v>0</v>
      </c>
      <c r="AC33" s="41">
        <f t="shared" si="6"/>
        <v>0</v>
      </c>
      <c r="AD33" s="366">
        <f t="shared" si="22"/>
        <v>0</v>
      </c>
      <c r="AE33" s="336">
        <f>-'OECD coal subsidies'!C559</f>
        <v>-14595830</v>
      </c>
      <c r="AF33" s="342">
        <f t="shared" si="23"/>
        <v>-11294574.362260001</v>
      </c>
      <c r="AG33" s="111">
        <f t="shared" si="24"/>
        <v>-11294574.362260001</v>
      </c>
      <c r="AH33" s="320">
        <f t="shared" si="25"/>
        <v>0.25</v>
      </c>
      <c r="AI33" s="342">
        <f t="shared" si="26"/>
        <v>4392980745.6377401</v>
      </c>
    </row>
    <row r="34" spans="1:42" ht="15.9" thickBot="1" x14ac:dyDescent="0.65">
      <c r="A34" s="62">
        <f t="shared" si="27"/>
        <v>29</v>
      </c>
      <c r="B34" s="47" t="s">
        <v>33</v>
      </c>
      <c r="C34" s="291">
        <v>0</v>
      </c>
      <c r="D34" s="291">
        <v>5</v>
      </c>
      <c r="E34" s="291">
        <v>125</v>
      </c>
      <c r="F34" s="291">
        <v>755</v>
      </c>
      <c r="G34" s="962">
        <v>312</v>
      </c>
      <c r="H34" s="1457">
        <v>0</v>
      </c>
      <c r="I34" s="1451">
        <v>0</v>
      </c>
      <c r="J34" s="1451">
        <v>0</v>
      </c>
      <c r="K34" s="1451">
        <v>556</v>
      </c>
      <c r="L34" s="1451">
        <v>16</v>
      </c>
      <c r="M34" s="291">
        <f>((H34)*Assumptions!$C$81+(I34)*Assumptions!$C$82+(J34)*Assumptions!$C$83+(K34)*Assumptions!$C$84+(L34)*Assumptions!$C$85)*1000</f>
        <v>10662952.000000002</v>
      </c>
      <c r="N34" s="291">
        <f>((C34+H34)*Assumptions!$C$81+(D34+I34)*Assumptions!$C$82+(E34+J34)*Assumptions!$C$83+(F34+K34)*Assumptions!$C$84+(G34+L34)*Assumptions!$C$85)*1000</f>
        <v>33069308.000000004</v>
      </c>
      <c r="O34" s="489">
        <f t="shared" si="18"/>
        <v>18.693786319954778</v>
      </c>
      <c r="P34" s="489">
        <f t="shared" si="4"/>
        <v>149.55029055963823</v>
      </c>
      <c r="Q34" s="347">
        <f>N34*1000000/Assumptions!$C$8</f>
        <v>264554464.00000003</v>
      </c>
      <c r="R34" s="417">
        <f>Assumptions!$H$10</f>
        <v>0.70460400000000001</v>
      </c>
      <c r="S34" s="299">
        <f>Assumptions!$C$54</f>
        <v>0.13175999999999999</v>
      </c>
      <c r="T34" s="445"/>
      <c r="U34" s="1055">
        <f>Assumptions!$C$112</f>
        <v>0.25</v>
      </c>
      <c r="V34" s="477"/>
      <c r="W34" s="309">
        <f t="shared" si="17"/>
        <v>0</v>
      </c>
      <c r="X34" s="359"/>
      <c r="Y34" s="334">
        <f t="shared" si="19"/>
        <v>0</v>
      </c>
      <c r="Z34" s="321">
        <f t="shared" si="20"/>
        <v>0</v>
      </c>
      <c r="AA34" s="321">
        <f t="shared" si="14"/>
        <v>0</v>
      </c>
      <c r="AB34" s="319">
        <f t="shared" si="21"/>
        <v>0</v>
      </c>
      <c r="AC34" s="42">
        <f t="shared" si="6"/>
        <v>0</v>
      </c>
      <c r="AD34" s="368">
        <f t="shared" si="22"/>
        <v>0</v>
      </c>
      <c r="AE34" s="340">
        <f>-'OECD coal subsidies'!C589</f>
        <v>0</v>
      </c>
      <c r="AF34" s="344">
        <f t="shared" si="23"/>
        <v>0</v>
      </c>
      <c r="AG34" s="163">
        <f t="shared" si="24"/>
        <v>0</v>
      </c>
      <c r="AH34" s="321">
        <f t="shared" si="25"/>
        <v>0.25</v>
      </c>
      <c r="AI34" s="344">
        <f t="shared" si="26"/>
        <v>66138616.000000007</v>
      </c>
    </row>
    <row r="35" spans="1:42" ht="15.9" thickTop="1" x14ac:dyDescent="0.6">
      <c r="A35" s="49" t="s">
        <v>78</v>
      </c>
      <c r="B35" s="50"/>
      <c r="C35" s="1405"/>
      <c r="D35" s="1405"/>
      <c r="E35" s="1405"/>
      <c r="F35" s="1405"/>
      <c r="G35" s="1448"/>
      <c r="H35" s="1458"/>
      <c r="I35" s="1452"/>
      <c r="J35" s="1452"/>
      <c r="K35" s="1452"/>
      <c r="L35" s="1452"/>
      <c r="M35" s="290"/>
      <c r="N35" s="290"/>
      <c r="O35" s="487"/>
      <c r="P35" s="487"/>
      <c r="Q35" s="345"/>
      <c r="R35" s="391"/>
      <c r="S35" s="297"/>
      <c r="T35" s="295"/>
      <c r="U35" s="304"/>
      <c r="V35" s="393"/>
      <c r="W35" s="306"/>
      <c r="X35" s="322"/>
      <c r="Y35" s="329"/>
      <c r="Z35" s="320"/>
      <c r="AA35" s="320"/>
      <c r="AB35" s="314"/>
      <c r="AC35" s="41"/>
      <c r="AD35" s="366"/>
      <c r="AE35" s="336"/>
      <c r="AF35" s="342"/>
      <c r="AG35" s="111"/>
      <c r="AH35" s="320"/>
      <c r="AI35" s="342"/>
    </row>
    <row r="36" spans="1:42" x14ac:dyDescent="0.6">
      <c r="A36" s="61">
        <f>A34+1</f>
        <v>30</v>
      </c>
      <c r="B36" s="50" t="s">
        <v>46</v>
      </c>
      <c r="C36" s="290">
        <v>24770</v>
      </c>
      <c r="D36" s="290">
        <v>50607</v>
      </c>
      <c r="E36" s="290">
        <v>934049</v>
      </c>
      <c r="F36" s="290">
        <v>0</v>
      </c>
      <c r="G36" s="961">
        <v>0</v>
      </c>
      <c r="H36" s="1455">
        <v>0</v>
      </c>
      <c r="I36" s="1449">
        <f>318+586586</f>
        <v>586904</v>
      </c>
      <c r="J36" s="1449">
        <f>1792866</f>
        <v>1792866</v>
      </c>
      <c r="K36" s="1449">
        <v>0</v>
      </c>
      <c r="L36" s="1449">
        <v>0</v>
      </c>
      <c r="M36" s="290">
        <f>((H36)*Assumptions!$C$81+(I36)*Assumptions!$C$82+(J36)*Assumptions!$C$83+(K36)*Assumptions!$C$84+(L36)*Assumptions!$C$85)*1000</f>
        <v>64162091088</v>
      </c>
      <c r="N36" s="290">
        <f>((C36+H36)*Assumptions!$C$81+(D36+I36)*Assumptions!$C$82+(E36+J36)*Assumptions!$C$83+(F36+K36)*Assumptions!$C$84+(G36+L36)*Assumptions!$C$85)*1000</f>
        <v>91019346790</v>
      </c>
      <c r="O36" s="487">
        <f>(IF(N36=0,0,(N36/SUM(C36:L36)/1000)))</f>
        <v>26.855734159369948</v>
      </c>
      <c r="P36" s="487">
        <f t="shared" si="4"/>
        <v>214.84587327495959</v>
      </c>
      <c r="Q36" s="348">
        <f>N36*1000000/Assumptions!$C$8</f>
        <v>728154774320</v>
      </c>
      <c r="R36" s="399">
        <f>Assumptions!$H$11</f>
        <v>0.152529</v>
      </c>
      <c r="S36" s="297">
        <f>Assumptions!$C$54</f>
        <v>0.13175999999999999</v>
      </c>
      <c r="T36" s="1396">
        <f>AM17</f>
        <v>427</v>
      </c>
      <c r="U36" s="458">
        <f>T36/P36*R36</f>
        <v>0.30314700490731245</v>
      </c>
      <c r="V36" s="818"/>
      <c r="W36" s="842">
        <f>AD36/Q36</f>
        <v>7.3717279243946787E-3</v>
      </c>
      <c r="X36" s="322"/>
      <c r="Y36" s="329">
        <f>X36*U36</f>
        <v>0</v>
      </c>
      <c r="Z36" s="320"/>
      <c r="AA36" s="320">
        <f t="shared" si="14"/>
        <v>0</v>
      </c>
      <c r="AB36" s="314">
        <f>Y36*Q36</f>
        <v>0</v>
      </c>
      <c r="AC36" s="76">
        <f>AB36+W36</f>
        <v>7.3717279243946787E-3</v>
      </c>
      <c r="AD36" s="366">
        <f>AT15</f>
        <v>5367758883.1360493</v>
      </c>
      <c r="AE36" s="336">
        <f>-'OECD coal subsidies'!C591</f>
        <v>0</v>
      </c>
      <c r="AF36" s="342">
        <f>AE36*R36</f>
        <v>0</v>
      </c>
      <c r="AG36" s="111">
        <f>AD36+AF36</f>
        <v>5367758883.1360493</v>
      </c>
      <c r="AH36" s="281">
        <f>AM22+AC36</f>
        <v>0.31051873283170706</v>
      </c>
      <c r="AI36" s="342">
        <f t="shared" ref="AI36" si="28">AH36*Q36+AF36</f>
        <v>226105697827.20404</v>
      </c>
      <c r="AJ36" s="10"/>
    </row>
    <row r="37" spans="1:42" x14ac:dyDescent="0.6">
      <c r="A37" s="46">
        <f>A36+1</f>
        <v>31</v>
      </c>
      <c r="B37" s="50" t="s">
        <v>49</v>
      </c>
      <c r="C37" s="290">
        <v>0</v>
      </c>
      <c r="D37" s="290">
        <v>14143</v>
      </c>
      <c r="E37" s="290">
        <v>174483</v>
      </c>
      <c r="F37" s="290">
        <v>0</v>
      </c>
      <c r="G37" s="961">
        <v>4034</v>
      </c>
      <c r="H37" s="1455">
        <v>0</v>
      </c>
      <c r="I37" s="1449">
        <f>43526+42959</f>
        <v>86485</v>
      </c>
      <c r="J37" s="1449">
        <f>488915</f>
        <v>488915</v>
      </c>
      <c r="K37" s="1449">
        <v>79441</v>
      </c>
      <c r="L37" s="1449">
        <v>37555</v>
      </c>
      <c r="M37" s="290">
        <f>((H37)*Assumptions!$C$81+(I37)*Assumptions!$C$82+(J37)*Assumptions!$C$83+(K37)*Assumptions!$C$84+(L37)*Assumptions!$C$85)*1000</f>
        <v>17465887204</v>
      </c>
      <c r="N37" s="290">
        <f>((C37+H37)*Assumptions!$C$81+(D37+I37)*Assumptions!$C$82+(E37+J37)*Assumptions!$C$83+(F37+K37)*Assumptions!$C$84+(G37+L37)*Assumptions!$C$85)*1000</f>
        <v>22546349930</v>
      </c>
      <c r="O37" s="487">
        <f>(IF(N37=0,0,(N37/SUM(C37:L37)/1000)))</f>
        <v>25.474489670710103</v>
      </c>
      <c r="P37" s="487">
        <f t="shared" si="4"/>
        <v>203.79591736568082</v>
      </c>
      <c r="Q37" s="348">
        <f>N37*1000000/Assumptions!$C$8</f>
        <v>180370799440</v>
      </c>
      <c r="R37" s="399">
        <f>Assumptions!$H$12</f>
        <v>1.5587E-2</v>
      </c>
      <c r="S37" s="297">
        <f>Assumptions!$C$54</f>
        <v>0.13175999999999999</v>
      </c>
      <c r="T37" s="1400">
        <v>2000</v>
      </c>
      <c r="U37" s="351">
        <f>T37/P37*R37</f>
        <v>0.15296675420667527</v>
      </c>
      <c r="V37" s="1401">
        <v>200</v>
      </c>
      <c r="W37" s="306">
        <f t="shared" si="17"/>
        <v>1.5296675420667526E-2</v>
      </c>
      <c r="X37" s="322"/>
      <c r="Y37" s="329">
        <f>X37*U37</f>
        <v>0</v>
      </c>
      <c r="Z37" s="320">
        <f>X37*W37</f>
        <v>0</v>
      </c>
      <c r="AA37" s="320">
        <f t="shared" si="14"/>
        <v>0</v>
      </c>
      <c r="AB37" s="314">
        <f>Y37*Q37</f>
        <v>0</v>
      </c>
      <c r="AC37" s="41">
        <f>AB37+W37</f>
        <v>1.5296675420667526E-2</v>
      </c>
      <c r="AD37" s="366">
        <f>Q37*AC37</f>
        <v>2759073574.4000001</v>
      </c>
      <c r="AE37" s="336">
        <f>-'OECD coal subsidies'!C599</f>
        <v>-2495100001</v>
      </c>
      <c r="AF37" s="342">
        <f>AE37*R37</f>
        <v>-38891123.715586998</v>
      </c>
      <c r="AG37" s="111">
        <f>AD37+AF37</f>
        <v>2720182450.684413</v>
      </c>
      <c r="AH37" s="320">
        <f>U37+AC37</f>
        <v>0.16826342962734281</v>
      </c>
      <c r="AI37" s="342">
        <f>AH37*Q37+AF37</f>
        <v>30310918194.684418</v>
      </c>
    </row>
    <row r="38" spans="1:42" x14ac:dyDescent="0.6">
      <c r="A38" s="46">
        <f>A37+1</f>
        <v>32</v>
      </c>
      <c r="B38" s="44" t="s">
        <v>50</v>
      </c>
      <c r="C38" s="290">
        <v>0</v>
      </c>
      <c r="D38" s="290">
        <v>0</v>
      </c>
      <c r="E38" s="290">
        <v>5448</v>
      </c>
      <c r="F38" s="290">
        <v>1621</v>
      </c>
      <c r="G38" s="961">
        <v>18</v>
      </c>
      <c r="H38" s="1455">
        <v>0</v>
      </c>
      <c r="I38" s="1449">
        <v>10372</v>
      </c>
      <c r="J38" s="1449">
        <f>3842+289</f>
        <v>4131</v>
      </c>
      <c r="K38" s="1449">
        <f>2928+153</f>
        <v>3081</v>
      </c>
      <c r="L38" s="1449">
        <v>2700</v>
      </c>
      <c r="M38" s="290">
        <f>((H38)*Assumptions!$C$81+(I38)*Assumptions!$C$82+(J38)*Assumptions!$C$83+(K38)*Assumptions!$C$84+(L38)*Assumptions!$C$85)*1000</f>
        <v>504544902</v>
      </c>
      <c r="N38" s="290">
        <f>((C38+H38)*Assumptions!$C$81+(D38+I38)*Assumptions!$C$82+(E38+J38)*Assumptions!$C$83+(F38+K38)*Assumptions!$C$84+(G38+L38)*Assumptions!$C$85)*1000</f>
        <v>679279124.00000012</v>
      </c>
      <c r="O38" s="487">
        <f>(IF(N38=0,0,(N38/SUM(C38:L38)/1000)))</f>
        <v>24.817475576339927</v>
      </c>
      <c r="P38" s="487">
        <f t="shared" si="4"/>
        <v>198.53980461071941</v>
      </c>
      <c r="Q38" s="348">
        <f>N38*1000000/Assumptions!$C$8</f>
        <v>5434232992.000001</v>
      </c>
      <c r="R38" s="399">
        <f>Assumptions!$H$13</f>
        <v>0.30204900000000001</v>
      </c>
      <c r="S38" s="297">
        <f>Assumptions!$C$54</f>
        <v>0.13175999999999999</v>
      </c>
      <c r="T38" s="293"/>
      <c r="U38" s="351">
        <f>Assumptions!C112</f>
        <v>0.25</v>
      </c>
      <c r="V38" s="87"/>
      <c r="W38" s="306">
        <f>SUM('OECD coal subsidies'!C611:C613)/Q38</f>
        <v>1.8774606122004121E-2</v>
      </c>
      <c r="X38" s="322"/>
      <c r="Y38" s="329">
        <f>X38*U38</f>
        <v>0</v>
      </c>
      <c r="Z38" s="320"/>
      <c r="AA38" s="320">
        <f t="shared" si="14"/>
        <v>0</v>
      </c>
      <c r="AB38" s="314">
        <f>Y38*Q38</f>
        <v>0</v>
      </c>
      <c r="AC38" s="41">
        <f>AB38+W38</f>
        <v>1.8774606122004121E-2</v>
      </c>
      <c r="AD38" s="366">
        <f>Q38*AC38</f>
        <v>102025583.99999999</v>
      </c>
      <c r="AE38" s="336">
        <f>-'OECD coal subsidies'!C610</f>
        <v>-1116934642</v>
      </c>
      <c r="AF38" s="342">
        <f>AE38*R38</f>
        <v>-337368991.681458</v>
      </c>
      <c r="AG38" s="111">
        <f>AD38+AF38</f>
        <v>-235343407.681458</v>
      </c>
      <c r="AH38" s="320">
        <f t="shared" ref="AH38" si="29">U38+W38</f>
        <v>0.2687746061220041</v>
      </c>
      <c r="AI38" s="342">
        <f>AH38*Q38+AF38</f>
        <v>1123214840.318542</v>
      </c>
    </row>
    <row r="39" spans="1:42" ht="15.9" thickBot="1" x14ac:dyDescent="0.65">
      <c r="A39" s="15">
        <f>A38+1</f>
        <v>33</v>
      </c>
      <c r="B39" s="47" t="s">
        <v>51</v>
      </c>
      <c r="C39" s="291">
        <v>0</v>
      </c>
      <c r="D39" s="291">
        <v>0</v>
      </c>
      <c r="E39" s="291">
        <v>7859</v>
      </c>
      <c r="F39" s="291">
        <v>0</v>
      </c>
      <c r="G39" s="962">
        <v>1254</v>
      </c>
      <c r="H39" s="1457">
        <v>0</v>
      </c>
      <c r="I39" s="1451">
        <v>65160</v>
      </c>
      <c r="J39" s="1451">
        <f>56230</f>
        <v>56230</v>
      </c>
      <c r="K39" s="1451">
        <v>0</v>
      </c>
      <c r="L39" s="1451">
        <f>65016</f>
        <v>65016</v>
      </c>
      <c r="M39" s="291">
        <f>((H39)*Assumptions!$C$81+(I39)*Assumptions!$C$82+(J39)*Assumptions!$C$83+(K39)*Assumptions!$C$84+(L39)*Assumptions!$C$85)*1000</f>
        <v>4349252688</v>
      </c>
      <c r="N39" s="291">
        <f>((C39+H39)*Assumptions!$C$81+(D39+I39)*Assumptions!$C$82+(E39+J39)*Assumptions!$C$83+(F39+K39)*Assumptions!$C$84+(G39+L39)*Assumptions!$C$85)*1000</f>
        <v>4576454232.000001</v>
      </c>
      <c r="O39" s="489">
        <f>(IF(N39=0,0,(N39/SUM(C39:L39)/1000)))</f>
        <v>23.406698233931234</v>
      </c>
      <c r="P39" s="489">
        <f t="shared" si="4"/>
        <v>187.25358587144987</v>
      </c>
      <c r="Q39" s="349">
        <f>N39*1000000/Assumptions!$C$8</f>
        <v>36611633856.000008</v>
      </c>
      <c r="R39" s="417">
        <f>Assumptions!$H$14</f>
        <v>1.7344999999999999E-2</v>
      </c>
      <c r="S39" s="299">
        <f>Assumptions!$C$54</f>
        <v>0.13175999999999999</v>
      </c>
      <c r="T39" s="577"/>
      <c r="U39" s="303">
        <f>Assumptions!C112</f>
        <v>0.25</v>
      </c>
      <c r="V39" s="357"/>
      <c r="W39" s="309">
        <f t="shared" si="17"/>
        <v>0</v>
      </c>
      <c r="X39" s="359"/>
      <c r="Y39" s="334">
        <f>X39*U39</f>
        <v>0</v>
      </c>
      <c r="Z39" s="321"/>
      <c r="AA39" s="321">
        <f t="shared" si="14"/>
        <v>0</v>
      </c>
      <c r="AB39" s="319">
        <f>Y39*Q39</f>
        <v>0</v>
      </c>
      <c r="AC39" s="42">
        <f>AB39+W39</f>
        <v>0</v>
      </c>
      <c r="AD39" s="368">
        <f>Q39*AC39</f>
        <v>0</v>
      </c>
      <c r="AE39" s="340">
        <f>-'OECD coal subsidies'!C617</f>
        <v>-2079692498</v>
      </c>
      <c r="AF39" s="344">
        <f>AE39*R39</f>
        <v>-36072266.377810001</v>
      </c>
      <c r="AG39" s="163">
        <f>AD39+AF39</f>
        <v>-36072266.377810001</v>
      </c>
      <c r="AH39" s="321">
        <f>U39+W39</f>
        <v>0.25</v>
      </c>
      <c r="AI39" s="344">
        <f>AH39*Q39+AF39</f>
        <v>9116836197.6221924</v>
      </c>
    </row>
    <row r="40" spans="1:42" ht="15.9" thickTop="1" x14ac:dyDescent="0.6">
      <c r="A40" s="48" t="s">
        <v>52</v>
      </c>
      <c r="B40" s="44"/>
      <c r="C40" s="1405"/>
      <c r="D40" s="1405"/>
      <c r="E40" s="1405"/>
      <c r="F40" s="1405"/>
      <c r="G40" s="1448"/>
      <c r="H40" s="1458"/>
      <c r="I40" s="1452"/>
      <c r="J40" s="1452"/>
      <c r="K40" s="1452"/>
      <c r="L40" s="1452"/>
      <c r="M40" s="290"/>
      <c r="N40" s="290"/>
      <c r="O40" s="487"/>
      <c r="P40" s="487"/>
      <c r="Q40" s="348"/>
      <c r="R40" s="391"/>
      <c r="S40" s="297"/>
      <c r="T40" s="293"/>
      <c r="U40" s="301"/>
      <c r="V40" s="393"/>
      <c r="W40" s="306"/>
      <c r="X40" s="322"/>
      <c r="Y40" s="329"/>
      <c r="Z40" s="320"/>
      <c r="AA40" s="320"/>
      <c r="AB40" s="314"/>
      <c r="AC40" s="395"/>
      <c r="AD40" s="396"/>
      <c r="AE40" s="542"/>
      <c r="AF40" s="543"/>
      <c r="AG40" s="582"/>
      <c r="AH40" s="571"/>
      <c r="AI40" s="548"/>
    </row>
    <row r="41" spans="1:42" x14ac:dyDescent="0.6">
      <c r="A41" s="46">
        <f>A39+1</f>
        <v>34</v>
      </c>
      <c r="B41" s="44" t="s">
        <v>48</v>
      </c>
      <c r="C41" s="290">
        <v>89</v>
      </c>
      <c r="D41" s="290">
        <v>2512</v>
      </c>
      <c r="E41" s="290">
        <v>0</v>
      </c>
      <c r="F41" s="290">
        <v>2289</v>
      </c>
      <c r="G41" s="961">
        <v>576</v>
      </c>
      <c r="H41" s="1455">
        <v>0</v>
      </c>
      <c r="I41" s="1449">
        <v>2566</v>
      </c>
      <c r="J41" s="1449">
        <v>5328</v>
      </c>
      <c r="K41" s="1449">
        <v>10386</v>
      </c>
      <c r="L41" s="1449">
        <v>0</v>
      </c>
      <c r="M41" s="290">
        <f>((H41)*Assumptions!$C$81+(I41)*Assumptions!$C$82+(J41)*Assumptions!$C$83+(K41)*Assumptions!$C$84+(L41)*Assumptions!$C$85)*1000</f>
        <v>408694248</v>
      </c>
      <c r="N41" s="290">
        <f>((C41+H41)*Assumptions!$C$81+(D41+I41)*Assumptions!$C$82+(E41+J41)*Assumptions!$C$83+(F41+K41)*Assumptions!$C$84+(G41+L41)*Assumptions!$C$85)*1000</f>
        <v>534680290.00000006</v>
      </c>
      <c r="O41" s="487">
        <f t="shared" ref="O41:O65" si="30">(IF(N41=0,0,(N41/SUM(C41:L41)/1000)))</f>
        <v>22.516646593110423</v>
      </c>
      <c r="P41" s="487">
        <f t="shared" si="4"/>
        <v>180.13317274488338</v>
      </c>
      <c r="Q41" s="348">
        <f>N41*1000000/Assumptions!$C$8</f>
        <v>4277442320.0000005</v>
      </c>
      <c r="R41" s="399">
        <f>Assumptions!$H$25</f>
        <v>5.0333999999999997E-2</v>
      </c>
      <c r="S41" s="297"/>
      <c r="T41" s="1395">
        <v>446.2</v>
      </c>
      <c r="U41" s="351">
        <f>AH41-W41</f>
        <v>0.22644731660708864</v>
      </c>
      <c r="V41" s="393"/>
      <c r="W41" s="306">
        <f t="shared" ref="W41:W65" si="31">V41*R41*S41</f>
        <v>0</v>
      </c>
      <c r="X41" s="322"/>
      <c r="Y41" s="329"/>
      <c r="Z41" s="320"/>
      <c r="AA41" s="320"/>
      <c r="AB41" s="314"/>
      <c r="AC41" s="395"/>
      <c r="AD41" s="396">
        <f t="shared" ref="AD41:AD65" si="32">Q41*AC41</f>
        <v>0</v>
      </c>
      <c r="AE41" s="336"/>
      <c r="AF41" s="342"/>
      <c r="AG41" s="583">
        <v>0</v>
      </c>
      <c r="AH41" s="363">
        <f>810.4*R41/P41</f>
        <v>0.22644731660708864</v>
      </c>
      <c r="AI41" s="342">
        <f t="shared" ref="AI41" si="33">AH41*Q41+AF41</f>
        <v>968615335.30559981</v>
      </c>
    </row>
    <row r="42" spans="1:42" x14ac:dyDescent="0.6">
      <c r="A42" s="46">
        <f>A41+1</f>
        <v>35</v>
      </c>
      <c r="B42" s="44" t="s">
        <v>53</v>
      </c>
      <c r="C42" s="290">
        <v>0</v>
      </c>
      <c r="D42" s="290">
        <v>0</v>
      </c>
      <c r="E42" s="290">
        <v>0</v>
      </c>
      <c r="F42" s="290">
        <v>0</v>
      </c>
      <c r="G42" s="961">
        <v>0</v>
      </c>
      <c r="H42" s="1455">
        <v>0</v>
      </c>
      <c r="I42" s="1449">
        <v>11</v>
      </c>
      <c r="J42" s="1449">
        <v>0</v>
      </c>
      <c r="K42" s="1449">
        <v>0</v>
      </c>
      <c r="L42" s="1449">
        <v>0</v>
      </c>
      <c r="M42" s="290">
        <f>((H42)*Assumptions!$C$81+(I42)*Assumptions!$C$82+(J42)*Assumptions!$C$83+(K42)*Assumptions!$C$84+(L42)*Assumptions!$C$85)*1000</f>
        <v>313830.00000000006</v>
      </c>
      <c r="N42" s="290">
        <f>((C42+H42)*Assumptions!$C$81+(D42+I42)*Assumptions!$C$82+(E42+J42)*Assumptions!$C$83+(F42+K42)*Assumptions!$C$84+(G42+L42)*Assumptions!$C$85)*1000</f>
        <v>313830.00000000006</v>
      </c>
      <c r="O42" s="487">
        <f t="shared" si="30"/>
        <v>28.530000000000005</v>
      </c>
      <c r="P42" s="487">
        <f t="shared" ref="P42" si="34">O42*8</f>
        <v>228.24000000000004</v>
      </c>
      <c r="Q42" s="348">
        <f>N42*1000000/Assumptions!$C$8</f>
        <v>2510640.0000000005</v>
      </c>
      <c r="R42" s="391"/>
      <c r="S42" s="297"/>
      <c r="T42" s="293"/>
      <c r="U42" s="1077">
        <f>IF(Q42=0,0,Assumptions!$C$112)</f>
        <v>0.25</v>
      </c>
      <c r="V42" s="393"/>
      <c r="W42" s="306">
        <f t="shared" si="31"/>
        <v>0</v>
      </c>
      <c r="X42" s="322"/>
      <c r="Y42" s="329"/>
      <c r="Z42" s="320"/>
      <c r="AA42" s="320"/>
      <c r="AB42" s="314"/>
      <c r="AC42" s="395"/>
      <c r="AD42" s="394">
        <f t="shared" si="32"/>
        <v>0</v>
      </c>
      <c r="AE42" s="336"/>
      <c r="AF42" s="342"/>
      <c r="AG42" s="583">
        <v>0</v>
      </c>
      <c r="AH42" s="363">
        <f t="shared" ref="AH42:AH65" si="35">U42+W42</f>
        <v>0.25</v>
      </c>
      <c r="AI42" s="342">
        <f t="shared" ref="AI42:AI52" si="36">AH42*Q42+AG42</f>
        <v>627660.00000000012</v>
      </c>
    </row>
    <row r="43" spans="1:42" s="85" customFormat="1" x14ac:dyDescent="0.6">
      <c r="A43" s="61">
        <f t="shared" ref="A43:A65" si="37">A42+1</f>
        <v>36</v>
      </c>
      <c r="B43" s="86" t="s">
        <v>54</v>
      </c>
      <c r="C43" s="290">
        <v>0</v>
      </c>
      <c r="D43" s="290">
        <v>0</v>
      </c>
      <c r="E43" s="290">
        <v>0</v>
      </c>
      <c r="F43" s="290">
        <v>0</v>
      </c>
      <c r="G43" s="961">
        <v>0</v>
      </c>
      <c r="H43" s="1455">
        <v>0</v>
      </c>
      <c r="I43" s="1449">
        <v>0</v>
      </c>
      <c r="J43" s="1449">
        <v>0</v>
      </c>
      <c r="K43" s="1449">
        <v>0</v>
      </c>
      <c r="L43" s="1449">
        <v>0</v>
      </c>
      <c r="M43" s="290">
        <f>((H43)*Assumptions!$C$81+(I43)*Assumptions!$C$82+(J43)*Assumptions!$C$83+(K43)*Assumptions!$C$84+(L43)*Assumptions!$C$85)*1000</f>
        <v>0</v>
      </c>
      <c r="N43" s="290">
        <f>((C43+H43)*Assumptions!$C$81+(D43+I43)*Assumptions!$C$82+(E43+J43)*Assumptions!$C$83+(F43+K43)*Assumptions!$C$84+(G43+L43)*Assumptions!$C$85)*1000</f>
        <v>0</v>
      </c>
      <c r="O43" s="487">
        <f t="shared" si="30"/>
        <v>0</v>
      </c>
      <c r="P43" s="487"/>
      <c r="Q43" s="348"/>
      <c r="R43" s="391"/>
      <c r="S43" s="840"/>
      <c r="T43" s="293"/>
      <c r="U43" s="1077">
        <f>IF(Q43=0,0,Assumptions!$C$112)</f>
        <v>0</v>
      </c>
      <c r="V43" s="393"/>
      <c r="W43" s="306">
        <f t="shared" si="31"/>
        <v>0</v>
      </c>
      <c r="X43" s="322"/>
      <c r="Y43" s="329"/>
      <c r="Z43" s="320"/>
      <c r="AA43" s="320"/>
      <c r="AB43" s="314"/>
      <c r="AC43" s="395"/>
      <c r="AD43" s="396">
        <f t="shared" si="32"/>
        <v>0</v>
      </c>
      <c r="AE43" s="336"/>
      <c r="AF43" s="342"/>
      <c r="AG43" s="583">
        <v>0</v>
      </c>
      <c r="AH43" s="363">
        <f t="shared" si="35"/>
        <v>0</v>
      </c>
      <c r="AI43" s="342">
        <f t="shared" si="36"/>
        <v>0</v>
      </c>
      <c r="AP43" s="1338"/>
    </row>
    <row r="44" spans="1:42" s="85" customFormat="1" x14ac:dyDescent="0.6">
      <c r="A44" s="61">
        <f t="shared" si="37"/>
        <v>37</v>
      </c>
      <c r="B44" s="86" t="s">
        <v>55</v>
      </c>
      <c r="C44" s="290">
        <f>-D44-D44-D44-D44</f>
        <v>0</v>
      </c>
      <c r="D44" s="290">
        <v>0</v>
      </c>
      <c r="E44" s="290">
        <v>0</v>
      </c>
      <c r="F44" s="290">
        <v>0</v>
      </c>
      <c r="G44" s="961">
        <v>0</v>
      </c>
      <c r="H44" s="1455">
        <v>0</v>
      </c>
      <c r="I44" s="1449">
        <v>0</v>
      </c>
      <c r="J44" s="1449">
        <v>0</v>
      </c>
      <c r="K44" s="1449">
        <v>0</v>
      </c>
      <c r="L44" s="1449">
        <v>0</v>
      </c>
      <c r="M44" s="290">
        <f>((H44)*Assumptions!$C$81+(I44)*Assumptions!$C$82+(J44)*Assumptions!$C$83+(K44)*Assumptions!$C$84+(L44)*Assumptions!$C$85)*1000</f>
        <v>0</v>
      </c>
      <c r="N44" s="290">
        <f>((C44+H44)*Assumptions!$C$81+(D44+I44)*Assumptions!$C$82+(E44+J44)*Assumptions!$C$83+(F44+K44)*Assumptions!$C$84+(G44+L44)*Assumptions!$C$85)*1000</f>
        <v>0</v>
      </c>
      <c r="O44" s="487">
        <f t="shared" si="30"/>
        <v>0</v>
      </c>
      <c r="P44" s="487"/>
      <c r="Q44" s="348"/>
      <c r="R44" s="391"/>
      <c r="S44" s="840"/>
      <c r="T44" s="293"/>
      <c r="U44" s="1077">
        <f>IF(Q44=0,0,Assumptions!$C$112)</f>
        <v>0</v>
      </c>
      <c r="V44" s="393"/>
      <c r="W44" s="306">
        <f t="shared" si="31"/>
        <v>0</v>
      </c>
      <c r="X44" s="323"/>
      <c r="Y44" s="329"/>
      <c r="Z44" s="324"/>
      <c r="AA44" s="324"/>
      <c r="AB44" s="314"/>
      <c r="AC44" s="401"/>
      <c r="AD44" s="396">
        <f t="shared" si="32"/>
        <v>0</v>
      </c>
      <c r="AE44" s="336"/>
      <c r="AF44" s="342"/>
      <c r="AG44" s="583">
        <v>0</v>
      </c>
      <c r="AH44" s="363">
        <f t="shared" si="35"/>
        <v>0</v>
      </c>
      <c r="AI44" s="342">
        <f t="shared" si="36"/>
        <v>0</v>
      </c>
      <c r="AP44" s="1338"/>
    </row>
    <row r="45" spans="1:42" s="85" customFormat="1" x14ac:dyDescent="0.6">
      <c r="A45" s="61">
        <f t="shared" si="37"/>
        <v>38</v>
      </c>
      <c r="B45" s="86" t="s">
        <v>56</v>
      </c>
      <c r="C45" s="290">
        <v>0</v>
      </c>
      <c r="D45" s="290">
        <v>0</v>
      </c>
      <c r="E45" s="290">
        <v>0</v>
      </c>
      <c r="F45" s="290">
        <v>0</v>
      </c>
      <c r="G45" s="961">
        <v>0</v>
      </c>
      <c r="H45" s="1455">
        <v>0</v>
      </c>
      <c r="I45" s="1449">
        <v>0</v>
      </c>
      <c r="J45" s="1449">
        <v>0</v>
      </c>
      <c r="K45" s="1449">
        <v>0</v>
      </c>
      <c r="L45" s="1449">
        <v>0</v>
      </c>
      <c r="M45" s="290">
        <f>((H45)*Assumptions!$C$81+(I45)*Assumptions!$C$82+(J45)*Assumptions!$C$83+(K45)*Assumptions!$C$84+(L45)*Assumptions!$C$85)*1000</f>
        <v>0</v>
      </c>
      <c r="N45" s="290">
        <f>((C45+H45)*Assumptions!$C$81+(D45+I45)*Assumptions!$C$82+(E45+J45)*Assumptions!$C$83+(F45+K45)*Assumptions!$C$84+(G45+L45)*Assumptions!$C$85)*1000</f>
        <v>0</v>
      </c>
      <c r="O45" s="487">
        <f t="shared" si="30"/>
        <v>0</v>
      </c>
      <c r="P45" s="487"/>
      <c r="Q45" s="348"/>
      <c r="R45" s="391"/>
      <c r="S45" s="840"/>
      <c r="T45" s="293"/>
      <c r="U45" s="1077">
        <f>IF(Q45=0,0,Assumptions!$C$112)</f>
        <v>0</v>
      </c>
      <c r="V45" s="393"/>
      <c r="W45" s="306">
        <f t="shared" si="31"/>
        <v>0</v>
      </c>
      <c r="X45" s="323"/>
      <c r="Y45" s="329"/>
      <c r="Z45" s="324"/>
      <c r="AA45" s="324"/>
      <c r="AB45" s="314"/>
      <c r="AC45" s="401"/>
      <c r="AD45" s="396">
        <f t="shared" si="32"/>
        <v>0</v>
      </c>
      <c r="AE45" s="336"/>
      <c r="AF45" s="342"/>
      <c r="AG45" s="583">
        <v>0</v>
      </c>
      <c r="AH45" s="363">
        <f t="shared" si="35"/>
        <v>0</v>
      </c>
      <c r="AI45" s="342">
        <f t="shared" si="36"/>
        <v>0</v>
      </c>
      <c r="AP45" s="1338"/>
    </row>
    <row r="46" spans="1:42" s="85" customFormat="1" x14ac:dyDescent="0.6">
      <c r="A46" s="61">
        <f t="shared" si="37"/>
        <v>39</v>
      </c>
      <c r="B46" s="86" t="s">
        <v>57</v>
      </c>
      <c r="C46" s="290">
        <v>0</v>
      </c>
      <c r="D46" s="290">
        <v>0</v>
      </c>
      <c r="E46" s="290">
        <v>0</v>
      </c>
      <c r="F46" s="290">
        <v>0</v>
      </c>
      <c r="G46" s="961">
        <v>0</v>
      </c>
      <c r="H46" s="1455">
        <v>0</v>
      </c>
      <c r="I46" s="1449">
        <v>0</v>
      </c>
      <c r="J46" s="1449">
        <v>0</v>
      </c>
      <c r="K46" s="1449">
        <v>0</v>
      </c>
      <c r="L46" s="1449">
        <v>0</v>
      </c>
      <c r="M46" s="290">
        <f>((H46)*Assumptions!$C$81+(I46)*Assumptions!$C$82+(J46)*Assumptions!$C$83+(K46)*Assumptions!$C$84+(L46)*Assumptions!$C$85)*1000</f>
        <v>0</v>
      </c>
      <c r="N46" s="290">
        <f>((C46+H46)*Assumptions!$C$81+(D46+I46)*Assumptions!$C$82+(E46+J46)*Assumptions!$C$83+(F46+K46)*Assumptions!$C$84+(G46+L46)*Assumptions!$C$85)*1000</f>
        <v>0</v>
      </c>
      <c r="O46" s="487">
        <f t="shared" si="30"/>
        <v>0</v>
      </c>
      <c r="P46" s="487"/>
      <c r="Q46" s="348"/>
      <c r="R46" s="391"/>
      <c r="S46" s="840"/>
      <c r="T46" s="293"/>
      <c r="U46" s="1077">
        <f>IF(Q46=0,0,Assumptions!$C$112)</f>
        <v>0</v>
      </c>
      <c r="V46" s="393"/>
      <c r="W46" s="306">
        <f t="shared" si="31"/>
        <v>0</v>
      </c>
      <c r="X46" s="323"/>
      <c r="Y46" s="329"/>
      <c r="Z46" s="324"/>
      <c r="AA46" s="324"/>
      <c r="AB46" s="314"/>
      <c r="AC46" s="401"/>
      <c r="AD46" s="396">
        <f t="shared" si="32"/>
        <v>0</v>
      </c>
      <c r="AE46" s="336"/>
      <c r="AF46" s="342"/>
      <c r="AG46" s="583">
        <v>0</v>
      </c>
      <c r="AH46" s="363">
        <f t="shared" si="35"/>
        <v>0</v>
      </c>
      <c r="AI46" s="342">
        <f t="shared" si="36"/>
        <v>0</v>
      </c>
      <c r="AP46" s="1338"/>
    </row>
    <row r="47" spans="1:42" s="85" customFormat="1" x14ac:dyDescent="0.6">
      <c r="A47" s="61">
        <f t="shared" si="37"/>
        <v>40</v>
      </c>
      <c r="B47" s="86" t="s">
        <v>58</v>
      </c>
      <c r="C47" s="290">
        <v>0</v>
      </c>
      <c r="D47" s="290">
        <v>0</v>
      </c>
      <c r="E47" s="290">
        <v>0</v>
      </c>
      <c r="F47" s="290">
        <v>0</v>
      </c>
      <c r="G47" s="961">
        <v>0</v>
      </c>
      <c r="H47" s="1455">
        <v>0</v>
      </c>
      <c r="I47" s="1449">
        <v>0</v>
      </c>
      <c r="J47" s="1449">
        <v>0</v>
      </c>
      <c r="K47" s="1449">
        <v>0</v>
      </c>
      <c r="L47" s="1449">
        <v>0</v>
      </c>
      <c r="M47" s="290">
        <f>((H47)*Assumptions!$C$81+(I47)*Assumptions!$C$82+(J47)*Assumptions!$C$83+(K47)*Assumptions!$C$84+(L47)*Assumptions!$C$85)*1000</f>
        <v>0</v>
      </c>
      <c r="N47" s="290">
        <f>((C47+H47)*Assumptions!$C$81+(D47+I47)*Assumptions!$C$82+(E47+J47)*Assumptions!$C$83+(F47+K47)*Assumptions!$C$84+(G47+L47)*Assumptions!$C$85)*1000</f>
        <v>0</v>
      </c>
      <c r="O47" s="487">
        <f t="shared" si="30"/>
        <v>0</v>
      </c>
      <c r="P47" s="487"/>
      <c r="Q47" s="348"/>
      <c r="R47" s="391"/>
      <c r="S47" s="840"/>
      <c r="T47" s="293"/>
      <c r="U47" s="1077">
        <f>IF(Q47=0,0,Assumptions!$C$112)</f>
        <v>0</v>
      </c>
      <c r="V47" s="393"/>
      <c r="W47" s="306">
        <f t="shared" si="31"/>
        <v>0</v>
      </c>
      <c r="X47" s="325"/>
      <c r="Y47" s="329"/>
      <c r="Z47" s="281"/>
      <c r="AA47" s="281"/>
      <c r="AB47" s="314"/>
      <c r="AC47" s="402"/>
      <c r="AD47" s="403">
        <f t="shared" si="32"/>
        <v>0</v>
      </c>
      <c r="AE47" s="336"/>
      <c r="AF47" s="342"/>
      <c r="AG47" s="583">
        <v>0</v>
      </c>
      <c r="AH47" s="363">
        <f t="shared" si="35"/>
        <v>0</v>
      </c>
      <c r="AI47" s="342">
        <f t="shared" si="36"/>
        <v>0</v>
      </c>
      <c r="AP47" s="1338"/>
    </row>
    <row r="48" spans="1:42" s="85" customFormat="1" x14ac:dyDescent="0.6">
      <c r="A48" s="61">
        <f t="shared" si="37"/>
        <v>41</v>
      </c>
      <c r="B48" s="86" t="s">
        <v>59</v>
      </c>
      <c r="C48" s="290">
        <v>0</v>
      </c>
      <c r="D48" s="290">
        <v>0</v>
      </c>
      <c r="E48" s="290">
        <v>0</v>
      </c>
      <c r="F48" s="290">
        <v>0</v>
      </c>
      <c r="G48" s="961">
        <v>0</v>
      </c>
      <c r="H48" s="1455">
        <v>0</v>
      </c>
      <c r="I48" s="1449">
        <v>341</v>
      </c>
      <c r="J48" s="1449">
        <v>0</v>
      </c>
      <c r="K48" s="1449">
        <v>0</v>
      </c>
      <c r="L48" s="1449">
        <v>0</v>
      </c>
      <c r="M48" s="290">
        <f>((H48)*Assumptions!$C$81+(I48)*Assumptions!$C$82+(J48)*Assumptions!$C$83+(K48)*Assumptions!$C$84+(L48)*Assumptions!$C$85)*1000</f>
        <v>9728730</v>
      </c>
      <c r="N48" s="290">
        <f>((C48+H48)*Assumptions!$C$81+(D48+I48)*Assumptions!$C$82+(E48+J48)*Assumptions!$C$83+(F48+K48)*Assumptions!$C$84+(G48+L48)*Assumptions!$C$85)*1000</f>
        <v>9728730</v>
      </c>
      <c r="O48" s="487">
        <f t="shared" si="30"/>
        <v>28.53</v>
      </c>
      <c r="P48" s="487">
        <f t="shared" ref="P48" si="38">O48*8</f>
        <v>228.24</v>
      </c>
      <c r="Q48" s="348">
        <f>N48*1000000/Assumptions!$C$8</f>
        <v>77829840</v>
      </c>
      <c r="R48" s="579">
        <f>Assumptions!$H$26</f>
        <v>0.13106999999999999</v>
      </c>
      <c r="S48" s="840"/>
      <c r="T48" s="293"/>
      <c r="U48" s="1077">
        <f>IF(Q48=0,0,Assumptions!$C$112)</f>
        <v>0.25</v>
      </c>
      <c r="V48" s="393"/>
      <c r="W48" s="306">
        <f t="shared" si="31"/>
        <v>0</v>
      </c>
      <c r="X48" s="325"/>
      <c r="Y48" s="329"/>
      <c r="Z48" s="281"/>
      <c r="AA48" s="281"/>
      <c r="AB48" s="314"/>
      <c r="AC48" s="402"/>
      <c r="AD48" s="396">
        <f t="shared" si="32"/>
        <v>0</v>
      </c>
      <c r="AE48" s="336"/>
      <c r="AF48" s="342"/>
      <c r="AG48" s="583">
        <v>0</v>
      </c>
      <c r="AH48" s="363">
        <f t="shared" si="35"/>
        <v>0.25</v>
      </c>
      <c r="AI48" s="342">
        <f t="shared" si="36"/>
        <v>19457460</v>
      </c>
      <c r="AP48" s="1338"/>
    </row>
    <row r="49" spans="1:42" s="85" customFormat="1" x14ac:dyDescent="0.6">
      <c r="A49" s="61">
        <f t="shared" si="37"/>
        <v>42</v>
      </c>
      <c r="B49" s="86" t="s">
        <v>60</v>
      </c>
      <c r="C49" s="290">
        <v>0</v>
      </c>
      <c r="D49" s="290">
        <v>0</v>
      </c>
      <c r="E49" s="290">
        <v>0</v>
      </c>
      <c r="F49" s="290">
        <v>0</v>
      </c>
      <c r="G49" s="961">
        <v>0</v>
      </c>
      <c r="H49" s="1455">
        <v>0</v>
      </c>
      <c r="I49" s="1449">
        <v>0</v>
      </c>
      <c r="J49" s="1449">
        <v>0</v>
      </c>
      <c r="K49" s="1449">
        <v>0</v>
      </c>
      <c r="L49" s="1449">
        <v>0</v>
      </c>
      <c r="M49" s="290">
        <f>((H49)*Assumptions!$C$81+(I49)*Assumptions!$C$82+(J49)*Assumptions!$C$83+(K49)*Assumptions!$C$84+(L49)*Assumptions!$C$85)*1000</f>
        <v>0</v>
      </c>
      <c r="N49" s="290">
        <f>((C49+H49)*Assumptions!$C$81+(D49+I49)*Assumptions!$C$82+(E49+J49)*Assumptions!$C$83+(F49+K49)*Assumptions!$C$84+(G49+L49)*Assumptions!$C$85)*1000</f>
        <v>0</v>
      </c>
      <c r="O49" s="487">
        <f t="shared" si="30"/>
        <v>0</v>
      </c>
      <c r="P49" s="487">
        <f t="shared" si="4"/>
        <v>0</v>
      </c>
      <c r="Q49" s="348">
        <f>N49*1000000/Assumptions!$C$8</f>
        <v>0</v>
      </c>
      <c r="R49" s="391"/>
      <c r="S49" s="840"/>
      <c r="T49" s="293"/>
      <c r="U49" s="1077">
        <f>IF(Q49=0,0,Assumptions!$C$112)</f>
        <v>0</v>
      </c>
      <c r="V49" s="393"/>
      <c r="W49" s="306">
        <f t="shared" si="31"/>
        <v>0</v>
      </c>
      <c r="X49" s="325"/>
      <c r="Y49" s="329"/>
      <c r="Z49" s="281"/>
      <c r="AA49" s="281"/>
      <c r="AB49" s="314"/>
      <c r="AC49" s="402"/>
      <c r="AD49" s="396">
        <f t="shared" si="32"/>
        <v>0</v>
      </c>
      <c r="AE49" s="336"/>
      <c r="AF49" s="342"/>
      <c r="AG49" s="583">
        <v>0</v>
      </c>
      <c r="AH49" s="363">
        <f t="shared" si="35"/>
        <v>0</v>
      </c>
      <c r="AI49" s="342">
        <f t="shared" si="36"/>
        <v>0</v>
      </c>
      <c r="AP49" s="1338"/>
    </row>
    <row r="50" spans="1:42" s="85" customFormat="1" x14ac:dyDescent="0.6">
      <c r="A50" s="61">
        <f t="shared" si="37"/>
        <v>43</v>
      </c>
      <c r="B50" s="86" t="s">
        <v>61</v>
      </c>
      <c r="C50" s="290">
        <v>0</v>
      </c>
      <c r="D50" s="290">
        <v>3008</v>
      </c>
      <c r="E50" s="290">
        <v>399</v>
      </c>
      <c r="F50" s="290">
        <v>16322</v>
      </c>
      <c r="G50" s="961">
        <v>0</v>
      </c>
      <c r="H50" s="1455">
        <v>0</v>
      </c>
      <c r="I50" s="1449">
        <v>0</v>
      </c>
      <c r="J50" s="1449">
        <v>0</v>
      </c>
      <c r="K50" s="1449">
        <v>70080</v>
      </c>
      <c r="L50" s="1449">
        <v>0</v>
      </c>
      <c r="M50" s="290">
        <f>((H50)*Assumptions!$C$81+(I50)*Assumptions!$C$82+(J50)*Assumptions!$C$83+(K50)*Assumptions!$C$84+(L50)*Assumptions!$C$85)*1000</f>
        <v>1312878720.0000002</v>
      </c>
      <c r="N50" s="290">
        <f>((C50+H50)*Assumptions!$C$81+(D50+I50)*Assumptions!$C$82+(E50+J50)*Assumptions!$C$83+(F50+K50)*Assumptions!$C$84+(G50+L50)*Assumptions!$C$85)*1000</f>
        <v>1715026060.0000002</v>
      </c>
      <c r="O50" s="487">
        <f t="shared" si="30"/>
        <v>19.096371855827368</v>
      </c>
      <c r="P50" s="487">
        <f t="shared" si="4"/>
        <v>152.77097484661894</v>
      </c>
      <c r="Q50" s="348">
        <f>N50*1000000/Assumptions!$C$8</f>
        <v>13720208480.000002</v>
      </c>
      <c r="R50" s="578">
        <f>Assumptions!$H$23</f>
        <v>7.3999999999999996E-5</v>
      </c>
      <c r="S50" s="840"/>
      <c r="T50" s="293"/>
      <c r="U50" s="1077">
        <f>IF(Q50=0,0,Assumptions!$C$112)</f>
        <v>0.25</v>
      </c>
      <c r="V50" s="393"/>
      <c r="W50" s="306">
        <f t="shared" si="31"/>
        <v>0</v>
      </c>
      <c r="X50" s="323"/>
      <c r="Y50" s="329"/>
      <c r="Z50" s="324"/>
      <c r="AA50" s="324"/>
      <c r="AB50" s="314"/>
      <c r="AC50" s="401"/>
      <c r="AD50" s="396">
        <f t="shared" si="32"/>
        <v>0</v>
      </c>
      <c r="AE50" s="336"/>
      <c r="AF50" s="342"/>
      <c r="AG50" s="583">
        <v>0</v>
      </c>
      <c r="AH50" s="363">
        <f t="shared" si="35"/>
        <v>0.25</v>
      </c>
      <c r="AI50" s="342">
        <f t="shared" si="36"/>
        <v>3430052120.0000005</v>
      </c>
      <c r="AP50" s="1338"/>
    </row>
    <row r="51" spans="1:42" s="85" customFormat="1" x14ac:dyDescent="0.6">
      <c r="A51" s="61">
        <f t="shared" si="37"/>
        <v>44</v>
      </c>
      <c r="B51" s="86" t="s">
        <v>62</v>
      </c>
      <c r="C51" s="290">
        <v>0</v>
      </c>
      <c r="D51" s="290">
        <v>0</v>
      </c>
      <c r="E51" s="290">
        <v>0</v>
      </c>
      <c r="F51" s="290">
        <v>0</v>
      </c>
      <c r="G51" s="961">
        <v>0</v>
      </c>
      <c r="H51" s="1455">
        <v>0</v>
      </c>
      <c r="I51" s="1449">
        <v>0</v>
      </c>
      <c r="J51" s="1449">
        <v>0</v>
      </c>
      <c r="K51" s="1449">
        <v>0</v>
      </c>
      <c r="L51" s="1449">
        <v>0</v>
      </c>
      <c r="M51" s="290">
        <f>((H51)*Assumptions!$C$81+(I51)*Assumptions!$C$82+(J51)*Assumptions!$C$83+(K51)*Assumptions!$C$84+(L51)*Assumptions!$C$85)*1000</f>
        <v>0</v>
      </c>
      <c r="N51" s="290">
        <f>((C51+H51)*Assumptions!$C$81+(D51+I51)*Assumptions!$C$82+(E51+J51)*Assumptions!$C$83+(F51+K51)*Assumptions!$C$84+(G51+L51)*Assumptions!$C$85)*1000</f>
        <v>0</v>
      </c>
      <c r="O51" s="487">
        <f t="shared" si="30"/>
        <v>0</v>
      </c>
      <c r="P51" s="487">
        <f t="shared" si="4"/>
        <v>0</v>
      </c>
      <c r="Q51" s="348">
        <f>N51*1000000/Assumptions!$C$8</f>
        <v>0</v>
      </c>
      <c r="R51" s="391"/>
      <c r="S51" s="840"/>
      <c r="T51" s="293"/>
      <c r="U51" s="1077">
        <f>IF(Q51=0,0,Assumptions!$C$112)</f>
        <v>0</v>
      </c>
      <c r="V51" s="393"/>
      <c r="W51" s="306">
        <f t="shared" si="31"/>
        <v>0</v>
      </c>
      <c r="X51" s="325"/>
      <c r="Y51" s="329"/>
      <c r="Z51" s="281"/>
      <c r="AA51" s="281"/>
      <c r="AB51" s="314"/>
      <c r="AC51" s="402"/>
      <c r="AD51" s="396">
        <f t="shared" si="32"/>
        <v>0</v>
      </c>
      <c r="AE51" s="336"/>
      <c r="AF51" s="342"/>
      <c r="AG51" s="583">
        <v>0</v>
      </c>
      <c r="AH51" s="363">
        <f t="shared" si="35"/>
        <v>0</v>
      </c>
      <c r="AI51" s="342">
        <f t="shared" si="36"/>
        <v>0</v>
      </c>
      <c r="AP51" s="1338"/>
    </row>
    <row r="52" spans="1:42" s="85" customFormat="1" x14ac:dyDescent="0.6">
      <c r="A52" s="61">
        <f t="shared" si="37"/>
        <v>45</v>
      </c>
      <c r="B52" s="86" t="s">
        <v>63</v>
      </c>
      <c r="C52" s="290">
        <v>0</v>
      </c>
      <c r="D52" s="290">
        <v>0</v>
      </c>
      <c r="E52" s="290">
        <v>256</v>
      </c>
      <c r="F52" s="290">
        <v>0</v>
      </c>
      <c r="G52" s="961">
        <v>0</v>
      </c>
      <c r="H52" s="1455">
        <v>0</v>
      </c>
      <c r="I52" s="1449">
        <v>1617</v>
      </c>
      <c r="J52" s="1449">
        <v>0</v>
      </c>
      <c r="K52" s="1449">
        <v>0</v>
      </c>
      <c r="L52" s="1449">
        <v>0</v>
      </c>
      <c r="M52" s="290">
        <f>((H52)*Assumptions!$C$81+(I52)*Assumptions!$C$82+(J52)*Assumptions!$C$83+(K52)*Assumptions!$C$84+(L52)*Assumptions!$C$85)*1000</f>
        <v>46133010</v>
      </c>
      <c r="N52" s="290">
        <f>((C52+H52)*Assumptions!$C$81+(D52+I52)*Assumptions!$C$82+(E52+J52)*Assumptions!$C$83+(F52+K52)*Assumptions!$C$84+(G52+L52)*Assumptions!$C$85)*1000</f>
        <v>52903698.000000007</v>
      </c>
      <c r="O52" s="487">
        <f t="shared" si="30"/>
        <v>28.245434063000538</v>
      </c>
      <c r="P52" s="487">
        <f t="shared" si="4"/>
        <v>225.9634725040043</v>
      </c>
      <c r="Q52" s="348">
        <f>N52*1000000/Assumptions!$C$8</f>
        <v>423229584.00000006</v>
      </c>
      <c r="R52" s="579">
        <f>Assumptions!$H$27</f>
        <v>2.8E-5</v>
      </c>
      <c r="S52" s="840"/>
      <c r="T52" s="293"/>
      <c r="U52" s="1077">
        <f>IF(Q52=0,0,Assumptions!$C$112)</f>
        <v>0.25</v>
      </c>
      <c r="V52" s="393"/>
      <c r="W52" s="306">
        <f t="shared" si="31"/>
        <v>0</v>
      </c>
      <c r="X52" s="325"/>
      <c r="Y52" s="329"/>
      <c r="Z52" s="281"/>
      <c r="AA52" s="281"/>
      <c r="AB52" s="314"/>
      <c r="AC52" s="402"/>
      <c r="AD52" s="396">
        <f t="shared" si="32"/>
        <v>0</v>
      </c>
      <c r="AE52" s="336"/>
      <c r="AF52" s="342"/>
      <c r="AG52" s="583">
        <v>0</v>
      </c>
      <c r="AH52" s="363">
        <f t="shared" si="35"/>
        <v>0.25</v>
      </c>
      <c r="AI52" s="342">
        <f t="shared" si="36"/>
        <v>105807396.00000001</v>
      </c>
      <c r="AP52" s="1338"/>
    </row>
    <row r="53" spans="1:42" s="85" customFormat="1" x14ac:dyDescent="0.6">
      <c r="A53" s="61">
        <f t="shared" si="37"/>
        <v>46</v>
      </c>
      <c r="B53" s="86" t="s">
        <v>64</v>
      </c>
      <c r="C53" s="290">
        <v>0</v>
      </c>
      <c r="D53" s="290">
        <v>6830</v>
      </c>
      <c r="E53" s="290">
        <v>1184</v>
      </c>
      <c r="F53" s="290">
        <v>0</v>
      </c>
      <c r="G53" s="961">
        <v>2631</v>
      </c>
      <c r="H53" s="1455">
        <v>0</v>
      </c>
      <c r="I53" s="1449">
        <f>13+8710</f>
        <v>8723</v>
      </c>
      <c r="J53" s="1449">
        <v>42164</v>
      </c>
      <c r="K53" s="1449">
        <v>0</v>
      </c>
      <c r="L53" s="1449">
        <v>37</v>
      </c>
      <c r="M53" s="290">
        <f>((H53)*Assumptions!$C$81+(I53)*Assumptions!$C$82+(J53)*Assumptions!$C$83+(K53)*Assumptions!$C$84+(L53)*Assumptions!$C$85)*1000</f>
        <v>1364591498</v>
      </c>
      <c r="N53" s="290">
        <f>((C53+H53)*Assumptions!$C$81+(D53+I53)*Assumptions!$C$82+(E53+J53)*Assumptions!$C$83+(F53+K53)*Assumptions!$C$84+(G53+L53)*Assumptions!$C$85)*1000</f>
        <v>1631356898.0000002</v>
      </c>
      <c r="O53" s="487">
        <f t="shared" si="30"/>
        <v>26.496400753626016</v>
      </c>
      <c r="P53" s="487">
        <f t="shared" si="4"/>
        <v>211.97120602900813</v>
      </c>
      <c r="Q53" s="348">
        <f>N53*1000000/Assumptions!$C$8</f>
        <v>13050855184.000002</v>
      </c>
      <c r="R53" s="391"/>
      <c r="S53" s="840"/>
      <c r="T53" s="293"/>
      <c r="U53" s="1077">
        <f>IF(Q53=0,0,Assumptions!$C$112)</f>
        <v>0.25</v>
      </c>
      <c r="V53" s="393"/>
      <c r="W53" s="306">
        <f t="shared" si="31"/>
        <v>0</v>
      </c>
      <c r="X53" s="325"/>
      <c r="Y53" s="329"/>
      <c r="Z53" s="281"/>
      <c r="AA53" s="281"/>
      <c r="AB53" s="314"/>
      <c r="AC53" s="402"/>
      <c r="AD53" s="396">
        <f t="shared" si="32"/>
        <v>0</v>
      </c>
      <c r="AE53" s="336"/>
      <c r="AF53" s="342"/>
      <c r="AG53" s="583">
        <v>-1004300000</v>
      </c>
      <c r="AH53" s="363">
        <f t="shared" si="35"/>
        <v>0.25</v>
      </c>
      <c r="AI53" s="342">
        <f>AH53*Q53+AG53</f>
        <v>2258413796.0000005</v>
      </c>
      <c r="AP53" s="1338"/>
    </row>
    <row r="54" spans="1:42" s="85" customFormat="1" x14ac:dyDescent="0.6">
      <c r="A54" s="61">
        <f t="shared" si="37"/>
        <v>47</v>
      </c>
      <c r="B54" s="86" t="s">
        <v>65</v>
      </c>
      <c r="C54" s="290">
        <v>0</v>
      </c>
      <c r="D54" s="290">
        <v>0</v>
      </c>
      <c r="E54" s="290">
        <v>0</v>
      </c>
      <c r="F54" s="290">
        <v>0</v>
      </c>
      <c r="G54" s="961">
        <v>0</v>
      </c>
      <c r="H54" s="1455">
        <v>0</v>
      </c>
      <c r="I54" s="1449">
        <v>0</v>
      </c>
      <c r="J54" s="1449">
        <v>0</v>
      </c>
      <c r="K54" s="1449">
        <v>0</v>
      </c>
      <c r="L54" s="1449">
        <v>0</v>
      </c>
      <c r="M54" s="290">
        <f>((H54)*Assumptions!$C$81+(I54)*Assumptions!$C$82+(J54)*Assumptions!$C$83+(K54)*Assumptions!$C$84+(L54)*Assumptions!$C$85)*1000</f>
        <v>0</v>
      </c>
      <c r="N54" s="290">
        <f>((C54+H54)*Assumptions!$C$81+(D54+I54)*Assumptions!$C$82+(E54+J54)*Assumptions!$C$83+(F54+K54)*Assumptions!$C$84+(G54+L54)*Assumptions!$C$85)*1000</f>
        <v>0</v>
      </c>
      <c r="O54" s="487">
        <f t="shared" si="30"/>
        <v>0</v>
      </c>
      <c r="P54" s="487">
        <f t="shared" si="4"/>
        <v>0</v>
      </c>
      <c r="Q54" s="348">
        <f>N54*1000000/Assumptions!$C$8</f>
        <v>0</v>
      </c>
      <c r="R54" s="391"/>
      <c r="S54" s="840"/>
      <c r="T54" s="293"/>
      <c r="U54" s="1077">
        <f>IF(Q54=0,0,Assumptions!$C$112)</f>
        <v>0</v>
      </c>
      <c r="V54" s="393"/>
      <c r="W54" s="306">
        <f t="shared" si="31"/>
        <v>0</v>
      </c>
      <c r="X54" s="325"/>
      <c r="Y54" s="329"/>
      <c r="Z54" s="281"/>
      <c r="AA54" s="281"/>
      <c r="AB54" s="314"/>
      <c r="AC54" s="402"/>
      <c r="AD54" s="396">
        <f t="shared" si="32"/>
        <v>0</v>
      </c>
      <c r="AE54" s="336"/>
      <c r="AF54" s="544"/>
      <c r="AG54" s="583">
        <v>0</v>
      </c>
      <c r="AH54" s="363">
        <f t="shared" si="35"/>
        <v>0</v>
      </c>
      <c r="AI54" s="342">
        <f t="shared" ref="AI54:AI65" si="39">AH54*Q54+AG54</f>
        <v>0</v>
      </c>
      <c r="AP54" s="1338"/>
    </row>
    <row r="55" spans="1:42" s="85" customFormat="1" x14ac:dyDescent="0.6">
      <c r="A55" s="61">
        <f t="shared" si="37"/>
        <v>48</v>
      </c>
      <c r="B55" s="86" t="s">
        <v>66</v>
      </c>
      <c r="C55" s="290">
        <v>0</v>
      </c>
      <c r="D55" s="290">
        <v>0</v>
      </c>
      <c r="E55" s="290">
        <v>0</v>
      </c>
      <c r="F55" s="290">
        <v>0</v>
      </c>
      <c r="G55" s="961">
        <v>0</v>
      </c>
      <c r="H55" s="1455">
        <v>0</v>
      </c>
      <c r="I55" s="1449">
        <v>0</v>
      </c>
      <c r="J55" s="1449">
        <v>0</v>
      </c>
      <c r="K55" s="1449">
        <v>0</v>
      </c>
      <c r="L55" s="1449">
        <v>0</v>
      </c>
      <c r="M55" s="290">
        <f>((H55)*Assumptions!$C$81+(I55)*Assumptions!$C$82+(J55)*Assumptions!$C$83+(K55)*Assumptions!$C$84+(L55)*Assumptions!$C$85)*1000</f>
        <v>0</v>
      </c>
      <c r="N55" s="290">
        <f>((C55+H55)*Assumptions!$C$81+(D55+I55)*Assumptions!$C$82+(E55+J55)*Assumptions!$C$83+(F55+K55)*Assumptions!$C$84+(G55+L55)*Assumptions!$C$85)*1000</f>
        <v>0</v>
      </c>
      <c r="O55" s="487">
        <f t="shared" si="30"/>
        <v>0</v>
      </c>
      <c r="P55" s="487">
        <f t="shared" si="4"/>
        <v>0</v>
      </c>
      <c r="Q55" s="348">
        <f>N55*1000000/Assumptions!$C$8</f>
        <v>0</v>
      </c>
      <c r="R55" s="391"/>
      <c r="S55" s="840"/>
      <c r="T55" s="293"/>
      <c r="U55" s="1077">
        <f>IF(Q55=0,0,Assumptions!$C$112)</f>
        <v>0</v>
      </c>
      <c r="V55" s="393"/>
      <c r="W55" s="306">
        <f t="shared" si="31"/>
        <v>0</v>
      </c>
      <c r="X55" s="325"/>
      <c r="Y55" s="329"/>
      <c r="Z55" s="281"/>
      <c r="AA55" s="281"/>
      <c r="AB55" s="314"/>
      <c r="AC55" s="402"/>
      <c r="AD55" s="396">
        <f t="shared" si="32"/>
        <v>0</v>
      </c>
      <c r="AE55" s="336"/>
      <c r="AF55" s="544"/>
      <c r="AG55" s="583"/>
      <c r="AH55" s="363">
        <f t="shared" si="35"/>
        <v>0</v>
      </c>
      <c r="AI55" s="342">
        <f t="shared" si="39"/>
        <v>0</v>
      </c>
      <c r="AP55" s="1338"/>
    </row>
    <row r="56" spans="1:42" s="85" customFormat="1" x14ac:dyDescent="0.6">
      <c r="A56" s="61">
        <f t="shared" si="37"/>
        <v>49</v>
      </c>
      <c r="B56" s="86" t="s">
        <v>67</v>
      </c>
      <c r="C56" s="290">
        <v>0</v>
      </c>
      <c r="D56" s="290">
        <v>0</v>
      </c>
      <c r="E56" s="290">
        <v>2821</v>
      </c>
      <c r="F56" s="290">
        <v>0</v>
      </c>
      <c r="G56" s="961">
        <v>0</v>
      </c>
      <c r="H56" s="1455">
        <v>0</v>
      </c>
      <c r="I56" s="1449">
        <v>0</v>
      </c>
      <c r="J56" s="1449">
        <v>24789</v>
      </c>
      <c r="K56" s="1449">
        <v>0</v>
      </c>
      <c r="L56" s="1449">
        <v>0</v>
      </c>
      <c r="M56" s="290">
        <f>((H56)*Assumptions!$C$81+(I56)*Assumptions!$C$82+(J56)*Assumptions!$C$83+(K56)*Assumptions!$C$84+(L56)*Assumptions!$C$85)*1000</f>
        <v>655619472.00000012</v>
      </c>
      <c r="N56" s="290">
        <f>((C56+H56)*Assumptions!$C$81+(D56+I56)*Assumptions!$C$82+(E56+J56)*Assumptions!$C$83+(F56+K56)*Assumptions!$C$84+(G56+L56)*Assumptions!$C$85)*1000</f>
        <v>730229280</v>
      </c>
      <c r="O56" s="487">
        <f t="shared" si="30"/>
        <v>26.448</v>
      </c>
      <c r="P56" s="487">
        <f t="shared" si="4"/>
        <v>211.584</v>
      </c>
      <c r="Q56" s="348">
        <f>N56*1000000/Assumptions!$C$8</f>
        <v>5841834240</v>
      </c>
      <c r="R56" s="579">
        <f>Assumptions!$H$28</f>
        <v>0.244814</v>
      </c>
      <c r="S56" s="840"/>
      <c r="T56" s="293"/>
      <c r="U56" s="1077">
        <f>IF(Q56=0,0,Assumptions!$C$112)</f>
        <v>0.25</v>
      </c>
      <c r="V56" s="393"/>
      <c r="W56" s="306">
        <f t="shared" si="31"/>
        <v>0</v>
      </c>
      <c r="X56" s="325"/>
      <c r="Y56" s="329"/>
      <c r="Z56" s="281"/>
      <c r="AA56" s="281"/>
      <c r="AB56" s="314"/>
      <c r="AC56" s="402"/>
      <c r="AD56" s="396">
        <f t="shared" si="32"/>
        <v>0</v>
      </c>
      <c r="AE56" s="336"/>
      <c r="AF56" s="544"/>
      <c r="AG56" s="583"/>
      <c r="AH56" s="363">
        <f t="shared" si="35"/>
        <v>0.25</v>
      </c>
      <c r="AI56" s="342">
        <f t="shared" si="39"/>
        <v>1460458560</v>
      </c>
      <c r="AP56" s="1338"/>
    </row>
    <row r="57" spans="1:42" s="85" customFormat="1" x14ac:dyDescent="0.6">
      <c r="A57" s="61">
        <f t="shared" si="37"/>
        <v>50</v>
      </c>
      <c r="B57" s="86" t="s">
        <v>68</v>
      </c>
      <c r="C57" s="290">
        <v>0</v>
      </c>
      <c r="D57" s="290">
        <v>0</v>
      </c>
      <c r="E57" s="290">
        <v>47</v>
      </c>
      <c r="F57" s="290">
        <v>0</v>
      </c>
      <c r="G57" s="961">
        <v>0</v>
      </c>
      <c r="H57" s="1455">
        <v>0</v>
      </c>
      <c r="I57" s="1449">
        <v>0</v>
      </c>
      <c r="J57" s="1449">
        <v>0</v>
      </c>
      <c r="K57" s="1449">
        <v>0</v>
      </c>
      <c r="L57" s="1449">
        <v>0</v>
      </c>
      <c r="M57" s="290">
        <f>((H57)*Assumptions!$C$81+(I57)*Assumptions!$C$82+(J57)*Assumptions!$C$83+(K57)*Assumptions!$C$84+(L57)*Assumptions!$C$85)*1000</f>
        <v>0</v>
      </c>
      <c r="N57" s="290">
        <f>((C57+H57)*Assumptions!$C$81+(D57+I57)*Assumptions!$C$82+(E57+J57)*Assumptions!$C$83+(F57+K57)*Assumptions!$C$84+(G57+L57)*Assumptions!$C$85)*1000</f>
        <v>1243056</v>
      </c>
      <c r="O57" s="487">
        <f t="shared" si="30"/>
        <v>26.448</v>
      </c>
      <c r="P57" s="487">
        <f t="shared" si="4"/>
        <v>211.584</v>
      </c>
      <c r="Q57" s="348">
        <f>N57*1000000/Assumptions!$C$8</f>
        <v>9944448</v>
      </c>
      <c r="R57" s="391"/>
      <c r="S57" s="840"/>
      <c r="T57" s="293"/>
      <c r="U57" s="1077">
        <f>IF(Q57=0,0,Assumptions!$C$112)</f>
        <v>0.25</v>
      </c>
      <c r="V57" s="393"/>
      <c r="W57" s="306">
        <f t="shared" si="31"/>
        <v>0</v>
      </c>
      <c r="X57" s="325"/>
      <c r="Y57" s="329"/>
      <c r="Z57" s="281"/>
      <c r="AA57" s="281"/>
      <c r="AB57" s="314"/>
      <c r="AC57" s="402"/>
      <c r="AD57" s="396">
        <f t="shared" si="32"/>
        <v>0</v>
      </c>
      <c r="AE57" s="336"/>
      <c r="AF57" s="544"/>
      <c r="AG57" s="583"/>
      <c r="AH57" s="363">
        <f t="shared" si="35"/>
        <v>0.25</v>
      </c>
      <c r="AI57" s="342">
        <f t="shared" si="39"/>
        <v>2486112</v>
      </c>
      <c r="AP57" s="1338"/>
    </row>
    <row r="58" spans="1:42" s="85" customFormat="1" x14ac:dyDescent="0.6">
      <c r="A58" s="61">
        <f t="shared" si="37"/>
        <v>51</v>
      </c>
      <c r="B58" s="86" t="s">
        <v>695</v>
      </c>
      <c r="C58" s="290">
        <v>0</v>
      </c>
      <c r="D58" s="290">
        <v>0</v>
      </c>
      <c r="E58" s="290">
        <v>0</v>
      </c>
      <c r="F58" s="290">
        <v>0</v>
      </c>
      <c r="G58" s="961">
        <v>0</v>
      </c>
      <c r="H58" s="1455">
        <v>0</v>
      </c>
      <c r="I58" s="1449">
        <v>0</v>
      </c>
      <c r="J58" s="1449">
        <v>0</v>
      </c>
      <c r="K58" s="1449">
        <v>0</v>
      </c>
      <c r="L58" s="1449">
        <v>0</v>
      </c>
      <c r="M58" s="290">
        <f>((H58)*Assumptions!$C$81+(I58)*Assumptions!$C$82+(J58)*Assumptions!$C$83+(K58)*Assumptions!$C$84+(L58)*Assumptions!$C$85)*1000</f>
        <v>0</v>
      </c>
      <c r="N58" s="290">
        <f>((C58+H58)*Assumptions!$C$81+(D58+I58)*Assumptions!$C$82+(E58+J58)*Assumptions!$C$83+(F58+K58)*Assumptions!$C$84+(G58+L58)*Assumptions!$C$85)*1000</f>
        <v>0</v>
      </c>
      <c r="O58" s="487">
        <f t="shared" si="30"/>
        <v>0</v>
      </c>
      <c r="P58" s="487">
        <f>O58*8</f>
        <v>0</v>
      </c>
      <c r="Q58" s="348">
        <f>N58*1000000/Assumptions!$C$8</f>
        <v>0</v>
      </c>
      <c r="R58" s="391"/>
      <c r="S58" s="840"/>
      <c r="T58" s="293"/>
      <c r="U58" s="1077">
        <f>IF(Q58=0,0,Assumptions!$C$112)</f>
        <v>0</v>
      </c>
      <c r="V58" s="393"/>
      <c r="W58" s="306"/>
      <c r="X58" s="325"/>
      <c r="Y58" s="329"/>
      <c r="Z58" s="281"/>
      <c r="AA58" s="281"/>
      <c r="AB58" s="314"/>
      <c r="AC58" s="402"/>
      <c r="AD58" s="396"/>
      <c r="AE58" s="336"/>
      <c r="AF58" s="544"/>
      <c r="AG58" s="583"/>
      <c r="AH58" s="363">
        <f t="shared" si="35"/>
        <v>0</v>
      </c>
      <c r="AI58" s="342">
        <f t="shared" si="39"/>
        <v>0</v>
      </c>
      <c r="AP58" s="1338"/>
    </row>
    <row r="59" spans="1:42" s="85" customFormat="1" x14ac:dyDescent="0.6">
      <c r="A59" s="61">
        <f t="shared" si="37"/>
        <v>52</v>
      </c>
      <c r="B59" s="86" t="s">
        <v>69</v>
      </c>
      <c r="C59" s="290">
        <v>0</v>
      </c>
      <c r="D59" s="290">
        <v>0</v>
      </c>
      <c r="E59" s="290">
        <v>0</v>
      </c>
      <c r="F59" s="290">
        <v>0</v>
      </c>
      <c r="G59" s="961">
        <v>0</v>
      </c>
      <c r="H59" s="1455">
        <v>0</v>
      </c>
      <c r="I59" s="1449">
        <v>0</v>
      </c>
      <c r="J59" s="1449">
        <v>0</v>
      </c>
      <c r="K59" s="1449">
        <v>0</v>
      </c>
      <c r="L59" s="1449">
        <v>0</v>
      </c>
      <c r="M59" s="290">
        <f>((H59)*Assumptions!$C$81+(I59)*Assumptions!$C$82+(J59)*Assumptions!$C$83+(K59)*Assumptions!$C$84+(L59)*Assumptions!$C$85)*1000</f>
        <v>0</v>
      </c>
      <c r="N59" s="290">
        <f>((C59+H59)*Assumptions!$C$81+(D59+I59)*Assumptions!$C$82+(E59+J59)*Assumptions!$C$83+(F59+K59)*Assumptions!$C$84+(G59+L59)*Assumptions!$C$85)*1000</f>
        <v>0</v>
      </c>
      <c r="O59" s="487">
        <f t="shared" si="30"/>
        <v>0</v>
      </c>
      <c r="P59" s="487">
        <f t="shared" si="4"/>
        <v>0</v>
      </c>
      <c r="Q59" s="348">
        <f>N59*1000000/Assumptions!$C$8</f>
        <v>0</v>
      </c>
      <c r="R59" s="391"/>
      <c r="S59" s="840"/>
      <c r="T59" s="293"/>
      <c r="U59" s="1077">
        <f>IF(Q59=0,0,Assumptions!$C$112)</f>
        <v>0</v>
      </c>
      <c r="V59" s="393"/>
      <c r="W59" s="306">
        <f t="shared" si="31"/>
        <v>0</v>
      </c>
      <c r="X59" s="325"/>
      <c r="Y59" s="329"/>
      <c r="Z59" s="281"/>
      <c r="AA59" s="281"/>
      <c r="AB59" s="314"/>
      <c r="AC59" s="402"/>
      <c r="AD59" s="396">
        <f t="shared" si="32"/>
        <v>0</v>
      </c>
      <c r="AE59" s="336"/>
      <c r="AF59" s="544"/>
      <c r="AG59" s="583"/>
      <c r="AH59" s="363">
        <f t="shared" si="35"/>
        <v>0</v>
      </c>
      <c r="AI59" s="342">
        <f t="shared" si="39"/>
        <v>0</v>
      </c>
      <c r="AP59" s="1338"/>
    </row>
    <row r="60" spans="1:42" s="85" customFormat="1" x14ac:dyDescent="0.6">
      <c r="A60" s="61">
        <f t="shared" si="37"/>
        <v>53</v>
      </c>
      <c r="B60" s="86" t="s">
        <v>70</v>
      </c>
      <c r="C60" s="290">
        <v>0</v>
      </c>
      <c r="D60" s="290">
        <v>0</v>
      </c>
      <c r="E60" s="290">
        <v>0</v>
      </c>
      <c r="F60" s="290">
        <v>0</v>
      </c>
      <c r="G60" s="961">
        <v>0</v>
      </c>
      <c r="H60" s="1455">
        <v>0</v>
      </c>
      <c r="I60" s="1449">
        <v>0</v>
      </c>
      <c r="J60" s="1449">
        <v>0</v>
      </c>
      <c r="K60" s="1449">
        <v>0</v>
      </c>
      <c r="L60" s="1449">
        <v>0</v>
      </c>
      <c r="M60" s="290">
        <f>((H60)*Assumptions!$C$81+(I60)*Assumptions!$C$82+(J60)*Assumptions!$C$83+(K60)*Assumptions!$C$84+(L60)*Assumptions!$C$85)*1000</f>
        <v>0</v>
      </c>
      <c r="N60" s="290">
        <f>((C60+H60)*Assumptions!$C$81+(D60+I60)*Assumptions!$C$82+(E60+J60)*Assumptions!$C$83+(F60+K60)*Assumptions!$C$84+(G60+L60)*Assumptions!$C$85)*1000</f>
        <v>0</v>
      </c>
      <c r="O60" s="487">
        <f t="shared" si="30"/>
        <v>0</v>
      </c>
      <c r="P60" s="487">
        <f t="shared" si="4"/>
        <v>0</v>
      </c>
      <c r="Q60" s="348">
        <f>N60*1000000/Assumptions!$C$8</f>
        <v>0</v>
      </c>
      <c r="R60" s="579">
        <f>Assumptions!$H$24</f>
        <v>0.26666699999999999</v>
      </c>
      <c r="S60" s="840"/>
      <c r="T60" s="293"/>
      <c r="U60" s="1077">
        <f>IF(Q60=0,0,Assumptions!$C$112)</f>
        <v>0</v>
      </c>
      <c r="V60" s="393"/>
      <c r="W60" s="306">
        <f t="shared" si="31"/>
        <v>0</v>
      </c>
      <c r="X60" s="325"/>
      <c r="Y60" s="329"/>
      <c r="Z60" s="281"/>
      <c r="AA60" s="281"/>
      <c r="AB60" s="314"/>
      <c r="AC60" s="402"/>
      <c r="AD60" s="396">
        <f t="shared" si="32"/>
        <v>0</v>
      </c>
      <c r="AE60" s="336"/>
      <c r="AF60" s="544"/>
      <c r="AG60" s="583"/>
      <c r="AH60" s="363">
        <f t="shared" si="35"/>
        <v>0</v>
      </c>
      <c r="AI60" s="342">
        <f t="shared" si="39"/>
        <v>0</v>
      </c>
      <c r="AP60" s="1338"/>
    </row>
    <row r="61" spans="1:42" s="85" customFormat="1" x14ac:dyDescent="0.6">
      <c r="A61" s="61">
        <f t="shared" si="37"/>
        <v>54</v>
      </c>
      <c r="B61" s="86" t="s">
        <v>71</v>
      </c>
      <c r="C61" s="290">
        <v>0</v>
      </c>
      <c r="D61" s="290">
        <v>0</v>
      </c>
      <c r="E61" s="290">
        <v>0</v>
      </c>
      <c r="F61" s="290">
        <v>0</v>
      </c>
      <c r="G61" s="961">
        <v>0</v>
      </c>
      <c r="H61" s="1455">
        <v>0</v>
      </c>
      <c r="I61" s="1449">
        <v>0</v>
      </c>
      <c r="J61" s="1449">
        <v>0</v>
      </c>
      <c r="K61" s="1449">
        <v>0</v>
      </c>
      <c r="L61" s="1449">
        <v>0</v>
      </c>
      <c r="M61" s="290">
        <f>((H61)*Assumptions!$C$81+(I61)*Assumptions!$C$82+(J61)*Assumptions!$C$83+(K61)*Assumptions!$C$84+(L61)*Assumptions!$C$85)*1000</f>
        <v>0</v>
      </c>
      <c r="N61" s="290">
        <f>((C61+H61)*Assumptions!$C$81+(D61+I61)*Assumptions!$C$82+(E61+J61)*Assumptions!$C$83+(F61+K61)*Assumptions!$C$84+(G61+L61)*Assumptions!$C$85)*1000</f>
        <v>0</v>
      </c>
      <c r="O61" s="487">
        <f t="shared" si="30"/>
        <v>0</v>
      </c>
      <c r="P61" s="487">
        <f t="shared" si="4"/>
        <v>0</v>
      </c>
      <c r="Q61" s="348">
        <f>N61*1000000/Assumptions!$C$8</f>
        <v>0</v>
      </c>
      <c r="R61" s="391"/>
      <c r="S61" s="840"/>
      <c r="T61" s="293"/>
      <c r="U61" s="1077">
        <f>IF(Q61=0,0,Assumptions!$C$112)</f>
        <v>0</v>
      </c>
      <c r="V61" s="393"/>
      <c r="W61" s="306">
        <f t="shared" si="31"/>
        <v>0</v>
      </c>
      <c r="X61" s="325"/>
      <c r="Y61" s="329"/>
      <c r="Z61" s="281"/>
      <c r="AA61" s="281"/>
      <c r="AB61" s="314"/>
      <c r="AC61" s="402"/>
      <c r="AD61" s="396">
        <f t="shared" si="32"/>
        <v>0</v>
      </c>
      <c r="AE61" s="336"/>
      <c r="AF61" s="544"/>
      <c r="AG61" s="583"/>
      <c r="AH61" s="363">
        <f t="shared" si="35"/>
        <v>0</v>
      </c>
      <c r="AI61" s="342">
        <f t="shared" si="39"/>
        <v>0</v>
      </c>
      <c r="AP61" s="1338"/>
    </row>
    <row r="62" spans="1:42" s="85" customFormat="1" x14ac:dyDescent="0.6">
      <c r="A62" s="61">
        <f t="shared" si="37"/>
        <v>55</v>
      </c>
      <c r="B62" s="86" t="s">
        <v>72</v>
      </c>
      <c r="C62" s="290">
        <v>0</v>
      </c>
      <c r="D62" s="290">
        <v>0</v>
      </c>
      <c r="E62" s="290">
        <v>0</v>
      </c>
      <c r="F62" s="290">
        <v>0</v>
      </c>
      <c r="G62" s="961">
        <v>0</v>
      </c>
      <c r="H62" s="1455">
        <v>0</v>
      </c>
      <c r="I62" s="1449">
        <v>0</v>
      </c>
      <c r="J62" s="1449">
        <v>0</v>
      </c>
      <c r="K62" s="1449">
        <v>0</v>
      </c>
      <c r="L62" s="1449">
        <v>0</v>
      </c>
      <c r="M62" s="290">
        <f>((H62)*Assumptions!$C$81+(I62)*Assumptions!$C$82+(J62)*Assumptions!$C$83+(K62)*Assumptions!$C$84+(L62)*Assumptions!$C$85)*1000</f>
        <v>0</v>
      </c>
      <c r="N62" s="290">
        <f>((C62+H62)*Assumptions!$C$81+(D62+I62)*Assumptions!$C$82+(E62+J62)*Assumptions!$C$83+(F62+K62)*Assumptions!$C$84+(G62+L62)*Assumptions!$C$85)*1000</f>
        <v>0</v>
      </c>
      <c r="O62" s="487">
        <f t="shared" si="30"/>
        <v>0</v>
      </c>
      <c r="P62" s="487">
        <f t="shared" si="4"/>
        <v>0</v>
      </c>
      <c r="Q62" s="348">
        <f>N62*1000000/Assumptions!$C$8</f>
        <v>0</v>
      </c>
      <c r="R62" s="391"/>
      <c r="S62" s="840"/>
      <c r="T62" s="293"/>
      <c r="U62" s="1077">
        <f>IF(Q62=0,0,Assumptions!$C$112)</f>
        <v>0</v>
      </c>
      <c r="V62" s="393"/>
      <c r="W62" s="306">
        <f t="shared" si="31"/>
        <v>0</v>
      </c>
      <c r="X62" s="325"/>
      <c r="Y62" s="329"/>
      <c r="Z62" s="281"/>
      <c r="AA62" s="281"/>
      <c r="AB62" s="314"/>
      <c r="AC62" s="402"/>
      <c r="AD62" s="396">
        <f t="shared" si="32"/>
        <v>0</v>
      </c>
      <c r="AE62" s="336"/>
      <c r="AF62" s="544"/>
      <c r="AG62" s="583"/>
      <c r="AH62" s="363">
        <f t="shared" si="35"/>
        <v>0</v>
      </c>
      <c r="AI62" s="342">
        <f t="shared" si="39"/>
        <v>0</v>
      </c>
      <c r="AP62" s="1338"/>
    </row>
    <row r="63" spans="1:42" s="85" customFormat="1" x14ac:dyDescent="0.6">
      <c r="A63" s="61">
        <f t="shared" si="37"/>
        <v>56</v>
      </c>
      <c r="B63" s="86" t="s">
        <v>73</v>
      </c>
      <c r="C63" s="290">
        <v>69</v>
      </c>
      <c r="D63" s="290">
        <v>2171</v>
      </c>
      <c r="E63" s="290">
        <v>336</v>
      </c>
      <c r="F63" s="290">
        <v>0</v>
      </c>
      <c r="G63" s="961">
        <v>0</v>
      </c>
      <c r="H63" s="1455">
        <v>0</v>
      </c>
      <c r="I63" s="1449">
        <v>0</v>
      </c>
      <c r="J63" s="1449">
        <v>0</v>
      </c>
      <c r="K63" s="1449">
        <v>0</v>
      </c>
      <c r="L63" s="1449">
        <v>0</v>
      </c>
      <c r="M63" s="290">
        <f>((H63)*Assumptions!$C$81+(I63)*Assumptions!$C$82+(J63)*Assumptions!$C$83+(K63)*Assumptions!$C$84+(L63)*Assumptions!$C$85)*1000</f>
        <v>0</v>
      </c>
      <c r="N63" s="290">
        <f>((C63+H63)*Assumptions!$C$81+(D63+I63)*Assumptions!$C$82+(E63+J63)*Assumptions!$C$83+(F63+K63)*Assumptions!$C$84+(G63+L63)*Assumptions!$C$85)*1000</f>
        <v>72802146.000000015</v>
      </c>
      <c r="O63" s="487">
        <f t="shared" si="30"/>
        <v>28.261702639751558</v>
      </c>
      <c r="P63" s="487">
        <f t="shared" si="4"/>
        <v>226.09362111801246</v>
      </c>
      <c r="Q63" s="348">
        <f>N63*1000000/Assumptions!$C$8</f>
        <v>582417168.00000012</v>
      </c>
      <c r="R63" s="579">
        <f>Assumptions!$H$29</f>
        <v>0.27229399999999998</v>
      </c>
      <c r="S63" s="840"/>
      <c r="T63" s="293"/>
      <c r="U63" s="1077">
        <f>IF(Q63=0,0,Assumptions!$C$112)</f>
        <v>0.25</v>
      </c>
      <c r="V63" s="393"/>
      <c r="W63" s="306">
        <f t="shared" si="31"/>
        <v>0</v>
      </c>
      <c r="X63" s="325"/>
      <c r="Y63" s="329"/>
      <c r="Z63" s="281"/>
      <c r="AA63" s="281"/>
      <c r="AB63" s="314"/>
      <c r="AC63" s="402"/>
      <c r="AD63" s="396">
        <f t="shared" si="32"/>
        <v>0</v>
      </c>
      <c r="AE63" s="336"/>
      <c r="AF63" s="544"/>
      <c r="AG63" s="583"/>
      <c r="AH63" s="363">
        <f t="shared" si="35"/>
        <v>0.25</v>
      </c>
      <c r="AI63" s="342">
        <f t="shared" si="39"/>
        <v>145604292.00000003</v>
      </c>
      <c r="AP63" s="1338"/>
    </row>
    <row r="64" spans="1:42" s="85" customFormat="1" x14ac:dyDescent="0.6">
      <c r="A64" s="61">
        <f t="shared" si="37"/>
        <v>57</v>
      </c>
      <c r="B64" s="86" t="s">
        <v>74</v>
      </c>
      <c r="C64" s="290">
        <v>0</v>
      </c>
      <c r="D64" s="290">
        <v>0</v>
      </c>
      <c r="E64" s="290">
        <v>367</v>
      </c>
      <c r="F64" s="290">
        <v>0</v>
      </c>
      <c r="G64" s="961">
        <v>602</v>
      </c>
      <c r="H64" s="1455">
        <v>0</v>
      </c>
      <c r="I64" s="1449">
        <v>0</v>
      </c>
      <c r="J64" s="1449">
        <v>0</v>
      </c>
      <c r="K64" s="1449">
        <v>0</v>
      </c>
      <c r="L64" s="1449">
        <f>1561+1344</f>
        <v>2905</v>
      </c>
      <c r="M64" s="290">
        <f>((H64)*Assumptions!$C$81+(I64)*Assumptions!$C$82+(J64)*Assumptions!$C$83+(K64)*Assumptions!$C$84+(L64)*Assumptions!$C$85)*1000</f>
        <v>44818340.000000007</v>
      </c>
      <c r="N64" s="290">
        <f>((C64+H64)*Assumptions!$C$81+(D64+I64)*Assumptions!$C$82+(E64+J64)*Assumptions!$C$83+(F64+K64)*Assumptions!$C$84+(G64+L64)*Assumptions!$C$85)*1000</f>
        <v>63812412.000000007</v>
      </c>
      <c r="O64" s="487">
        <f t="shared" si="30"/>
        <v>16.471970056788852</v>
      </c>
      <c r="P64" s="487">
        <f t="shared" si="4"/>
        <v>131.77576045431081</v>
      </c>
      <c r="Q64" s="348">
        <f>N64*1000000/Assumptions!$C$8</f>
        <v>510499296.00000006</v>
      </c>
      <c r="R64" s="391"/>
      <c r="S64" s="840"/>
      <c r="T64" s="293"/>
      <c r="U64" s="1077">
        <f>IF(Q64=0,0,Assumptions!$C$112)</f>
        <v>0.25</v>
      </c>
      <c r="V64" s="393"/>
      <c r="W64" s="306">
        <f t="shared" si="31"/>
        <v>0</v>
      </c>
      <c r="X64" s="325"/>
      <c r="Y64" s="329"/>
      <c r="Z64" s="281"/>
      <c r="AA64" s="281"/>
      <c r="AB64" s="314"/>
      <c r="AC64" s="402"/>
      <c r="AD64" s="396">
        <f t="shared" si="32"/>
        <v>0</v>
      </c>
      <c r="AE64" s="336"/>
      <c r="AF64" s="544"/>
      <c r="AG64" s="583"/>
      <c r="AH64" s="363">
        <f t="shared" si="35"/>
        <v>0.25</v>
      </c>
      <c r="AI64" s="342">
        <f t="shared" si="39"/>
        <v>127624824.00000001</v>
      </c>
      <c r="AP64" s="1338"/>
    </row>
    <row r="65" spans="1:42" s="85" customFormat="1" x14ac:dyDescent="0.6">
      <c r="A65" s="63">
        <f t="shared" si="37"/>
        <v>58</v>
      </c>
      <c r="B65" s="90" t="s">
        <v>75</v>
      </c>
      <c r="C65" s="292">
        <v>0</v>
      </c>
      <c r="D65" s="292">
        <v>0</v>
      </c>
      <c r="E65" s="292">
        <v>187</v>
      </c>
      <c r="F65" s="292">
        <v>0</v>
      </c>
      <c r="G65" s="963">
        <v>0</v>
      </c>
      <c r="H65" s="1459">
        <v>0</v>
      </c>
      <c r="I65" s="1453">
        <v>0</v>
      </c>
      <c r="J65" s="1453">
        <v>0</v>
      </c>
      <c r="K65" s="1453">
        <v>0</v>
      </c>
      <c r="L65" s="1453">
        <v>0</v>
      </c>
      <c r="M65" s="292">
        <f>((H65)*Assumptions!$C$81+(I65)*Assumptions!$C$82+(J65)*Assumptions!$C$83+(K65)*Assumptions!$C$84+(L65)*Assumptions!$C$85)*1000</f>
        <v>0</v>
      </c>
      <c r="N65" s="292">
        <f>((C65+H65)*Assumptions!$C$81+(D65+I65)*Assumptions!$C$82+(E65+J65)*Assumptions!$C$83+(F65+K65)*Assumptions!$C$84+(G65+L65)*Assumptions!$C$85)*1000</f>
        <v>4945776</v>
      </c>
      <c r="O65" s="490">
        <f t="shared" si="30"/>
        <v>26.448</v>
      </c>
      <c r="P65" s="490">
        <f t="shared" si="4"/>
        <v>211.584</v>
      </c>
      <c r="Q65" s="350">
        <f>N65*1000000/Assumptions!$C$8</f>
        <v>39566208</v>
      </c>
      <c r="R65" s="405"/>
      <c r="S65" s="841"/>
      <c r="T65" s="677"/>
      <c r="U65" s="1388">
        <f>IF(Q65=0,0,Assumptions!$C$112)</f>
        <v>0.25</v>
      </c>
      <c r="V65" s="819"/>
      <c r="W65" s="843">
        <f t="shared" si="31"/>
        <v>0</v>
      </c>
      <c r="X65" s="326"/>
      <c r="Y65" s="335"/>
      <c r="Z65" s="327"/>
      <c r="AA65" s="327"/>
      <c r="AB65" s="328"/>
      <c r="AC65" s="408"/>
      <c r="AD65" s="409">
        <f t="shared" si="32"/>
        <v>0</v>
      </c>
      <c r="AE65" s="545"/>
      <c r="AF65" s="546"/>
      <c r="AG65" s="584"/>
      <c r="AH65" s="572">
        <f t="shared" si="35"/>
        <v>0.25</v>
      </c>
      <c r="AI65" s="551">
        <f t="shared" si="39"/>
        <v>9891552</v>
      </c>
      <c r="AP65" s="1338"/>
    </row>
    <row r="66" spans="1:42" x14ac:dyDescent="0.6">
      <c r="M66" s="13">
        <f>SUM(M4:M65)</f>
        <v>126054403410</v>
      </c>
      <c r="N66" s="13">
        <f>SUM(N4:N65)</f>
        <v>162902276240</v>
      </c>
      <c r="Q66" s="13">
        <f>SUM(Q4:Q65)</f>
        <v>1303218209920</v>
      </c>
      <c r="R66" s="398"/>
      <c r="T66" s="83"/>
      <c r="U66" s="278"/>
      <c r="V66" s="820"/>
      <c r="Y66" s="413"/>
      <c r="Z66" s="278"/>
      <c r="AA66" s="278"/>
      <c r="AB66" s="414"/>
      <c r="AG66" s="1"/>
      <c r="AH66" s="1"/>
      <c r="AI66" s="1"/>
    </row>
    <row r="67" spans="1:42" x14ac:dyDescent="0.6">
      <c r="C67" s="13">
        <v>52696</v>
      </c>
      <c r="D67" s="13">
        <v>83183</v>
      </c>
      <c r="E67" s="13">
        <v>1300542</v>
      </c>
      <c r="F67" s="13">
        <v>39483</v>
      </c>
      <c r="G67" s="13">
        <v>27599</v>
      </c>
      <c r="H67" s="13">
        <f>30878+1200</f>
        <v>32078</v>
      </c>
      <c r="I67" s="13">
        <f>44639+194+917916</f>
        <v>962749</v>
      </c>
      <c r="J67" s="13">
        <f>3151256+191145</f>
        <v>3342401</v>
      </c>
      <c r="K67" s="13">
        <f>590484+4207</f>
        <v>594691</v>
      </c>
      <c r="L67" s="13">
        <f>528521+216347</f>
        <v>744868</v>
      </c>
      <c r="M67" s="13">
        <f>((B67+G67)*Assumptions!$C$81+(C67+H67)*Assumptions!$C$82+(D67+I67)*Assumptions!$C$83+(E67+J67)*Assumptions!$C$84+(F67+K67)*Assumptions!$C$85)*1000</f>
        <v>127637108938.00003</v>
      </c>
      <c r="N67" s="13">
        <f>((C67+H67)*Assumptions!$C$81+(D67+I67)*Assumptions!$C$82+(E67+J67)*Assumptions!$C$83+(F67+K67)*Assumptions!$C$84+(G67+L67)*Assumptions!$C$85)*1000</f>
        <v>178864177663.99997</v>
      </c>
      <c r="Q67" s="13">
        <f>N67*8</f>
        <v>1430913421311.9998</v>
      </c>
      <c r="R67" s="398"/>
      <c r="T67" s="83"/>
      <c r="U67" s="278"/>
      <c r="V67" s="820"/>
      <c r="Y67" s="413"/>
      <c r="Z67" s="278"/>
      <c r="AA67" s="278"/>
      <c r="AB67" s="414"/>
      <c r="AC67" s="491"/>
      <c r="AG67" s="1"/>
      <c r="AH67" s="1"/>
      <c r="AI67" s="1"/>
    </row>
    <row r="68" spans="1:42" x14ac:dyDescent="0.6">
      <c r="M68" s="28">
        <f>M66/M67</f>
        <v>0.9875999578714304</v>
      </c>
      <c r="N68" s="28">
        <f>N66/N67</f>
        <v>0.91075965219830246</v>
      </c>
      <c r="Q68" s="28">
        <f>Q66/Q67</f>
        <v>0.91075965219830246</v>
      </c>
      <c r="R68" s="398"/>
      <c r="S68" s="352"/>
      <c r="T68" s="1429"/>
      <c r="U68" s="1430"/>
      <c r="V68" s="1421"/>
      <c r="W68" s="844"/>
      <c r="X68" s="229"/>
      <c r="Y68" s="413"/>
      <c r="Z68" s="278"/>
      <c r="AA68" s="278"/>
      <c r="AB68" s="414"/>
      <c r="AI68" s="1"/>
    </row>
    <row r="69" spans="1:42" x14ac:dyDescent="0.6">
      <c r="A69" s="1"/>
      <c r="M69" s="1"/>
      <c r="N69" s="1"/>
      <c r="Q69" s="1"/>
      <c r="R69" s="398"/>
      <c r="S69" s="352"/>
      <c r="T69" s="1415" t="s">
        <v>1481</v>
      </c>
      <c r="U69" s="1416"/>
      <c r="V69" s="1417"/>
      <c r="W69" s="1418"/>
      <c r="X69" s="229"/>
      <c r="Y69" s="413"/>
      <c r="Z69" s="278"/>
      <c r="AA69" s="278"/>
      <c r="AB69" s="414"/>
      <c r="AC69" s="226"/>
      <c r="AD69" s="85"/>
      <c r="AE69" s="1"/>
      <c r="AF69" s="1"/>
      <c r="AG69" s="1"/>
    </row>
    <row r="70" spans="1:42" x14ac:dyDescent="0.6">
      <c r="S70" s="352"/>
      <c r="T70" s="1419" t="s">
        <v>1482</v>
      </c>
      <c r="U70" s="1420">
        <v>93</v>
      </c>
      <c r="V70" s="1421" t="s">
        <v>1483</v>
      </c>
      <c r="W70" s="1422"/>
      <c r="X70" s="229"/>
      <c r="Y70" s="413"/>
      <c r="Z70" s="278"/>
      <c r="AA70" s="278"/>
      <c r="AB70" s="414"/>
    </row>
    <row r="71" spans="1:42" x14ac:dyDescent="0.6">
      <c r="S71" s="352"/>
      <c r="T71" s="1423" t="s">
        <v>85</v>
      </c>
      <c r="U71" s="1391">
        <v>60</v>
      </c>
      <c r="V71" s="1424" t="s">
        <v>1484</v>
      </c>
      <c r="W71" s="1422"/>
      <c r="X71" s="229"/>
    </row>
    <row r="72" spans="1:42" x14ac:dyDescent="0.6">
      <c r="S72" s="352"/>
      <c r="T72" s="1423"/>
      <c r="U72" s="1425">
        <f>U71/1000</f>
        <v>0.06</v>
      </c>
      <c r="V72" s="1424" t="s">
        <v>1486</v>
      </c>
      <c r="W72" s="1422"/>
      <c r="X72" s="229"/>
    </row>
    <row r="73" spans="1:42" x14ac:dyDescent="0.6">
      <c r="S73" s="352"/>
      <c r="T73" s="1423"/>
      <c r="U73" s="1425">
        <f>U72*U70</f>
        <v>5.58</v>
      </c>
      <c r="V73" s="1424" t="s">
        <v>1487</v>
      </c>
      <c r="W73" s="1422"/>
      <c r="X73" s="229"/>
    </row>
    <row r="74" spans="1:42" x14ac:dyDescent="0.6">
      <c r="S74" s="352"/>
      <c r="T74" s="1423"/>
      <c r="U74" s="1425">
        <f>U73/8</f>
        <v>0.69750000000000001</v>
      </c>
      <c r="V74" s="1424" t="s">
        <v>1488</v>
      </c>
      <c r="W74" s="1422"/>
      <c r="X74" s="229"/>
    </row>
    <row r="75" spans="1:42" x14ac:dyDescent="0.6">
      <c r="S75" s="352"/>
      <c r="T75" s="1426"/>
      <c r="U75" s="1037">
        <f>U74*R30</f>
        <v>0.70491581999999997</v>
      </c>
      <c r="V75" s="1427" t="s">
        <v>674</v>
      </c>
      <c r="W75" s="1428"/>
      <c r="X75" s="229"/>
    </row>
    <row r="76" spans="1:42" x14ac:dyDescent="0.6">
      <c r="S76" s="352"/>
      <c r="T76" s="103"/>
      <c r="U76" s="535"/>
      <c r="V76" s="1424"/>
      <c r="W76" s="844"/>
      <c r="X76" s="229"/>
    </row>
    <row r="77" spans="1:42" x14ac:dyDescent="0.6">
      <c r="S77" s="352"/>
      <c r="T77" s="103"/>
      <c r="U77" s="535"/>
      <c r="V77" s="1424"/>
      <c r="W77" s="844"/>
      <c r="X77" s="229"/>
    </row>
    <row r="78" spans="1:42" x14ac:dyDescent="0.6">
      <c r="T78" s="1431" t="s">
        <v>1489</v>
      </c>
      <c r="U78" s="1432"/>
      <c r="V78" s="1433"/>
      <c r="W78" s="1434"/>
    </row>
    <row r="79" spans="1:42" x14ac:dyDescent="0.6">
      <c r="T79" s="1423" t="s">
        <v>1482</v>
      </c>
      <c r="U79" s="1435">
        <v>0.7</v>
      </c>
      <c r="V79" s="1424" t="s">
        <v>1490</v>
      </c>
      <c r="W79" s="1422"/>
    </row>
    <row r="80" spans="1:42" x14ac:dyDescent="0.6">
      <c r="T80" s="1423" t="s">
        <v>85</v>
      </c>
      <c r="U80" s="1436">
        <v>21.94</v>
      </c>
      <c r="V80" s="1424" t="s">
        <v>1485</v>
      </c>
      <c r="W80" s="1422"/>
    </row>
    <row r="81" spans="20:23" x14ac:dyDescent="0.6">
      <c r="T81" s="1423"/>
      <c r="U81" s="1436">
        <f>U80*U79</f>
        <v>15.358000000000001</v>
      </c>
      <c r="V81" s="1424" t="s">
        <v>1491</v>
      </c>
      <c r="W81" s="1422"/>
    </row>
    <row r="82" spans="20:23" x14ac:dyDescent="0.6">
      <c r="T82" s="1423"/>
      <c r="U82" s="1436">
        <f>U81/8</f>
        <v>1.9197500000000001</v>
      </c>
      <c r="V82" s="1424" t="s">
        <v>674</v>
      </c>
      <c r="W82" s="1422"/>
    </row>
    <row r="83" spans="20:23" x14ac:dyDescent="0.6">
      <c r="T83" s="1426"/>
      <c r="U83" s="1037">
        <f>U82*R29</f>
        <v>0.2310419125</v>
      </c>
      <c r="V83" s="1427" t="s">
        <v>674</v>
      </c>
      <c r="W83" s="1428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8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" defaultRowHeight="15.6" x14ac:dyDescent="0.6"/>
  <cols>
    <col min="2" max="2" width="20.59765625" customWidth="1"/>
    <col min="3" max="3" width="15.59765625" style="888" bestFit="1" customWidth="1"/>
    <col min="4" max="5" width="15" style="162" bestFit="1" customWidth="1"/>
    <col min="6" max="6" width="16.09765625" style="162" bestFit="1" customWidth="1"/>
  </cols>
  <sheetData>
    <row r="1" spans="1:6" x14ac:dyDescent="0.6">
      <c r="A1" s="78" t="s">
        <v>1751</v>
      </c>
      <c r="B1" s="85"/>
      <c r="C1" s="64"/>
      <c r="D1" s="13"/>
      <c r="E1" s="13"/>
      <c r="F1" s="13"/>
    </row>
    <row r="2" spans="1:6" s="167" customFormat="1" x14ac:dyDescent="0.6">
      <c r="A2" s="24"/>
      <c r="B2" s="60"/>
      <c r="C2" s="887" t="s">
        <v>24</v>
      </c>
      <c r="D2" s="64" t="s">
        <v>24</v>
      </c>
      <c r="E2" s="64" t="s">
        <v>24</v>
      </c>
      <c r="F2" s="64" t="s">
        <v>850</v>
      </c>
    </row>
    <row r="3" spans="1:6" s="167" customFormat="1" x14ac:dyDescent="0.6">
      <c r="A3" s="60"/>
      <c r="B3" s="60"/>
      <c r="C3" s="64" t="s">
        <v>847</v>
      </c>
      <c r="D3" s="64" t="s">
        <v>121</v>
      </c>
      <c r="E3" s="64" t="s">
        <v>848</v>
      </c>
      <c r="F3" s="64" t="s">
        <v>848</v>
      </c>
    </row>
    <row r="4" spans="1:6" s="167" customFormat="1" x14ac:dyDescent="0.6">
      <c r="A4" s="60">
        <f t="shared" ref="A4:A54" si="0">A3+1</f>
        <v>1</v>
      </c>
      <c r="B4" s="85" t="s">
        <v>178</v>
      </c>
      <c r="C4" s="21">
        <v>3234000</v>
      </c>
      <c r="D4" s="21">
        <f>C4*Assumptions!$C$86</f>
        <v>85532832</v>
      </c>
      <c r="E4" s="21">
        <f>D4*1000000/Assumptions!$C$8</f>
        <v>684262656</v>
      </c>
      <c r="F4" s="21">
        <f>E4*$F$57</f>
        <v>6086399371.6456022</v>
      </c>
    </row>
    <row r="5" spans="1:6" s="167" customFormat="1" x14ac:dyDescent="0.6">
      <c r="A5" s="60">
        <f t="shared" si="0"/>
        <v>2</v>
      </c>
      <c r="B5" s="85" t="s">
        <v>188</v>
      </c>
      <c r="C5" s="21">
        <v>545000</v>
      </c>
      <c r="D5" s="21">
        <f>C5*Assumptions!$C$86</f>
        <v>14414160</v>
      </c>
      <c r="E5" s="21">
        <f>D5*1000000/Assumptions!$C$8</f>
        <v>115313280</v>
      </c>
      <c r="F5" s="21">
        <f t="shared" ref="F5:F53" si="1">E5*$F$57</f>
        <v>1025691916.3719397</v>
      </c>
    </row>
    <row r="6" spans="1:6" s="167" customFormat="1" x14ac:dyDescent="0.6">
      <c r="A6" s="60">
        <f t="shared" si="0"/>
        <v>3</v>
      </c>
      <c r="B6" s="85" t="s">
        <v>181</v>
      </c>
      <c r="C6" s="21">
        <v>221000</v>
      </c>
      <c r="D6" s="21">
        <f>C6*Assumptions!$C$86</f>
        <v>5845008</v>
      </c>
      <c r="E6" s="21">
        <f>D6*1000000/Assumptions!$C$8</f>
        <v>46760064</v>
      </c>
      <c r="F6" s="21">
        <f t="shared" si="1"/>
        <v>415922777.09761226</v>
      </c>
    </row>
    <row r="7" spans="1:6" s="167" customFormat="1" x14ac:dyDescent="0.6">
      <c r="A7" s="60">
        <f t="shared" si="0"/>
        <v>4</v>
      </c>
      <c r="B7" s="85" t="s">
        <v>176</v>
      </c>
      <c r="C7" s="21">
        <v>227000</v>
      </c>
      <c r="D7" s="21">
        <f>C7*Assumptions!$C$86</f>
        <v>6003696</v>
      </c>
      <c r="E7" s="21">
        <f>D7*1000000/Assumptions!$C$8</f>
        <v>48029568</v>
      </c>
      <c r="F7" s="21">
        <f t="shared" si="1"/>
        <v>427214798.19528496</v>
      </c>
    </row>
    <row r="8" spans="1:6" s="167" customFormat="1" x14ac:dyDescent="0.6">
      <c r="A8" s="60">
        <f t="shared" si="0"/>
        <v>5</v>
      </c>
      <c r="B8" s="85" t="s">
        <v>142</v>
      </c>
      <c r="C8" s="21">
        <v>1399000</v>
      </c>
      <c r="D8" s="21">
        <f>C8*Assumptions!$C$86</f>
        <v>37000752</v>
      </c>
      <c r="E8" s="21">
        <f>D8*1000000/Assumptions!$C$8</f>
        <v>296006016</v>
      </c>
      <c r="F8" s="21">
        <f t="shared" si="1"/>
        <v>2632922919.274025</v>
      </c>
    </row>
    <row r="9" spans="1:6" s="167" customFormat="1" x14ac:dyDescent="0.6">
      <c r="A9" s="60">
        <f t="shared" si="0"/>
        <v>6</v>
      </c>
      <c r="B9" s="85" t="s">
        <v>175</v>
      </c>
      <c r="C9" s="21">
        <v>379000</v>
      </c>
      <c r="D9" s="21">
        <f>C9*Assumptions!$C$86</f>
        <v>10023792</v>
      </c>
      <c r="E9" s="21">
        <f>D9*1000000/Assumptions!$C$8</f>
        <v>80190336</v>
      </c>
      <c r="F9" s="21">
        <f t="shared" si="1"/>
        <v>713279332.66966081</v>
      </c>
    </row>
    <row r="10" spans="1:6" s="167" customFormat="1" x14ac:dyDescent="0.6">
      <c r="A10" s="60">
        <f t="shared" si="0"/>
        <v>7</v>
      </c>
      <c r="B10" s="85" t="s">
        <v>143</v>
      </c>
      <c r="C10" s="21">
        <v>0</v>
      </c>
      <c r="D10" s="21">
        <f>C10*Assumptions!$C$86</f>
        <v>0</v>
      </c>
      <c r="E10" s="21">
        <f>D10*1000000/Assumptions!$C$8</f>
        <v>0</v>
      </c>
      <c r="F10" s="21">
        <f t="shared" si="1"/>
        <v>0</v>
      </c>
    </row>
    <row r="11" spans="1:6" s="167" customFormat="1" x14ac:dyDescent="0.6">
      <c r="A11" s="60">
        <f t="shared" si="0"/>
        <v>8</v>
      </c>
      <c r="B11" s="85" t="s">
        <v>172</v>
      </c>
      <c r="C11" s="21">
        <v>0</v>
      </c>
      <c r="D11" s="21">
        <f>C11*Assumptions!$C$86</f>
        <v>0</v>
      </c>
      <c r="E11" s="21">
        <f>D11*1000000/Assumptions!$C$8</f>
        <v>0</v>
      </c>
      <c r="F11" s="21">
        <f t="shared" si="1"/>
        <v>0</v>
      </c>
    </row>
    <row r="12" spans="1:6" s="167" customFormat="1" x14ac:dyDescent="0.6">
      <c r="A12" s="60">
        <f t="shared" si="0"/>
        <v>9</v>
      </c>
      <c r="B12" s="85" t="s">
        <v>171</v>
      </c>
      <c r="C12" s="21">
        <v>2000</v>
      </c>
      <c r="D12" s="21">
        <f>C12*Assumptions!$C$86</f>
        <v>52896</v>
      </c>
      <c r="E12" s="21">
        <f>D12*1000000/Assumptions!$C$8</f>
        <v>423168</v>
      </c>
      <c r="F12" s="21">
        <f t="shared" si="1"/>
        <v>3764007.0325575769</v>
      </c>
    </row>
    <row r="13" spans="1:6" s="167" customFormat="1" x14ac:dyDescent="0.6">
      <c r="A13" s="60">
        <f t="shared" si="0"/>
        <v>10</v>
      </c>
      <c r="B13" s="85" t="s">
        <v>144</v>
      </c>
      <c r="C13" s="21">
        <v>618000</v>
      </c>
      <c r="D13" s="21">
        <f>C13*Assumptions!$C$86</f>
        <v>16344864</v>
      </c>
      <c r="E13" s="21">
        <f>D13*1000000/Assumptions!$C$8</f>
        <v>130758912</v>
      </c>
      <c r="F13" s="21">
        <f t="shared" si="1"/>
        <v>1163078173.0602913</v>
      </c>
    </row>
    <row r="14" spans="1:6" s="167" customFormat="1" x14ac:dyDescent="0.6">
      <c r="A14" s="60">
        <f t="shared" si="0"/>
        <v>11</v>
      </c>
      <c r="B14" s="85" t="s">
        <v>154</v>
      </c>
      <c r="C14" s="21">
        <v>821000</v>
      </c>
      <c r="D14" s="21">
        <f>C14*Assumptions!$C$86</f>
        <v>21713808</v>
      </c>
      <c r="E14" s="21">
        <f>D14*1000000/Assumptions!$C$8</f>
        <v>173710464</v>
      </c>
      <c r="F14" s="21">
        <f t="shared" si="1"/>
        <v>1545124886.8648853</v>
      </c>
    </row>
    <row r="15" spans="1:6" s="167" customFormat="1" x14ac:dyDescent="0.6">
      <c r="A15" s="60">
        <f t="shared" si="0"/>
        <v>12</v>
      </c>
      <c r="B15" s="85" t="s">
        <v>141</v>
      </c>
      <c r="C15" s="21">
        <v>61000</v>
      </c>
      <c r="D15" s="21">
        <f>C15*Assumptions!$C$86</f>
        <v>1613328</v>
      </c>
      <c r="E15" s="21">
        <f>D15*1000000/Assumptions!$C$8</f>
        <v>12906624</v>
      </c>
      <c r="F15" s="21">
        <f t="shared" si="1"/>
        <v>114802214.4930061</v>
      </c>
    </row>
    <row r="16" spans="1:6" s="167" customFormat="1" x14ac:dyDescent="0.6">
      <c r="A16" s="60">
        <f t="shared" si="0"/>
        <v>13</v>
      </c>
      <c r="B16" s="85" t="s">
        <v>152</v>
      </c>
      <c r="C16" s="21">
        <v>352000</v>
      </c>
      <c r="D16" s="21">
        <f>C16*Assumptions!$C$86</f>
        <v>9309696</v>
      </c>
      <c r="E16" s="21">
        <f>D16*1000000/Assumptions!$C$8</f>
        <v>74477568</v>
      </c>
      <c r="F16" s="21">
        <f t="shared" si="1"/>
        <v>662465237.73013353</v>
      </c>
    </row>
    <row r="17" spans="1:6" s="167" customFormat="1" x14ac:dyDescent="0.6">
      <c r="A17" s="60">
        <f t="shared" si="0"/>
        <v>14</v>
      </c>
      <c r="B17" s="85" t="s">
        <v>157</v>
      </c>
      <c r="C17" s="21">
        <v>4746000</v>
      </c>
      <c r="D17" s="21">
        <f>C17*Assumptions!$C$86</f>
        <v>125522208</v>
      </c>
      <c r="E17" s="21">
        <f>D17*1000000/Assumptions!$C$8</f>
        <v>1004177664</v>
      </c>
      <c r="F17" s="21">
        <f t="shared" si="1"/>
        <v>8931988688.2591305</v>
      </c>
    </row>
    <row r="18" spans="1:6" s="167" customFormat="1" x14ac:dyDescent="0.6">
      <c r="A18" s="60">
        <f t="shared" si="0"/>
        <v>15</v>
      </c>
      <c r="B18" s="85" t="s">
        <v>160</v>
      </c>
      <c r="C18" s="21">
        <v>6762000</v>
      </c>
      <c r="D18" s="21">
        <f>C18*Assumptions!$C$86</f>
        <v>178841376</v>
      </c>
      <c r="E18" s="21">
        <f>D18*1000000/Assumptions!$C$8</f>
        <v>1430731008</v>
      </c>
      <c r="F18" s="21">
        <f t="shared" si="1"/>
        <v>12726107777.077168</v>
      </c>
    </row>
    <row r="19" spans="1:6" s="167" customFormat="1" x14ac:dyDescent="0.6">
      <c r="A19" s="60">
        <f t="shared" si="0"/>
        <v>16</v>
      </c>
      <c r="B19" s="85" t="s">
        <v>151</v>
      </c>
      <c r="C19" s="21">
        <v>3303000</v>
      </c>
      <c r="D19" s="21">
        <f>C19*Assumptions!$C$86</f>
        <v>87357744</v>
      </c>
      <c r="E19" s="21">
        <f>D19*1000000/Assumptions!$C$8</f>
        <v>698861952</v>
      </c>
      <c r="F19" s="21">
        <f t="shared" si="1"/>
        <v>6216257614.2688379</v>
      </c>
    </row>
    <row r="20" spans="1:6" s="167" customFormat="1" x14ac:dyDescent="0.6">
      <c r="A20" s="60">
        <f t="shared" si="0"/>
        <v>17</v>
      </c>
      <c r="B20" s="85" t="s">
        <v>168</v>
      </c>
      <c r="C20" s="21">
        <v>121000</v>
      </c>
      <c r="D20" s="21">
        <f>C20*Assumptions!$C$86</f>
        <v>3200208</v>
      </c>
      <c r="E20" s="21">
        <f>D20*1000000/Assumptions!$C$8</f>
        <v>25601664</v>
      </c>
      <c r="F20" s="21">
        <f t="shared" si="1"/>
        <v>227722425.46973342</v>
      </c>
    </row>
    <row r="21" spans="1:6" s="167" customFormat="1" x14ac:dyDescent="0.6">
      <c r="A21" s="60">
        <f t="shared" si="0"/>
        <v>18</v>
      </c>
      <c r="B21" s="85" t="s">
        <v>167</v>
      </c>
      <c r="C21" s="21">
        <v>1049000</v>
      </c>
      <c r="D21" s="21">
        <f>C21*Assumptions!$C$86</f>
        <v>27743952</v>
      </c>
      <c r="E21" s="21">
        <f>D21*1000000/Assumptions!$C$8</f>
        <v>221951616</v>
      </c>
      <c r="F21" s="21">
        <f t="shared" si="1"/>
        <v>1974221688.5764492</v>
      </c>
    </row>
    <row r="22" spans="1:6" s="167" customFormat="1" x14ac:dyDescent="0.6">
      <c r="A22" s="60">
        <f t="shared" si="0"/>
        <v>19</v>
      </c>
      <c r="B22" s="85" t="s">
        <v>179</v>
      </c>
      <c r="C22" s="21">
        <v>189000</v>
      </c>
      <c r="D22" s="21">
        <f>C22*Assumptions!$C$86</f>
        <v>4998672</v>
      </c>
      <c r="E22" s="21">
        <f>D22*1000000/Assumptions!$C$8</f>
        <v>39989376</v>
      </c>
      <c r="F22" s="21">
        <f t="shared" si="1"/>
        <v>355698664.57669103</v>
      </c>
    </row>
    <row r="23" spans="1:6" s="167" customFormat="1" x14ac:dyDescent="0.6">
      <c r="A23" s="60">
        <f t="shared" si="0"/>
        <v>20</v>
      </c>
      <c r="B23" s="85" t="s">
        <v>158</v>
      </c>
      <c r="C23" s="21">
        <v>33000</v>
      </c>
      <c r="D23" s="21">
        <f>C23*Assumptions!$C$86</f>
        <v>872784</v>
      </c>
      <c r="E23" s="21">
        <f>D23*1000000/Assumptions!$C$8</f>
        <v>6982272</v>
      </c>
      <c r="F23" s="21">
        <f t="shared" si="1"/>
        <v>62106116.037200019</v>
      </c>
    </row>
    <row r="24" spans="1:6" s="167" customFormat="1" x14ac:dyDescent="0.6">
      <c r="A24" s="60">
        <f t="shared" si="0"/>
        <v>21</v>
      </c>
      <c r="B24" s="85" t="s">
        <v>150</v>
      </c>
      <c r="C24" s="21">
        <v>712000</v>
      </c>
      <c r="D24" s="21">
        <f>C24*Assumptions!$C$86</f>
        <v>18830976</v>
      </c>
      <c r="E24" s="21">
        <f>D24*1000000/Assumptions!$C$8</f>
        <v>150647808</v>
      </c>
      <c r="F24" s="21">
        <f t="shared" si="1"/>
        <v>1339986503.5904975</v>
      </c>
    </row>
    <row r="25" spans="1:6" s="167" customFormat="1" x14ac:dyDescent="0.6">
      <c r="A25" s="60">
        <f t="shared" si="0"/>
        <v>22</v>
      </c>
      <c r="B25" s="85" t="s">
        <v>166</v>
      </c>
      <c r="C25" s="21">
        <v>57000</v>
      </c>
      <c r="D25" s="21">
        <f>C25*Assumptions!$C$86</f>
        <v>1507536</v>
      </c>
      <c r="E25" s="21">
        <f>D25*1000000/Assumptions!$C$8</f>
        <v>12060288</v>
      </c>
      <c r="F25" s="21">
        <f t="shared" si="1"/>
        <v>107274200.42789094</v>
      </c>
    </row>
    <row r="26" spans="1:6" s="167" customFormat="1" x14ac:dyDescent="0.6">
      <c r="A26" s="60">
        <f t="shared" si="0"/>
        <v>23</v>
      </c>
      <c r="B26" s="85" t="s">
        <v>155</v>
      </c>
      <c r="C26" s="21">
        <v>2542000</v>
      </c>
      <c r="D26" s="21">
        <f>C26*Assumptions!$C$86</f>
        <v>67230816</v>
      </c>
      <c r="E26" s="21">
        <f>D26*1000000/Assumptions!$C$8</f>
        <v>537846528</v>
      </c>
      <c r="F26" s="21">
        <f t="shared" si="1"/>
        <v>4784052938.3806801</v>
      </c>
    </row>
    <row r="27" spans="1:6" s="167" customFormat="1" x14ac:dyDescent="0.6">
      <c r="A27" s="60">
        <f t="shared" si="0"/>
        <v>24</v>
      </c>
      <c r="B27" s="85" t="s">
        <v>162</v>
      </c>
      <c r="C27" s="21">
        <v>1246000</v>
      </c>
      <c r="D27" s="21">
        <f>C27*Assumptions!$C$86</f>
        <v>32954208</v>
      </c>
      <c r="E27" s="21">
        <f>D27*1000000/Assumptions!$C$8</f>
        <v>263633664</v>
      </c>
      <c r="F27" s="21">
        <f t="shared" si="1"/>
        <v>2344976381.2833705</v>
      </c>
    </row>
    <row r="28" spans="1:6" s="167" customFormat="1" x14ac:dyDescent="0.6">
      <c r="A28" s="60">
        <f t="shared" si="0"/>
        <v>25</v>
      </c>
      <c r="B28" s="85" t="s">
        <v>183</v>
      </c>
      <c r="C28" s="21">
        <v>110000</v>
      </c>
      <c r="D28" s="21">
        <f>C28*Assumptions!$C$86</f>
        <v>2909280</v>
      </c>
      <c r="E28" s="21">
        <f>D28*1000000/Assumptions!$C$8</f>
        <v>23274240</v>
      </c>
      <c r="F28" s="21">
        <f t="shared" si="1"/>
        <v>207020386.79066673</v>
      </c>
    </row>
    <row r="29" spans="1:6" s="167" customFormat="1" x14ac:dyDescent="0.6">
      <c r="A29" s="60">
        <f t="shared" si="0"/>
        <v>26</v>
      </c>
      <c r="B29" s="85" t="s">
        <v>184</v>
      </c>
      <c r="C29" s="21">
        <v>1190000</v>
      </c>
      <c r="D29" s="21">
        <f>C29*Assumptions!$C$86</f>
        <v>31473120</v>
      </c>
      <c r="E29" s="21">
        <f>D29*1000000/Assumptions!$C$8</f>
        <v>251784960</v>
      </c>
      <c r="F29" s="21">
        <f t="shared" si="1"/>
        <v>2239584184.3717585</v>
      </c>
    </row>
    <row r="30" spans="1:6" s="167" customFormat="1" x14ac:dyDescent="0.6">
      <c r="A30" s="60">
        <f t="shared" si="0"/>
        <v>27</v>
      </c>
      <c r="B30" s="85" t="s">
        <v>164</v>
      </c>
      <c r="C30" s="21">
        <v>282000</v>
      </c>
      <c r="D30" s="21">
        <f>C30*Assumptions!$C$86</f>
        <v>7458336</v>
      </c>
      <c r="E30" s="21">
        <f>D30*1000000/Assumptions!$C$8</f>
        <v>59666688</v>
      </c>
      <c r="F30" s="21">
        <f t="shared" si="1"/>
        <v>530724991.59061837</v>
      </c>
    </row>
    <row r="31" spans="1:6" s="167" customFormat="1" x14ac:dyDescent="0.6">
      <c r="A31" s="60">
        <f t="shared" si="0"/>
        <v>28</v>
      </c>
      <c r="B31" s="85" t="s">
        <v>165</v>
      </c>
      <c r="C31" s="21">
        <v>1217000</v>
      </c>
      <c r="D31" s="21">
        <f>C31*Assumptions!$C$86</f>
        <v>32187216</v>
      </c>
      <c r="E31" s="21">
        <f>D31*1000000/Assumptions!$C$8</f>
        <v>257497728</v>
      </c>
      <c r="F31" s="21">
        <f t="shared" si="1"/>
        <v>2290398279.3112855</v>
      </c>
    </row>
    <row r="32" spans="1:6" s="167" customFormat="1" x14ac:dyDescent="0.6">
      <c r="A32" s="60">
        <f t="shared" si="0"/>
        <v>29</v>
      </c>
      <c r="B32" s="85" t="s">
        <v>147</v>
      </c>
      <c r="C32" s="21">
        <v>331000</v>
      </c>
      <c r="D32" s="21">
        <f>C32*Assumptions!$C$86</f>
        <v>8754288</v>
      </c>
      <c r="E32" s="21">
        <f>D32*1000000/Assumptions!$C$8</f>
        <v>70034304</v>
      </c>
      <c r="F32" s="21">
        <f t="shared" si="1"/>
        <v>622943163.88827896</v>
      </c>
    </row>
    <row r="33" spans="1:6" s="167" customFormat="1" x14ac:dyDescent="0.6">
      <c r="A33" s="60">
        <f t="shared" si="0"/>
        <v>30</v>
      </c>
      <c r="B33" s="85" t="s">
        <v>170</v>
      </c>
      <c r="C33" s="21">
        <v>0</v>
      </c>
      <c r="D33" s="21">
        <f>C33*Assumptions!$C$86</f>
        <v>0</v>
      </c>
      <c r="E33" s="21">
        <f>D33*1000000/Assumptions!$C$8</f>
        <v>0</v>
      </c>
      <c r="F33" s="21">
        <f t="shared" si="1"/>
        <v>0</v>
      </c>
    </row>
    <row r="34" spans="1:6" s="167" customFormat="1" x14ac:dyDescent="0.6">
      <c r="A34" s="60">
        <f t="shared" si="0"/>
        <v>31</v>
      </c>
      <c r="B34" s="85" t="s">
        <v>187</v>
      </c>
      <c r="C34" s="21">
        <v>0</v>
      </c>
      <c r="D34" s="21">
        <f>C34*Assumptions!$C$86</f>
        <v>0</v>
      </c>
      <c r="E34" s="21">
        <f>D34*1000000/Assumptions!$C$8</f>
        <v>0</v>
      </c>
      <c r="F34" s="21">
        <f t="shared" si="1"/>
        <v>0</v>
      </c>
    </row>
    <row r="35" spans="1:6" s="167" customFormat="1" x14ac:dyDescent="0.6">
      <c r="A35" s="60">
        <f t="shared" si="0"/>
        <v>32</v>
      </c>
      <c r="B35" s="85" t="s">
        <v>182</v>
      </c>
      <c r="C35" s="21">
        <v>60000</v>
      </c>
      <c r="D35" s="21">
        <f>C35*Assumptions!$C$86</f>
        <v>1586880</v>
      </c>
      <c r="E35" s="21">
        <f>D35*1000000/Assumptions!$C$8</f>
        <v>12695040</v>
      </c>
      <c r="F35" s="21">
        <f t="shared" si="1"/>
        <v>112920210.97672731</v>
      </c>
    </row>
    <row r="36" spans="1:6" s="167" customFormat="1" x14ac:dyDescent="0.6">
      <c r="A36" s="60">
        <f t="shared" si="0"/>
        <v>33</v>
      </c>
      <c r="B36" s="85" t="s">
        <v>140</v>
      </c>
      <c r="C36" s="21">
        <v>714000</v>
      </c>
      <c r="D36" s="21">
        <f>C36*Assumptions!$C$86</f>
        <v>18883872</v>
      </c>
      <c r="E36" s="21">
        <f>D36*1000000/Assumptions!$C$8</f>
        <v>151070976</v>
      </c>
      <c r="F36" s="21">
        <f t="shared" si="1"/>
        <v>1343750510.623055</v>
      </c>
    </row>
    <row r="37" spans="1:6" s="167" customFormat="1" x14ac:dyDescent="0.6">
      <c r="A37" s="60">
        <f t="shared" si="0"/>
        <v>34</v>
      </c>
      <c r="B37" s="85" t="s">
        <v>145</v>
      </c>
      <c r="C37" s="21">
        <v>742000</v>
      </c>
      <c r="D37" s="21">
        <f>C37*Assumptions!$C$86</f>
        <v>19624416</v>
      </c>
      <c r="E37" s="21">
        <f>D37*1000000/Assumptions!$C$8</f>
        <v>156995328</v>
      </c>
      <c r="F37" s="21">
        <f t="shared" si="1"/>
        <v>1396446609.078861</v>
      </c>
    </row>
    <row r="38" spans="1:6" s="167" customFormat="1" x14ac:dyDescent="0.6">
      <c r="A38" s="60">
        <f t="shared" si="0"/>
        <v>35</v>
      </c>
      <c r="B38" s="85" t="s">
        <v>173</v>
      </c>
      <c r="C38" s="21">
        <v>6526000</v>
      </c>
      <c r="D38" s="21">
        <f>C38*Assumptions!$C$86</f>
        <v>172599648</v>
      </c>
      <c r="E38" s="21">
        <f>D38*1000000/Assumptions!$C$8</f>
        <v>1380797184</v>
      </c>
      <c r="F38" s="21">
        <f t="shared" si="1"/>
        <v>12281954947.235374</v>
      </c>
    </row>
    <row r="39" spans="1:6" s="167" customFormat="1" x14ac:dyDescent="0.6">
      <c r="A39" s="60">
        <f t="shared" si="0"/>
        <v>36</v>
      </c>
      <c r="B39" s="85" t="s">
        <v>163</v>
      </c>
      <c r="C39" s="21">
        <v>5168000</v>
      </c>
      <c r="D39" s="21">
        <f>C39*Assumptions!$C$86</f>
        <v>136683264</v>
      </c>
      <c r="E39" s="21">
        <f>D39*1000000/Assumptions!$C$8</f>
        <v>1093466112</v>
      </c>
      <c r="F39" s="21">
        <f t="shared" si="1"/>
        <v>9726194172.1287785</v>
      </c>
    </row>
    <row r="40" spans="1:6" s="167" customFormat="1" x14ac:dyDescent="0.6">
      <c r="A40" s="60">
        <f t="shared" si="0"/>
        <v>37</v>
      </c>
      <c r="B40" s="85" t="s">
        <v>185</v>
      </c>
      <c r="C40" s="21">
        <v>691000</v>
      </c>
      <c r="D40" s="21">
        <f>C40*Assumptions!$C$86</f>
        <v>18275568</v>
      </c>
      <c r="E40" s="21">
        <f>D40*1000000/Assumptions!$C$8</f>
        <v>146204544</v>
      </c>
      <c r="F40" s="21">
        <f t="shared" si="1"/>
        <v>1300464429.7486429</v>
      </c>
    </row>
    <row r="41" spans="1:6" s="167" customFormat="1" x14ac:dyDescent="0.6">
      <c r="A41" s="60">
        <f t="shared" si="0"/>
        <v>38</v>
      </c>
      <c r="B41" s="85" t="s">
        <v>153</v>
      </c>
      <c r="C41" s="21">
        <v>109000</v>
      </c>
      <c r="D41" s="21">
        <f>C41*Assumptions!$C$86</f>
        <v>2882832</v>
      </c>
      <c r="E41" s="21">
        <f>D41*1000000/Assumptions!$C$8</f>
        <v>23062656</v>
      </c>
      <c r="F41" s="21">
        <f t="shared" si="1"/>
        <v>205138383.27438796</v>
      </c>
    </row>
    <row r="42" spans="1:6" s="167" customFormat="1" x14ac:dyDescent="0.6">
      <c r="A42" s="60">
        <f t="shared" si="0"/>
        <v>39</v>
      </c>
      <c r="B42" s="85" t="s">
        <v>138</v>
      </c>
      <c r="C42" s="21">
        <v>8173000</v>
      </c>
      <c r="D42" s="21">
        <f>C42*Assumptions!$C$86</f>
        <v>216159504</v>
      </c>
      <c r="E42" s="21">
        <f>D42*1000000/Assumptions!$C$8</f>
        <v>1729276032</v>
      </c>
      <c r="F42" s="21">
        <f t="shared" si="1"/>
        <v>15381614738.546537</v>
      </c>
    </row>
    <row r="43" spans="1:6" s="167" customFormat="1" x14ac:dyDescent="0.6">
      <c r="A43" s="60">
        <f t="shared" si="0"/>
        <v>40</v>
      </c>
      <c r="B43" s="85" t="s">
        <v>146</v>
      </c>
      <c r="C43" s="21">
        <v>0</v>
      </c>
      <c r="D43" s="21">
        <f>C43*Assumptions!$C$86</f>
        <v>0</v>
      </c>
      <c r="E43" s="21">
        <f>D43*1000000/Assumptions!$C$8</f>
        <v>0</v>
      </c>
      <c r="F43" s="21">
        <f t="shared" si="1"/>
        <v>0</v>
      </c>
    </row>
    <row r="44" spans="1:6" s="167" customFormat="1" x14ac:dyDescent="0.6">
      <c r="A44" s="60">
        <f t="shared" si="0"/>
        <v>41</v>
      </c>
      <c r="B44" s="85" t="s">
        <v>186</v>
      </c>
      <c r="C44" s="21">
        <v>549000</v>
      </c>
      <c r="D44" s="21">
        <f>C44*Assumptions!$C$86</f>
        <v>14519952</v>
      </c>
      <c r="E44" s="21">
        <f>D44*1000000/Assumptions!$C$8</f>
        <v>116159616</v>
      </c>
      <c r="F44" s="21">
        <f t="shared" si="1"/>
        <v>1033219930.4370549</v>
      </c>
    </row>
    <row r="45" spans="1:6" s="167" customFormat="1" x14ac:dyDescent="0.6">
      <c r="A45" s="60">
        <f t="shared" si="0"/>
        <v>42</v>
      </c>
      <c r="B45" s="85" t="s">
        <v>159</v>
      </c>
      <c r="C45" s="21">
        <v>215000</v>
      </c>
      <c r="D45" s="21">
        <f>C45*Assumptions!$C$86</f>
        <v>5686320</v>
      </c>
      <c r="E45" s="21">
        <f>D45*1000000/Assumptions!$C$8</f>
        <v>45490560</v>
      </c>
      <c r="F45" s="21">
        <f t="shared" si="1"/>
        <v>404630755.9999395</v>
      </c>
    </row>
    <row r="46" spans="1:6" s="167" customFormat="1" x14ac:dyDescent="0.6">
      <c r="A46" s="60">
        <f t="shared" si="0"/>
        <v>43</v>
      </c>
      <c r="B46" s="85" t="s">
        <v>177</v>
      </c>
      <c r="C46" s="21">
        <v>2370000</v>
      </c>
      <c r="D46" s="21">
        <f>C46*Assumptions!$C$86</f>
        <v>62681760</v>
      </c>
      <c r="E46" s="21">
        <f>D46*1000000/Assumptions!$C$8</f>
        <v>501454080</v>
      </c>
      <c r="F46" s="21">
        <f t="shared" si="1"/>
        <v>4460348333.5807285</v>
      </c>
    </row>
    <row r="47" spans="1:6" s="167" customFormat="1" x14ac:dyDescent="0.6">
      <c r="A47" s="60">
        <f t="shared" si="0"/>
        <v>44</v>
      </c>
      <c r="B47" s="85" t="s">
        <v>180</v>
      </c>
      <c r="C47" s="21">
        <v>1304000</v>
      </c>
      <c r="D47" s="21">
        <f>C47*Assumptions!$C$86</f>
        <v>34488192</v>
      </c>
      <c r="E47" s="21">
        <f>D47*1000000/Assumptions!$C$8</f>
        <v>275905536</v>
      </c>
      <c r="F47" s="21">
        <f t="shared" si="1"/>
        <v>2454132585.22754</v>
      </c>
    </row>
    <row r="48" spans="1:6" s="167" customFormat="1" x14ac:dyDescent="0.6">
      <c r="A48" s="60">
        <f t="shared" si="0"/>
        <v>45</v>
      </c>
      <c r="B48" s="85" t="s">
        <v>161</v>
      </c>
      <c r="C48" s="21">
        <v>614000</v>
      </c>
      <c r="D48" s="21">
        <f>C48*Assumptions!$C$86</f>
        <v>16239072</v>
      </c>
      <c r="E48" s="21">
        <f>D48*1000000/Assumptions!$C$8</f>
        <v>129912576</v>
      </c>
      <c r="F48" s="21">
        <f t="shared" si="1"/>
        <v>1155550158.9951761</v>
      </c>
    </row>
    <row r="49" spans="1:6" s="167" customFormat="1" x14ac:dyDescent="0.6">
      <c r="A49" s="60">
        <f t="shared" si="0"/>
        <v>46</v>
      </c>
      <c r="B49" s="85" t="s">
        <v>156</v>
      </c>
      <c r="C49" s="21">
        <v>2194000</v>
      </c>
      <c r="D49" s="21">
        <f>C49*Assumptions!$C$86</f>
        <v>58026912</v>
      </c>
      <c r="E49" s="21">
        <f>D49*1000000/Assumptions!$C$8</f>
        <v>464215296</v>
      </c>
      <c r="F49" s="21">
        <f t="shared" si="1"/>
        <v>4129115714.715662</v>
      </c>
    </row>
    <row r="50" spans="1:6" s="167" customFormat="1" x14ac:dyDescent="0.6">
      <c r="A50" s="60">
        <f t="shared" si="0"/>
        <v>47</v>
      </c>
      <c r="B50" s="85" t="s">
        <v>174</v>
      </c>
      <c r="C50" s="21">
        <v>141000</v>
      </c>
      <c r="D50" s="21">
        <f>C50*Assumptions!$C$86</f>
        <v>3729168</v>
      </c>
      <c r="E50" s="21">
        <f>D50*1000000/Assumptions!$C$8</f>
        <v>29833344</v>
      </c>
      <c r="F50" s="21">
        <f t="shared" si="1"/>
        <v>265362495.79530919</v>
      </c>
    </row>
    <row r="51" spans="1:6" s="167" customFormat="1" x14ac:dyDescent="0.6">
      <c r="A51" s="60">
        <f t="shared" si="0"/>
        <v>48</v>
      </c>
      <c r="B51" s="85" t="s">
        <v>139</v>
      </c>
      <c r="C51" s="21">
        <v>1678000</v>
      </c>
      <c r="D51" s="21">
        <f>C51*Assumptions!$C$86</f>
        <v>44379744</v>
      </c>
      <c r="E51" s="21">
        <f>D51*1000000/Assumptions!$C$8</f>
        <v>355037952</v>
      </c>
      <c r="F51" s="21">
        <f t="shared" si="1"/>
        <v>3158001900.3158069</v>
      </c>
    </row>
    <row r="52" spans="1:6" s="167" customFormat="1" x14ac:dyDescent="0.6">
      <c r="A52" s="60">
        <f t="shared" si="0"/>
        <v>49</v>
      </c>
      <c r="B52" s="85" t="s">
        <v>148</v>
      </c>
      <c r="C52" s="21">
        <v>1479000</v>
      </c>
      <c r="D52" s="21">
        <f>C52*Assumptions!$C$86</f>
        <v>39116592</v>
      </c>
      <c r="E52" s="21">
        <f>D52*1000000/Assumptions!$C$8</f>
        <v>312932736</v>
      </c>
      <c r="F52" s="21">
        <f t="shared" si="1"/>
        <v>2783483200.5763283</v>
      </c>
    </row>
    <row r="53" spans="1:6" s="167" customFormat="1" x14ac:dyDescent="0.6">
      <c r="A53" s="60">
        <f t="shared" si="0"/>
        <v>50</v>
      </c>
      <c r="B53" s="85" t="s">
        <v>149</v>
      </c>
      <c r="C53" s="21">
        <v>1653000</v>
      </c>
      <c r="D53" s="21">
        <f>C53*Assumptions!$C$86</f>
        <v>43718544</v>
      </c>
      <c r="E53" s="21">
        <f>D53*1000000/Assumptions!$C$8</f>
        <v>349748352</v>
      </c>
      <c r="F53" s="21">
        <f t="shared" si="1"/>
        <v>3110951812.4088373</v>
      </c>
    </row>
    <row r="54" spans="1:6" s="167" customFormat="1" x14ac:dyDescent="0.6">
      <c r="A54" s="60">
        <f t="shared" si="0"/>
        <v>51</v>
      </c>
      <c r="B54" s="85" t="s">
        <v>169</v>
      </c>
      <c r="C54" s="21"/>
      <c r="D54" s="21"/>
      <c r="E54" s="21"/>
      <c r="F54" s="21"/>
    </row>
    <row r="55" spans="1:6" s="85" customFormat="1" x14ac:dyDescent="0.6">
      <c r="C55" s="21"/>
      <c r="D55" s="21"/>
      <c r="E55" s="21"/>
      <c r="F55" s="21"/>
    </row>
    <row r="56" spans="1:6" s="1" customFormat="1" x14ac:dyDescent="0.6">
      <c r="B56" s="1" t="s">
        <v>42</v>
      </c>
      <c r="C56" s="21">
        <f>SUM(C4:C55)</f>
        <v>66129000</v>
      </c>
      <c r="D56" s="21">
        <f t="shared" ref="D56:E56" si="2">SUM(D4:D55)</f>
        <v>1748979792</v>
      </c>
      <c r="E56" s="21">
        <f t="shared" si="2"/>
        <v>13991838336</v>
      </c>
      <c r="F56" s="21">
        <f>Coal!Q4</f>
        <v>124455010528</v>
      </c>
    </row>
    <row r="57" spans="1:6" s="1" customFormat="1" x14ac:dyDescent="0.6">
      <c r="C57" s="21"/>
      <c r="D57" s="13"/>
      <c r="E57" s="13"/>
      <c r="F57" s="27">
        <f>F56/E56</f>
        <v>8.8948290810211947</v>
      </c>
    </row>
    <row r="58" spans="1:6" s="1" customFormat="1" x14ac:dyDescent="0.6">
      <c r="C58" s="21"/>
      <c r="D58" s="13"/>
      <c r="E58" s="13"/>
      <c r="F58" s="13"/>
    </row>
    <row r="59" spans="1:6" x14ac:dyDescent="0.6">
      <c r="A59" s="1"/>
      <c r="B59" s="1"/>
      <c r="C59" s="889"/>
    </row>
    <row r="60" spans="1:6" x14ac:dyDescent="0.6">
      <c r="A60" s="1"/>
      <c r="B60" s="1"/>
      <c r="C60" s="889"/>
    </row>
    <row r="61" spans="1:6" x14ac:dyDescent="0.6">
      <c r="A61" s="1"/>
      <c r="B61" s="1"/>
      <c r="C61" s="889"/>
    </row>
    <row r="62" spans="1:6" x14ac:dyDescent="0.6">
      <c r="A62" s="1"/>
      <c r="B62" s="1"/>
      <c r="C62" s="889"/>
    </row>
    <row r="63" spans="1:6" x14ac:dyDescent="0.6">
      <c r="A63" s="1"/>
      <c r="B63" s="1"/>
      <c r="C63" s="889"/>
    </row>
    <row r="64" spans="1:6" x14ac:dyDescent="0.6">
      <c r="A64" s="1"/>
      <c r="B64" s="1"/>
      <c r="C64" s="889"/>
    </row>
    <row r="65" spans="1:3" x14ac:dyDescent="0.6">
      <c r="A65" s="1"/>
      <c r="B65" s="1"/>
      <c r="C65" s="889"/>
    </row>
    <row r="66" spans="1:3" x14ac:dyDescent="0.6">
      <c r="A66" s="1"/>
      <c r="B66" s="1"/>
      <c r="C66" s="889"/>
    </row>
    <row r="67" spans="1:3" x14ac:dyDescent="0.6">
      <c r="A67" s="1"/>
      <c r="B67" s="1"/>
      <c r="C67" s="889"/>
    </row>
    <row r="68" spans="1:3" x14ac:dyDescent="0.6">
      <c r="A68" s="1"/>
      <c r="B68" s="1"/>
      <c r="C68" s="889"/>
    </row>
    <row r="69" spans="1:3" x14ac:dyDescent="0.6">
      <c r="A69" s="1"/>
      <c r="B69" s="1"/>
      <c r="C69" s="889"/>
    </row>
    <row r="70" spans="1:3" x14ac:dyDescent="0.6">
      <c r="C70" s="889"/>
    </row>
    <row r="71" spans="1:3" x14ac:dyDescent="0.6">
      <c r="C71" s="889"/>
    </row>
    <row r="72" spans="1:3" x14ac:dyDescent="0.6">
      <c r="C72" s="889"/>
    </row>
    <row r="73" spans="1:3" x14ac:dyDescent="0.6">
      <c r="C73" s="889"/>
    </row>
    <row r="74" spans="1:3" x14ac:dyDescent="0.6">
      <c r="C74" s="889"/>
    </row>
    <row r="75" spans="1:3" x14ac:dyDescent="0.6">
      <c r="C75" s="889"/>
    </row>
    <row r="76" spans="1:3" x14ac:dyDescent="0.6">
      <c r="C76" s="889"/>
    </row>
    <row r="77" spans="1:3" x14ac:dyDescent="0.6">
      <c r="C77" s="889"/>
    </row>
    <row r="88" spans="3:3" x14ac:dyDescent="0.6">
      <c r="C88" s="890"/>
    </row>
    <row r="89" spans="3:3" x14ac:dyDescent="0.6">
      <c r="C89" s="890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Y79"/>
  <sheetViews>
    <sheetView showGridLines="0" showZeros="0" zoomScale="125" zoomScaleNormal="125" zoomScalePageLayoutView="12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19.84765625" style="1" customWidth="1"/>
    <col min="3" max="3" width="11.59765625" style="21" bestFit="1" customWidth="1"/>
    <col min="4" max="4" width="19" style="13" bestFit="1" customWidth="1"/>
    <col min="5" max="5" width="10.5" style="55" customWidth="1"/>
    <col min="6" max="6" width="11" style="7" bestFit="1" customWidth="1"/>
    <col min="7" max="7" width="10.34765625" style="7" bestFit="1" customWidth="1"/>
    <col min="8" max="8" width="11" style="27" customWidth="1"/>
    <col min="9" max="9" width="11" style="226" customWidth="1"/>
    <col min="10" max="10" width="13.59765625" style="5" customWidth="1"/>
    <col min="11" max="11" width="12.34765625" style="55" customWidth="1"/>
    <col min="12" max="12" width="9.5" style="28" customWidth="1"/>
    <col min="13" max="15" width="9.5" style="10" customWidth="1"/>
    <col min="16" max="16" width="15" style="17" bestFit="1" customWidth="1"/>
    <col min="17" max="17" width="9.5" style="271" customWidth="1"/>
    <col min="18" max="18" width="15.84765625" style="271" customWidth="1"/>
    <col min="19" max="19" width="9.5" style="10" customWidth="1"/>
    <col min="20" max="20" width="14" style="70" bestFit="1" customWidth="1"/>
    <col min="21" max="21" width="15" style="57" bestFit="1" customWidth="1"/>
    <col min="22" max="22" width="14" style="17" bestFit="1" customWidth="1"/>
    <col min="23" max="23" width="14" style="276" bestFit="1" customWidth="1"/>
    <col min="24" max="24" width="14" style="10" bestFit="1" customWidth="1"/>
    <col min="25" max="25" width="17.5" style="17" bestFit="1" customWidth="1"/>
    <col min="26" max="16384" width="10.84765625" style="1"/>
  </cols>
  <sheetData>
    <row r="1" spans="1:25" x14ac:dyDescent="0.6">
      <c r="A1" s="24" t="s">
        <v>1492</v>
      </c>
      <c r="C1" s="74" t="s">
        <v>855</v>
      </c>
      <c r="E1" s="107"/>
      <c r="S1" s="10">
        <f>SMALL(S6:S34,1)</f>
        <v>0</v>
      </c>
    </row>
    <row r="2" spans="1:25" s="2" customFormat="1" x14ac:dyDescent="0.6">
      <c r="A2" s="24" t="s">
        <v>98</v>
      </c>
      <c r="C2" s="64" t="s">
        <v>24</v>
      </c>
      <c r="D2" s="14" t="s">
        <v>25</v>
      </c>
      <c r="E2" s="56"/>
      <c r="F2" s="8"/>
      <c r="G2" s="8" t="s">
        <v>128</v>
      </c>
      <c r="H2" s="481" t="s">
        <v>638</v>
      </c>
      <c r="I2" s="11" t="s">
        <v>638</v>
      </c>
      <c r="J2" s="6" t="s">
        <v>627</v>
      </c>
      <c r="K2" s="102" t="s">
        <v>636</v>
      </c>
      <c r="L2" s="71" t="s">
        <v>194</v>
      </c>
      <c r="M2" s="332" t="s">
        <v>194</v>
      </c>
      <c r="N2" s="11" t="s">
        <v>194</v>
      </c>
      <c r="O2" s="11" t="s">
        <v>650</v>
      </c>
      <c r="P2" s="18" t="s">
        <v>397</v>
      </c>
      <c r="Q2" s="272" t="s">
        <v>881</v>
      </c>
      <c r="R2" s="272" t="s">
        <v>42</v>
      </c>
      <c r="S2" s="11" t="s">
        <v>881</v>
      </c>
      <c r="T2" s="114"/>
      <c r="U2" s="58" t="s">
        <v>114</v>
      </c>
      <c r="V2" s="18" t="s">
        <v>42</v>
      </c>
      <c r="W2" s="581"/>
      <c r="X2" s="11" t="s">
        <v>645</v>
      </c>
      <c r="Y2" s="18"/>
    </row>
    <row r="3" spans="1:25" s="2" customFormat="1" x14ac:dyDescent="0.6">
      <c r="C3" s="64" t="s">
        <v>112</v>
      </c>
      <c r="D3" s="14" t="s">
        <v>109</v>
      </c>
      <c r="E3" s="56" t="s">
        <v>41</v>
      </c>
      <c r="F3" s="8" t="s">
        <v>635</v>
      </c>
      <c r="G3" s="8" t="s">
        <v>129</v>
      </c>
      <c r="H3" s="481" t="s">
        <v>649</v>
      </c>
      <c r="I3" s="11" t="s">
        <v>639</v>
      </c>
      <c r="J3" s="6" t="s">
        <v>648</v>
      </c>
      <c r="K3" s="102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18" t="s">
        <v>85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76</v>
      </c>
      <c r="V3" s="18" t="s">
        <v>77</v>
      </c>
      <c r="W3" s="581" t="s">
        <v>34</v>
      </c>
      <c r="X3" s="11" t="s">
        <v>639</v>
      </c>
      <c r="Y3" s="18" t="s">
        <v>642</v>
      </c>
    </row>
    <row r="4" spans="1:25" x14ac:dyDescent="0.6">
      <c r="A4" s="61">
        <v>1</v>
      </c>
      <c r="B4" s="44" t="s">
        <v>37</v>
      </c>
      <c r="C4" s="290"/>
      <c r="D4" s="345">
        <f>C4*Assumptions!$C$48</f>
        <v>0</v>
      </c>
      <c r="E4" s="399">
        <v>1</v>
      </c>
      <c r="F4" s="33">
        <v>0.13175999999999999</v>
      </c>
      <c r="G4" s="297">
        <f>Assumptions!$C$63</f>
        <v>27.295999999999999</v>
      </c>
      <c r="H4" s="389"/>
      <c r="I4" s="1439">
        <f>Assumptions!$C$104</f>
        <v>1.5</v>
      </c>
      <c r="J4" s="452"/>
      <c r="K4" s="306">
        <f>'State NG Res'!V61</f>
        <v>0</v>
      </c>
      <c r="L4" s="322"/>
      <c r="M4" s="482"/>
      <c r="N4" s="320"/>
      <c r="O4" s="320">
        <f>N4+M4</f>
        <v>0</v>
      </c>
      <c r="P4" s="847"/>
      <c r="Q4" s="1460"/>
      <c r="R4" s="1047">
        <f>Q4*D4</f>
        <v>0</v>
      </c>
      <c r="S4" s="968"/>
      <c r="T4" s="366">
        <f>S4*D4</f>
        <v>0</v>
      </c>
      <c r="U4" s="336">
        <f>-'OECD NG subsidies'!C3</f>
        <v>0</v>
      </c>
      <c r="V4" s="342">
        <f>U4*E4</f>
        <v>0</v>
      </c>
      <c r="W4" s="849">
        <f>T4+V4</f>
        <v>0</v>
      </c>
      <c r="X4" s="281">
        <f>(I4+K4)*(1+L4)</f>
        <v>1.5</v>
      </c>
      <c r="Y4" s="342">
        <f>X4*D4+W4</f>
        <v>0</v>
      </c>
    </row>
    <row r="5" spans="1:25" s="2" customFormat="1" x14ac:dyDescent="0.6">
      <c r="A5" s="46"/>
      <c r="B5" s="40" t="s">
        <v>35</v>
      </c>
      <c r="C5" s="356"/>
      <c r="D5" s="346"/>
      <c r="E5" s="418"/>
      <c r="F5" s="29"/>
      <c r="G5" s="298"/>
      <c r="H5" s="385"/>
      <c r="I5" s="1439"/>
      <c r="J5" s="456"/>
      <c r="K5" s="977"/>
      <c r="L5" s="315"/>
      <c r="M5" s="316"/>
      <c r="N5" s="316"/>
      <c r="O5" s="316"/>
      <c r="P5" s="343"/>
      <c r="Q5" s="1051"/>
      <c r="R5" s="1052"/>
      <c r="S5" s="311"/>
      <c r="T5" s="367"/>
      <c r="U5" s="338"/>
      <c r="V5" s="343"/>
      <c r="W5" s="850"/>
      <c r="X5" s="316"/>
      <c r="Y5" s="343"/>
    </row>
    <row r="6" spans="1:25" x14ac:dyDescent="0.6">
      <c r="A6" s="46">
        <f>A4+1</f>
        <v>2</v>
      </c>
      <c r="B6" s="44" t="s">
        <v>0</v>
      </c>
      <c r="C6" s="290">
        <v>2226</v>
      </c>
      <c r="D6" s="345">
        <f>C6*Assumptions!$C$48</f>
        <v>16894353.369763207</v>
      </c>
      <c r="E6" s="391">
        <f>Assumptions!$H$3</f>
        <v>1.1863330000000001</v>
      </c>
      <c r="F6" s="33">
        <v>0.13175999999999999</v>
      </c>
      <c r="G6" s="297">
        <f>Assumptions!$C$63</f>
        <v>27.295999999999999</v>
      </c>
      <c r="H6" s="384"/>
      <c r="I6" s="1439">
        <f>Assumptions!$C$104</f>
        <v>1.5</v>
      </c>
      <c r="J6" s="434"/>
      <c r="K6" s="286">
        <f>J6*E6/G6</f>
        <v>0</v>
      </c>
      <c r="L6" s="325">
        <f>Gasoline!K6</f>
        <v>0.21</v>
      </c>
      <c r="M6" s="281">
        <f>L6*I6</f>
        <v>0.315</v>
      </c>
      <c r="N6" s="281">
        <f>L6*K6</f>
        <v>0</v>
      </c>
      <c r="O6" s="281">
        <f>N6+M6</f>
        <v>0.315</v>
      </c>
      <c r="P6" s="342">
        <f>M6*D6</f>
        <v>5321721.3114754101</v>
      </c>
      <c r="Q6" s="1053">
        <f t="shared" ref="Q6:Q41" si="0">K6+O6</f>
        <v>0.315</v>
      </c>
      <c r="R6" s="1047">
        <f t="shared" ref="R6:R65" si="1">Q6*D6</f>
        <v>5321721.3114754101</v>
      </c>
      <c r="S6" s="268">
        <f>N6+K6</f>
        <v>0</v>
      </c>
      <c r="T6" s="366">
        <f t="shared" ref="T6:T26" si="2">D6*S6</f>
        <v>0</v>
      </c>
      <c r="U6" s="336">
        <f>-'OECD NG subsidies'!C95</f>
        <v>0</v>
      </c>
      <c r="V6" s="342">
        <f t="shared" ref="V6:V26" si="3">U6*E6</f>
        <v>0</v>
      </c>
      <c r="W6" s="849">
        <f t="shared" ref="W6:W26" si="4">T6+V6</f>
        <v>0</v>
      </c>
      <c r="X6" s="281">
        <f>(I6+K6)*(1+L6)</f>
        <v>1.8149999999999999</v>
      </c>
      <c r="Y6" s="342">
        <f>X6*D6+V6</f>
        <v>30663251.366120219</v>
      </c>
    </row>
    <row r="7" spans="1:25" x14ac:dyDescent="0.6">
      <c r="A7" s="46">
        <f>A6+1</f>
        <v>3</v>
      </c>
      <c r="B7" s="44" t="s">
        <v>1</v>
      </c>
      <c r="C7" s="290">
        <v>3088</v>
      </c>
      <c r="D7" s="345">
        <f>C7*Assumptions!$C$48</f>
        <v>23436551.305403769</v>
      </c>
      <c r="E7" s="391">
        <f>Assumptions!$H$15</f>
        <v>4.5997000000000003E-2</v>
      </c>
      <c r="F7" s="33">
        <f>Assumptions!$C$54</f>
        <v>0.13175999999999999</v>
      </c>
      <c r="G7" s="297">
        <f>Assumptions!$C$63</f>
        <v>27.295999999999999</v>
      </c>
      <c r="H7" s="387"/>
      <c r="I7" s="1439">
        <f>Assumptions!$C$104</f>
        <v>1.5</v>
      </c>
      <c r="J7" s="428"/>
      <c r="K7" s="286">
        <f t="shared" ref="K7:K38" si="5">J7*E7/G7</f>
        <v>0</v>
      </c>
      <c r="L7" s="325">
        <f>Gasoline!K7</f>
        <v>0.21</v>
      </c>
      <c r="M7" s="281">
        <f t="shared" ref="M7:M39" si="6">L7*I7</f>
        <v>0.315</v>
      </c>
      <c r="N7" s="281">
        <f t="shared" ref="N7:N39" si="7">L7*K7</f>
        <v>0</v>
      </c>
      <c r="O7" s="281">
        <f t="shared" ref="O7:O39" si="8">N7+M7</f>
        <v>0.315</v>
      </c>
      <c r="P7" s="342">
        <f t="shared" ref="P7:P39" si="9">M7*D7</f>
        <v>7382513.6612021876</v>
      </c>
      <c r="Q7" s="1053">
        <f t="shared" si="0"/>
        <v>0.315</v>
      </c>
      <c r="R7" s="1047">
        <f t="shared" si="1"/>
        <v>7382513.6612021876</v>
      </c>
      <c r="S7" s="268">
        <f t="shared" ref="S7:S39" si="10">N7+K7</f>
        <v>0</v>
      </c>
      <c r="T7" s="366">
        <f t="shared" si="2"/>
        <v>0</v>
      </c>
      <c r="U7" s="336">
        <f>-'OECD NG subsidies'!C103</f>
        <v>0</v>
      </c>
      <c r="V7" s="342">
        <f t="shared" si="3"/>
        <v>0</v>
      </c>
      <c r="W7" s="849">
        <f t="shared" si="4"/>
        <v>0</v>
      </c>
      <c r="X7" s="281">
        <f t="shared" ref="X7:X65" si="11">(I7+K7)*(1+L7)</f>
        <v>1.8149999999999999</v>
      </c>
      <c r="Y7" s="342">
        <f t="shared" ref="Y7:Y39" si="12">X7*D7+V7</f>
        <v>42537340.619307838</v>
      </c>
    </row>
    <row r="8" spans="1:25" x14ac:dyDescent="0.6">
      <c r="A8" s="46">
        <f t="shared" ref="A8:A26" si="13">A7+1</f>
        <v>4</v>
      </c>
      <c r="B8" s="44" t="s">
        <v>2</v>
      </c>
      <c r="C8" s="290">
        <v>84</v>
      </c>
      <c r="D8" s="345">
        <f>C8*Assumptions!$C$48</f>
        <v>637522.7686703098</v>
      </c>
      <c r="E8" s="391">
        <f>Assumptions!$H$16</f>
        <v>0.15934999999999999</v>
      </c>
      <c r="F8" s="33">
        <f>Assumptions!$C$54</f>
        <v>0.13175999999999999</v>
      </c>
      <c r="G8" s="297">
        <f>Assumptions!$C$63</f>
        <v>27.295999999999999</v>
      </c>
      <c r="H8" s="1437"/>
      <c r="I8" s="1439">
        <f>Assumptions!$C$104</f>
        <v>1.5</v>
      </c>
      <c r="J8" s="1438"/>
      <c r="K8" s="286">
        <f t="shared" si="5"/>
        <v>0</v>
      </c>
      <c r="L8" s="325">
        <f>Gasoline!K8</f>
        <v>0.25</v>
      </c>
      <c r="M8" s="281">
        <f t="shared" si="6"/>
        <v>0.375</v>
      </c>
      <c r="N8" s="281">
        <f t="shared" si="7"/>
        <v>0</v>
      </c>
      <c r="O8" s="281">
        <f t="shared" si="8"/>
        <v>0.375</v>
      </c>
      <c r="P8" s="342">
        <f t="shared" si="9"/>
        <v>239071.03825136618</v>
      </c>
      <c r="Q8" s="1053">
        <f t="shared" si="0"/>
        <v>0.375</v>
      </c>
      <c r="R8" s="1047">
        <f t="shared" si="1"/>
        <v>239071.03825136618</v>
      </c>
      <c r="S8" s="268">
        <f t="shared" si="10"/>
        <v>0</v>
      </c>
      <c r="T8" s="366">
        <f t="shared" si="2"/>
        <v>0</v>
      </c>
      <c r="U8" s="336">
        <f>-'OECD NG subsidies'!C105</f>
        <v>0</v>
      </c>
      <c r="V8" s="342">
        <f t="shared" si="3"/>
        <v>0</v>
      </c>
      <c r="W8" s="849">
        <f t="shared" si="4"/>
        <v>0</v>
      </c>
      <c r="X8" s="281">
        <f t="shared" si="11"/>
        <v>1.875</v>
      </c>
      <c r="Y8" s="342">
        <f t="shared" si="12"/>
        <v>1195355.1912568309</v>
      </c>
    </row>
    <row r="9" spans="1:25" x14ac:dyDescent="0.6">
      <c r="A9" s="46">
        <f t="shared" si="13"/>
        <v>5</v>
      </c>
      <c r="B9" s="44" t="s">
        <v>3</v>
      </c>
      <c r="C9" s="290">
        <v>19844</v>
      </c>
      <c r="D9" s="345">
        <f>C9*Assumptions!$C$48</f>
        <v>150607164.54159078</v>
      </c>
      <c r="E9" s="391">
        <f>Assumptions!$H$3</f>
        <v>1.1863330000000001</v>
      </c>
      <c r="F9" s="33">
        <f>Assumptions!$C$54</f>
        <v>0.13175999999999999</v>
      </c>
      <c r="G9" s="297">
        <f>Assumptions!$C$63</f>
        <v>27.295999999999999</v>
      </c>
      <c r="H9" s="384"/>
      <c r="I9" s="1439">
        <f>Assumptions!$C$104</f>
        <v>1.5</v>
      </c>
      <c r="J9" s="427"/>
      <c r="K9" s="286">
        <f t="shared" si="5"/>
        <v>0</v>
      </c>
      <c r="L9" s="325">
        <f>Gasoline!K9</f>
        <v>0.19</v>
      </c>
      <c r="M9" s="281">
        <f t="shared" si="6"/>
        <v>0.28500000000000003</v>
      </c>
      <c r="N9" s="281">
        <f t="shared" si="7"/>
        <v>0</v>
      </c>
      <c r="O9" s="281">
        <f t="shared" si="8"/>
        <v>0.28500000000000003</v>
      </c>
      <c r="P9" s="342">
        <f t="shared" si="9"/>
        <v>42923041.894353375</v>
      </c>
      <c r="Q9" s="1053">
        <f t="shared" si="0"/>
        <v>0.28500000000000003</v>
      </c>
      <c r="R9" s="1047">
        <f t="shared" si="1"/>
        <v>42923041.894353375</v>
      </c>
      <c r="S9" s="268">
        <f t="shared" si="10"/>
        <v>0</v>
      </c>
      <c r="T9" s="366">
        <f t="shared" si="2"/>
        <v>0</v>
      </c>
      <c r="U9" s="336">
        <f>-'OECD NG subsidies'!C110</f>
        <v>-52457088</v>
      </c>
      <c r="V9" s="342">
        <f t="shared" si="3"/>
        <v>-62231574.578304008</v>
      </c>
      <c r="W9" s="849">
        <f t="shared" si="4"/>
        <v>-62231574.578304008</v>
      </c>
      <c r="X9" s="281">
        <f t="shared" si="11"/>
        <v>1.7849999999999999</v>
      </c>
      <c r="Y9" s="342">
        <f t="shared" si="12"/>
        <v>206602214.12843555</v>
      </c>
    </row>
    <row r="10" spans="1:25" x14ac:dyDescent="0.6">
      <c r="A10" s="46">
        <f t="shared" si="13"/>
        <v>6</v>
      </c>
      <c r="B10" s="44" t="s">
        <v>4</v>
      </c>
      <c r="C10" s="290">
        <v>129</v>
      </c>
      <c r="D10" s="345">
        <f>C10*Assumptions!$C$48</f>
        <v>979052.82331511856</v>
      </c>
      <c r="E10" s="391">
        <f>Assumptions!$H$3</f>
        <v>1.1863330000000001</v>
      </c>
      <c r="F10" s="33">
        <f>Assumptions!$C$54</f>
        <v>0.13175999999999999</v>
      </c>
      <c r="G10" s="297">
        <f>Assumptions!$C$63</f>
        <v>27.295999999999999</v>
      </c>
      <c r="H10" s="384"/>
      <c r="I10" s="1439">
        <f>Assumptions!$C$104</f>
        <v>1.5</v>
      </c>
      <c r="J10" s="427"/>
      <c r="K10" s="286">
        <f t="shared" si="5"/>
        <v>0</v>
      </c>
      <c r="L10" s="325">
        <f>Gasoline!K10</f>
        <v>0.2</v>
      </c>
      <c r="M10" s="281">
        <f t="shared" si="6"/>
        <v>0.30000000000000004</v>
      </c>
      <c r="N10" s="281">
        <f t="shared" si="7"/>
        <v>0</v>
      </c>
      <c r="O10" s="281">
        <f t="shared" si="8"/>
        <v>0.30000000000000004</v>
      </c>
      <c r="P10" s="342">
        <f t="shared" si="9"/>
        <v>293715.84699453559</v>
      </c>
      <c r="Q10" s="1053">
        <f t="shared" si="0"/>
        <v>0.30000000000000004</v>
      </c>
      <c r="R10" s="1047">
        <f t="shared" si="1"/>
        <v>293715.84699453559</v>
      </c>
      <c r="S10" s="268">
        <f t="shared" si="10"/>
        <v>0</v>
      </c>
      <c r="T10" s="366">
        <f t="shared" si="2"/>
        <v>0</v>
      </c>
      <c r="U10" s="336">
        <f>-'OECD NG subsidies'!C116</f>
        <v>0</v>
      </c>
      <c r="V10" s="342">
        <f t="shared" si="3"/>
        <v>0</v>
      </c>
      <c r="W10" s="849">
        <f t="shared" si="4"/>
        <v>0</v>
      </c>
      <c r="X10" s="281">
        <f t="shared" si="11"/>
        <v>1.7999999999999998</v>
      </c>
      <c r="Y10" s="342">
        <f t="shared" si="12"/>
        <v>1762295.0819672132</v>
      </c>
    </row>
    <row r="11" spans="1:25" x14ac:dyDescent="0.6">
      <c r="A11" s="46">
        <f t="shared" si="13"/>
        <v>7</v>
      </c>
      <c r="B11" s="44" t="s">
        <v>5</v>
      </c>
      <c r="C11" s="290">
        <v>703</v>
      </c>
      <c r="D11" s="345">
        <f>C11*Assumptions!$C$48</f>
        <v>5335458.4092289014</v>
      </c>
      <c r="E11" s="391">
        <f>Assumptions!$H$3</f>
        <v>1.1863330000000001</v>
      </c>
      <c r="F11" s="33">
        <f>Assumptions!$C$54</f>
        <v>0.13175999999999999</v>
      </c>
      <c r="G11" s="297">
        <f>Assumptions!$C$63</f>
        <v>27.295999999999999</v>
      </c>
      <c r="H11" s="384"/>
      <c r="I11" s="1439">
        <f>Assumptions!$C$104</f>
        <v>1.5</v>
      </c>
      <c r="J11" s="427"/>
      <c r="K11" s="286">
        <f t="shared" si="5"/>
        <v>0</v>
      </c>
      <c r="L11" s="325">
        <f>Gasoline!K11</f>
        <v>0.23</v>
      </c>
      <c r="M11" s="281">
        <f t="shared" si="6"/>
        <v>0.34500000000000003</v>
      </c>
      <c r="N11" s="281">
        <f t="shared" si="7"/>
        <v>0</v>
      </c>
      <c r="O11" s="281">
        <f t="shared" si="8"/>
        <v>0.34500000000000003</v>
      </c>
      <c r="P11" s="342">
        <f t="shared" si="9"/>
        <v>1840733.1511839712</v>
      </c>
      <c r="Q11" s="1053">
        <f t="shared" si="0"/>
        <v>0.34500000000000003</v>
      </c>
      <c r="R11" s="1047">
        <f t="shared" si="1"/>
        <v>1840733.1511839712</v>
      </c>
      <c r="S11" s="268">
        <f t="shared" si="10"/>
        <v>0</v>
      </c>
      <c r="T11" s="366">
        <f t="shared" si="2"/>
        <v>0</v>
      </c>
      <c r="U11" s="336">
        <f>-'OECD NG subsidies'!C119</f>
        <v>0</v>
      </c>
      <c r="V11" s="342">
        <f t="shared" si="3"/>
        <v>0</v>
      </c>
      <c r="W11" s="849">
        <f t="shared" si="4"/>
        <v>0</v>
      </c>
      <c r="X11" s="281">
        <f t="shared" si="11"/>
        <v>1.845</v>
      </c>
      <c r="Y11" s="342">
        <f t="shared" si="12"/>
        <v>9843920.7650273237</v>
      </c>
    </row>
    <row r="12" spans="1:25" x14ac:dyDescent="0.6">
      <c r="A12" s="46">
        <f t="shared" si="13"/>
        <v>8</v>
      </c>
      <c r="B12" s="44" t="s">
        <v>6</v>
      </c>
      <c r="C12" s="290">
        <v>14504</v>
      </c>
      <c r="D12" s="345">
        <f>C12*Assumptions!$C$48</f>
        <v>110078931.39040682</v>
      </c>
      <c r="E12" s="391">
        <f>Assumptions!$H$3</f>
        <v>1.1863330000000001</v>
      </c>
      <c r="F12" s="33">
        <f>Assumptions!$C$54</f>
        <v>0.13175999999999999</v>
      </c>
      <c r="G12" s="297">
        <f>Assumptions!$C$63</f>
        <v>27.295999999999999</v>
      </c>
      <c r="H12" s="384"/>
      <c r="I12" s="1439">
        <f>Assumptions!$C$104</f>
        <v>1.5</v>
      </c>
      <c r="J12" s="427"/>
      <c r="K12" s="286">
        <f t="shared" si="5"/>
        <v>0</v>
      </c>
      <c r="L12" s="325">
        <f>Gasoline!K12</f>
        <v>0.21</v>
      </c>
      <c r="M12" s="281">
        <f t="shared" si="6"/>
        <v>0.315</v>
      </c>
      <c r="N12" s="281">
        <f t="shared" si="7"/>
        <v>0</v>
      </c>
      <c r="O12" s="281">
        <f t="shared" si="8"/>
        <v>0.315</v>
      </c>
      <c r="P12" s="342">
        <f t="shared" si="9"/>
        <v>34674863.387978144</v>
      </c>
      <c r="Q12" s="1053">
        <f t="shared" si="0"/>
        <v>0.315</v>
      </c>
      <c r="R12" s="1047">
        <f t="shared" si="1"/>
        <v>34674863.387978144</v>
      </c>
      <c r="S12" s="268">
        <f t="shared" si="10"/>
        <v>0</v>
      </c>
      <c r="T12" s="366">
        <f t="shared" si="2"/>
        <v>0</v>
      </c>
      <c r="U12" s="336">
        <f>-'OECD NG subsidies'!C125</f>
        <v>0</v>
      </c>
      <c r="V12" s="342">
        <f t="shared" si="3"/>
        <v>0</v>
      </c>
      <c r="W12" s="849">
        <f t="shared" si="4"/>
        <v>0</v>
      </c>
      <c r="X12" s="281">
        <f t="shared" si="11"/>
        <v>1.8149999999999999</v>
      </c>
      <c r="Y12" s="342">
        <f t="shared" si="12"/>
        <v>199793260.47358838</v>
      </c>
    </row>
    <row r="13" spans="1:25" x14ac:dyDescent="0.6">
      <c r="A13" s="46">
        <f t="shared" si="13"/>
        <v>9</v>
      </c>
      <c r="B13" s="44" t="s">
        <v>7</v>
      </c>
      <c r="C13" s="290">
        <v>6944</v>
      </c>
      <c r="D13" s="345">
        <f>C13*Assumptions!$C$48</f>
        <v>52701882.21007894</v>
      </c>
      <c r="E13" s="391">
        <f>Assumptions!$H$3</f>
        <v>1.1863330000000001</v>
      </c>
      <c r="F13" s="33">
        <f>Assumptions!$C$54</f>
        <v>0.13175999999999999</v>
      </c>
      <c r="G13" s="297">
        <f>Assumptions!$C$63</f>
        <v>27.295999999999999</v>
      </c>
      <c r="H13" s="384"/>
      <c r="I13" s="1439">
        <f>Assumptions!$C$104</f>
        <v>1.5</v>
      </c>
      <c r="J13" s="427">
        <f>-U13/D13</f>
        <v>2.9979953917050688</v>
      </c>
      <c r="K13" s="286">
        <f>J13*E13</f>
        <v>3.5566208670276498</v>
      </c>
      <c r="L13" s="325">
        <f>Gasoline!K13</f>
        <v>0.2</v>
      </c>
      <c r="M13" s="281">
        <f t="shared" si="6"/>
        <v>0.30000000000000004</v>
      </c>
      <c r="N13" s="281">
        <f t="shared" si="7"/>
        <v>0.71132417340553</v>
      </c>
      <c r="O13" s="281">
        <f t="shared" si="8"/>
        <v>1.01132417340553</v>
      </c>
      <c r="P13" s="342">
        <f t="shared" si="9"/>
        <v>15810564.663023684</v>
      </c>
      <c r="Q13" s="1053">
        <f t="shared" si="0"/>
        <v>4.5679450404331803</v>
      </c>
      <c r="R13" s="1047">
        <f t="shared" si="1"/>
        <v>240739301.46302375</v>
      </c>
      <c r="S13" s="268">
        <f t="shared" si="10"/>
        <v>4.2679450404331796</v>
      </c>
      <c r="T13" s="366">
        <f t="shared" si="2"/>
        <v>224928736.80000004</v>
      </c>
      <c r="U13" s="336">
        <f>-'OECD NG subsidies'!C127</f>
        <v>-158000000</v>
      </c>
      <c r="V13" s="342">
        <f t="shared" si="3"/>
        <v>-187440614</v>
      </c>
      <c r="W13" s="849">
        <f t="shared" si="4"/>
        <v>37488122.800000042</v>
      </c>
      <c r="X13" s="281">
        <f t="shared" si="11"/>
        <v>6.0679450404331803</v>
      </c>
      <c r="Y13" s="342">
        <f t="shared" si="12"/>
        <v>132351510.77814215</v>
      </c>
    </row>
    <row r="14" spans="1:25" x14ac:dyDescent="0.6">
      <c r="A14" s="46">
        <f t="shared" si="13"/>
        <v>10</v>
      </c>
      <c r="B14" s="44" t="s">
        <v>8</v>
      </c>
      <c r="C14" s="290">
        <v>1</v>
      </c>
      <c r="D14" s="345">
        <f>C14*Assumptions!$C$48</f>
        <v>7589.5567698846398</v>
      </c>
      <c r="E14" s="391">
        <f>Assumptions!$H$3</f>
        <v>1.1863330000000001</v>
      </c>
      <c r="F14" s="33">
        <f>Assumptions!$C$54</f>
        <v>0.13175999999999999</v>
      </c>
      <c r="G14" s="297">
        <f>Assumptions!$C$63</f>
        <v>27.295999999999999</v>
      </c>
      <c r="H14" s="384"/>
      <c r="I14" s="1439">
        <f>Assumptions!$C$104</f>
        <v>1.5</v>
      </c>
      <c r="J14" s="427"/>
      <c r="K14" s="286">
        <f t="shared" si="5"/>
        <v>0</v>
      </c>
      <c r="L14" s="325">
        <f>Gasoline!K14</f>
        <v>0.23</v>
      </c>
      <c r="M14" s="281">
        <f t="shared" si="6"/>
        <v>0.34500000000000003</v>
      </c>
      <c r="N14" s="281">
        <f t="shared" si="7"/>
        <v>0</v>
      </c>
      <c r="O14" s="281">
        <f t="shared" si="8"/>
        <v>0.34500000000000003</v>
      </c>
      <c r="P14" s="342">
        <f t="shared" si="9"/>
        <v>2618.397085610201</v>
      </c>
      <c r="Q14" s="1053">
        <f t="shared" si="0"/>
        <v>0.34500000000000003</v>
      </c>
      <c r="R14" s="1047">
        <f t="shared" si="1"/>
        <v>2618.397085610201</v>
      </c>
      <c r="S14" s="268">
        <f t="shared" si="10"/>
        <v>0</v>
      </c>
      <c r="T14" s="366">
        <f t="shared" si="2"/>
        <v>0</v>
      </c>
      <c r="U14" s="336">
        <f>-'OECD NG subsidies'!C141</f>
        <v>0</v>
      </c>
      <c r="V14" s="342">
        <f t="shared" si="3"/>
        <v>0</v>
      </c>
      <c r="W14" s="849">
        <f t="shared" si="4"/>
        <v>0</v>
      </c>
      <c r="X14" s="281">
        <f t="shared" si="11"/>
        <v>1.845</v>
      </c>
      <c r="Y14" s="342">
        <f t="shared" si="12"/>
        <v>14002.732240437161</v>
      </c>
    </row>
    <row r="15" spans="1:25" x14ac:dyDescent="0.6">
      <c r="A15" s="46">
        <f t="shared" si="13"/>
        <v>11</v>
      </c>
      <c r="B15" s="44" t="s">
        <v>9</v>
      </c>
      <c r="C15" s="290">
        <v>50587</v>
      </c>
      <c r="D15" s="345">
        <f>C15*Assumptions!$C$48</f>
        <v>383932908.31815428</v>
      </c>
      <c r="E15" s="391">
        <f>Assumptions!$H$3</f>
        <v>1.1863330000000001</v>
      </c>
      <c r="F15" s="33">
        <f>Assumptions!$C$54</f>
        <v>0.13175999999999999</v>
      </c>
      <c r="G15" s="297">
        <f>Assumptions!$C$63</f>
        <v>27.295999999999999</v>
      </c>
      <c r="H15" s="384"/>
      <c r="I15" s="1439">
        <f>Assumptions!$C$104</f>
        <v>1.5</v>
      </c>
      <c r="J15" s="472"/>
      <c r="K15" s="306">
        <f>J15*F15*E15</f>
        <v>0</v>
      </c>
      <c r="L15" s="325">
        <f>Gasoline!K15</f>
        <v>0.22</v>
      </c>
      <c r="M15" s="281">
        <f t="shared" si="6"/>
        <v>0.33</v>
      </c>
      <c r="N15" s="281">
        <f t="shared" si="7"/>
        <v>0</v>
      </c>
      <c r="O15" s="281">
        <f t="shared" si="8"/>
        <v>0.33</v>
      </c>
      <c r="P15" s="342">
        <f t="shared" si="9"/>
        <v>126697859.74499092</v>
      </c>
      <c r="Q15" s="1053">
        <f t="shared" si="0"/>
        <v>0.33</v>
      </c>
      <c r="R15" s="1047">
        <f t="shared" si="1"/>
        <v>126697859.74499092</v>
      </c>
      <c r="S15" s="268">
        <f t="shared" si="10"/>
        <v>0</v>
      </c>
      <c r="T15" s="366">
        <f t="shared" si="2"/>
        <v>0</v>
      </c>
      <c r="U15" s="336">
        <f>-'OECD NG subsidies'!C148</f>
        <v>-976141</v>
      </c>
      <c r="V15" s="342">
        <f t="shared" si="3"/>
        <v>-1158028.2809530001</v>
      </c>
      <c r="W15" s="849">
        <f t="shared" si="4"/>
        <v>-1158028.2809530001</v>
      </c>
      <c r="X15" s="281">
        <f t="shared" si="11"/>
        <v>1.83</v>
      </c>
      <c r="Y15" s="342">
        <f t="shared" si="12"/>
        <v>701439193.94126928</v>
      </c>
    </row>
    <row r="16" spans="1:25" x14ac:dyDescent="0.6">
      <c r="A16" s="46">
        <f t="shared" si="13"/>
        <v>12</v>
      </c>
      <c r="B16" s="44" t="s">
        <v>10</v>
      </c>
      <c r="C16" s="290">
        <v>0</v>
      </c>
      <c r="D16" s="345">
        <f>C16*Assumptions!$C$48</f>
        <v>0</v>
      </c>
      <c r="E16" s="391">
        <f>Assumptions!$H$3</f>
        <v>1.1863330000000001</v>
      </c>
      <c r="F16" s="33">
        <f>Assumptions!$C$54</f>
        <v>0.13175999999999999</v>
      </c>
      <c r="G16" s="297">
        <f>Assumptions!$C$63</f>
        <v>27.295999999999999</v>
      </c>
      <c r="H16" s="384"/>
      <c r="I16" s="1439">
        <f>Assumptions!$C$104</f>
        <v>1.5</v>
      </c>
      <c r="J16" s="434"/>
      <c r="K16" s="286">
        <f t="shared" ref="K16:K18" si="14">J16*E16/G16</f>
        <v>0</v>
      </c>
      <c r="L16" s="325">
        <f>Gasoline!K16</f>
        <v>0.17</v>
      </c>
      <c r="M16" s="281">
        <f t="shared" si="6"/>
        <v>0.255</v>
      </c>
      <c r="N16" s="281">
        <f t="shared" si="7"/>
        <v>0</v>
      </c>
      <c r="O16" s="281">
        <f t="shared" si="8"/>
        <v>0.255</v>
      </c>
      <c r="P16" s="342">
        <f t="shared" si="9"/>
        <v>0</v>
      </c>
      <c r="Q16" s="1053">
        <f t="shared" si="0"/>
        <v>0.255</v>
      </c>
      <c r="R16" s="1047">
        <f t="shared" si="1"/>
        <v>0</v>
      </c>
      <c r="S16" s="268">
        <f t="shared" si="10"/>
        <v>0</v>
      </c>
      <c r="T16" s="366">
        <f t="shared" si="2"/>
        <v>0</v>
      </c>
      <c r="U16" s="336">
        <f>-'OECD NG subsidies'!C159</f>
        <v>0</v>
      </c>
      <c r="V16" s="342">
        <f t="shared" si="3"/>
        <v>0</v>
      </c>
      <c r="W16" s="849">
        <f t="shared" si="4"/>
        <v>0</v>
      </c>
      <c r="X16" s="281">
        <f t="shared" si="11"/>
        <v>1.7549999999999999</v>
      </c>
      <c r="Y16" s="342">
        <f t="shared" si="12"/>
        <v>0</v>
      </c>
    </row>
    <row r="17" spans="1:25" x14ac:dyDescent="0.6">
      <c r="A17" s="46">
        <f t="shared" si="13"/>
        <v>13</v>
      </c>
      <c r="B17" s="44" t="s">
        <v>11</v>
      </c>
      <c r="C17" s="290">
        <v>1469</v>
      </c>
      <c r="D17" s="345">
        <f>C17*Assumptions!$C$48</f>
        <v>11149058.894960536</v>
      </c>
      <c r="E17" s="391">
        <f>Assumptions!$H$17</f>
        <v>3.8049999999999998E-3</v>
      </c>
      <c r="F17" s="33">
        <f>Assumptions!$C$54</f>
        <v>0.13175999999999999</v>
      </c>
      <c r="G17" s="297">
        <f>Assumptions!$C$63</f>
        <v>27.295999999999999</v>
      </c>
      <c r="H17" s="388"/>
      <c r="I17" s="1439">
        <f>Assumptions!$C$104</f>
        <v>1.5</v>
      </c>
      <c r="J17" s="467"/>
      <c r="K17" s="286">
        <f t="shared" si="14"/>
        <v>0</v>
      </c>
      <c r="L17" s="325">
        <f>Gasoline!K17</f>
        <v>0.27</v>
      </c>
      <c r="M17" s="281">
        <f t="shared" si="6"/>
        <v>0.40500000000000003</v>
      </c>
      <c r="N17" s="281">
        <f t="shared" si="7"/>
        <v>0</v>
      </c>
      <c r="O17" s="281">
        <f t="shared" si="8"/>
        <v>0.40500000000000003</v>
      </c>
      <c r="P17" s="342">
        <f t="shared" si="9"/>
        <v>4515368.8524590172</v>
      </c>
      <c r="Q17" s="1053">
        <f t="shared" si="0"/>
        <v>0.40500000000000003</v>
      </c>
      <c r="R17" s="1047">
        <f t="shared" si="1"/>
        <v>4515368.8524590172</v>
      </c>
      <c r="S17" s="268">
        <f t="shared" si="10"/>
        <v>0</v>
      </c>
      <c r="T17" s="366">
        <f t="shared" si="2"/>
        <v>0</v>
      </c>
      <c r="U17" s="336">
        <f>-'OECD NG subsidies'!C162</f>
        <v>0</v>
      </c>
      <c r="V17" s="342">
        <f t="shared" si="3"/>
        <v>0</v>
      </c>
      <c r="W17" s="849">
        <f t="shared" si="4"/>
        <v>0</v>
      </c>
      <c r="X17" s="281">
        <f t="shared" si="11"/>
        <v>1.905</v>
      </c>
      <c r="Y17" s="342">
        <f t="shared" si="12"/>
        <v>21238957.19489982</v>
      </c>
    </row>
    <row r="18" spans="1:25" x14ac:dyDescent="0.6">
      <c r="A18" s="46">
        <f t="shared" si="13"/>
        <v>14</v>
      </c>
      <c r="B18" s="44" t="s">
        <v>12</v>
      </c>
      <c r="C18" s="290">
        <v>1694</v>
      </c>
      <c r="D18" s="345">
        <f>C18*Assumptions!$C$48</f>
        <v>12856709.16818458</v>
      </c>
      <c r="E18" s="391">
        <f>Assumptions!$H$3</f>
        <v>1.1863330000000001</v>
      </c>
      <c r="F18" s="33">
        <f>Assumptions!$C$54</f>
        <v>0.13175999999999999</v>
      </c>
      <c r="G18" s="297">
        <f>Assumptions!$C$63</f>
        <v>27.295999999999999</v>
      </c>
      <c r="H18" s="384"/>
      <c r="I18" s="1439">
        <f>Assumptions!$C$104</f>
        <v>1.5</v>
      </c>
      <c r="J18" s="434"/>
      <c r="K18" s="286">
        <f t="shared" si="14"/>
        <v>0</v>
      </c>
      <c r="L18" s="325">
        <f>Gasoline!K18</f>
        <v>0.21</v>
      </c>
      <c r="M18" s="281">
        <f t="shared" si="6"/>
        <v>0.315</v>
      </c>
      <c r="N18" s="281">
        <f t="shared" si="7"/>
        <v>0</v>
      </c>
      <c r="O18" s="281">
        <f t="shared" si="8"/>
        <v>0.315</v>
      </c>
      <c r="P18" s="342">
        <f t="shared" si="9"/>
        <v>4049863.3879781426</v>
      </c>
      <c r="Q18" s="1053">
        <f t="shared" si="0"/>
        <v>0.315</v>
      </c>
      <c r="R18" s="1047">
        <f t="shared" si="1"/>
        <v>4049863.3879781426</v>
      </c>
      <c r="S18" s="268">
        <f t="shared" si="10"/>
        <v>0</v>
      </c>
      <c r="T18" s="366">
        <f t="shared" si="2"/>
        <v>0</v>
      </c>
      <c r="U18" s="336">
        <f>-'OECD NG subsidies'!C168</f>
        <v>0</v>
      </c>
      <c r="V18" s="342">
        <f t="shared" si="3"/>
        <v>0</v>
      </c>
      <c r="W18" s="849">
        <f t="shared" si="4"/>
        <v>0</v>
      </c>
      <c r="X18" s="281">
        <f t="shared" si="11"/>
        <v>1.8149999999999999</v>
      </c>
      <c r="Y18" s="342">
        <f t="shared" si="12"/>
        <v>23334927.140255012</v>
      </c>
    </row>
    <row r="19" spans="1:25" x14ac:dyDescent="0.6">
      <c r="A19" s="46">
        <f t="shared" si="13"/>
        <v>15</v>
      </c>
      <c r="B19" s="44" t="s">
        <v>13</v>
      </c>
      <c r="C19" s="290">
        <v>12484</v>
      </c>
      <c r="D19" s="345">
        <f>C19*Assumptions!$C$48</f>
        <v>94748026.715239838</v>
      </c>
      <c r="E19" s="391">
        <f>Assumptions!$H$3</f>
        <v>1.1863330000000001</v>
      </c>
      <c r="F19" s="33">
        <f>Assumptions!$C$54</f>
        <v>0.13175999999999999</v>
      </c>
      <c r="G19" s="297">
        <f>Assumptions!$C$63</f>
        <v>27.295999999999999</v>
      </c>
      <c r="H19" s="384"/>
      <c r="I19" s="1439">
        <f>Assumptions!$C$104</f>
        <v>1.5</v>
      </c>
      <c r="J19" s="434"/>
      <c r="K19" s="286">
        <f t="shared" si="5"/>
        <v>0</v>
      </c>
      <c r="L19" s="325">
        <f>Gasoline!K19</f>
        <v>0.2</v>
      </c>
      <c r="M19" s="281">
        <f t="shared" si="6"/>
        <v>0.30000000000000004</v>
      </c>
      <c r="N19" s="281">
        <f t="shared" si="7"/>
        <v>0</v>
      </c>
      <c r="O19" s="281">
        <f t="shared" si="8"/>
        <v>0.30000000000000004</v>
      </c>
      <c r="P19" s="342">
        <f t="shared" si="9"/>
        <v>28424408.014571957</v>
      </c>
      <c r="Q19" s="1053">
        <f t="shared" si="0"/>
        <v>0.30000000000000004</v>
      </c>
      <c r="R19" s="1047">
        <f t="shared" si="1"/>
        <v>28424408.014571957</v>
      </c>
      <c r="S19" s="268">
        <f t="shared" si="10"/>
        <v>0</v>
      </c>
      <c r="T19" s="366">
        <f t="shared" si="2"/>
        <v>0</v>
      </c>
      <c r="U19" s="336">
        <f>-'OECD NG subsidies'!C174</f>
        <v>0</v>
      </c>
      <c r="V19" s="342">
        <f t="shared" si="3"/>
        <v>0</v>
      </c>
      <c r="W19" s="849">
        <f t="shared" si="4"/>
        <v>0</v>
      </c>
      <c r="X19" s="281">
        <f t="shared" si="11"/>
        <v>1.7999999999999998</v>
      </c>
      <c r="Y19" s="342">
        <f t="shared" si="12"/>
        <v>170546448.0874317</v>
      </c>
    </row>
    <row r="20" spans="1:25" x14ac:dyDescent="0.6">
      <c r="A20" s="46">
        <f t="shared" si="13"/>
        <v>16</v>
      </c>
      <c r="B20" s="44" t="s">
        <v>14</v>
      </c>
      <c r="C20" s="290">
        <v>16719</v>
      </c>
      <c r="D20" s="345">
        <f>C20*Assumptions!$C$48</f>
        <v>126889799.6357013</v>
      </c>
      <c r="E20" s="391">
        <f>Assumptions!$H$18</f>
        <v>0.28262100000000001</v>
      </c>
      <c r="F20" s="33">
        <f>Assumptions!$C$54</f>
        <v>0.13175999999999999</v>
      </c>
      <c r="G20" s="297">
        <f>Assumptions!$C$63</f>
        <v>27.295999999999999</v>
      </c>
      <c r="H20" s="420"/>
      <c r="I20" s="1439">
        <f>Assumptions!$C$104</f>
        <v>1.5</v>
      </c>
      <c r="J20" s="431"/>
      <c r="K20" s="286">
        <f t="shared" si="5"/>
        <v>0</v>
      </c>
      <c r="L20" s="325">
        <f>Gasoline!K20</f>
        <v>0.23</v>
      </c>
      <c r="M20" s="281">
        <f t="shared" si="6"/>
        <v>0.34500000000000003</v>
      </c>
      <c r="N20" s="281">
        <f t="shared" si="7"/>
        <v>0</v>
      </c>
      <c r="O20" s="281">
        <f t="shared" si="8"/>
        <v>0.34500000000000003</v>
      </c>
      <c r="P20" s="342">
        <f t="shared" si="9"/>
        <v>43776980.874316953</v>
      </c>
      <c r="Q20" s="1053">
        <f t="shared" si="0"/>
        <v>0.34500000000000003</v>
      </c>
      <c r="R20" s="1047">
        <f t="shared" si="1"/>
        <v>43776980.874316953</v>
      </c>
      <c r="S20" s="268">
        <f t="shared" si="10"/>
        <v>0</v>
      </c>
      <c r="T20" s="366">
        <f t="shared" si="2"/>
        <v>0</v>
      </c>
      <c r="U20" s="336">
        <f>-'OECD NG subsidies'!C177</f>
        <v>0</v>
      </c>
      <c r="V20" s="342">
        <f t="shared" si="3"/>
        <v>0</v>
      </c>
      <c r="W20" s="849">
        <f t="shared" si="4"/>
        <v>0</v>
      </c>
      <c r="X20" s="281">
        <f t="shared" si="11"/>
        <v>1.845</v>
      </c>
      <c r="Y20" s="342">
        <f t="shared" si="12"/>
        <v>234111680.32786888</v>
      </c>
    </row>
    <row r="21" spans="1:25" x14ac:dyDescent="0.6">
      <c r="A21" s="46">
        <f t="shared" si="13"/>
        <v>17</v>
      </c>
      <c r="B21" s="44" t="s">
        <v>15</v>
      </c>
      <c r="C21" s="290">
        <v>607</v>
      </c>
      <c r="D21" s="345">
        <f>C21*Assumptions!$C$48</f>
        <v>4606860.9593199762</v>
      </c>
      <c r="E21" s="391">
        <f>Assumptions!$H$3</f>
        <v>1.1863330000000001</v>
      </c>
      <c r="F21" s="33">
        <f>Assumptions!$C$54</f>
        <v>0.13175999999999999</v>
      </c>
      <c r="G21" s="297">
        <f>Assumptions!$C$63</f>
        <v>27.295999999999999</v>
      </c>
      <c r="H21" s="384"/>
      <c r="I21" s="1439">
        <f>Assumptions!$C$104</f>
        <v>1.5</v>
      </c>
      <c r="J21" s="434"/>
      <c r="K21" s="286">
        <f t="shared" si="5"/>
        <v>0</v>
      </c>
      <c r="L21" s="325">
        <f>Gasoline!K21</f>
        <v>0.23</v>
      </c>
      <c r="M21" s="281">
        <f t="shared" si="6"/>
        <v>0.34500000000000003</v>
      </c>
      <c r="N21" s="281">
        <f t="shared" si="7"/>
        <v>0</v>
      </c>
      <c r="O21" s="281">
        <f t="shared" si="8"/>
        <v>0.34500000000000003</v>
      </c>
      <c r="P21" s="342">
        <f t="shared" si="9"/>
        <v>1589367.030965392</v>
      </c>
      <c r="Q21" s="1053">
        <f t="shared" si="0"/>
        <v>0.34500000000000003</v>
      </c>
      <c r="R21" s="1047">
        <f t="shared" si="1"/>
        <v>1589367.030965392</v>
      </c>
      <c r="S21" s="268">
        <f t="shared" si="10"/>
        <v>0</v>
      </c>
      <c r="T21" s="366">
        <f t="shared" si="2"/>
        <v>0</v>
      </c>
      <c r="U21" s="336">
        <f>-'OECD NG subsidies'!C182</f>
        <v>0</v>
      </c>
      <c r="V21" s="342">
        <f t="shared" si="3"/>
        <v>0</v>
      </c>
      <c r="W21" s="849">
        <f t="shared" si="4"/>
        <v>0</v>
      </c>
      <c r="X21" s="281">
        <f t="shared" si="11"/>
        <v>1.845</v>
      </c>
      <c r="Y21" s="342">
        <f t="shared" si="12"/>
        <v>8499658.4699453562</v>
      </c>
    </row>
    <row r="22" spans="1:25" x14ac:dyDescent="0.6">
      <c r="A22" s="46">
        <f t="shared" si="13"/>
        <v>18</v>
      </c>
      <c r="B22" s="44" t="s">
        <v>16</v>
      </c>
      <c r="C22" s="290">
        <v>98</v>
      </c>
      <c r="D22" s="345">
        <f>C22*Assumptions!$C$48</f>
        <v>743776.56344869465</v>
      </c>
      <c r="E22" s="391">
        <f>Assumptions!$H$3</f>
        <v>1.1863330000000001</v>
      </c>
      <c r="F22" s="33">
        <f>Assumptions!$C$54</f>
        <v>0.13175999999999999</v>
      </c>
      <c r="G22" s="297">
        <f>Assumptions!$C$63</f>
        <v>27.295999999999999</v>
      </c>
      <c r="H22" s="384"/>
      <c r="I22" s="1439">
        <f>Assumptions!$C$104</f>
        <v>1.5</v>
      </c>
      <c r="J22" s="434"/>
      <c r="K22" s="286">
        <f t="shared" si="5"/>
        <v>0</v>
      </c>
      <c r="L22" s="325">
        <f>Gasoline!K22</f>
        <v>0.22</v>
      </c>
      <c r="M22" s="281">
        <f t="shared" si="6"/>
        <v>0.33</v>
      </c>
      <c r="N22" s="281">
        <f t="shared" si="7"/>
        <v>0</v>
      </c>
      <c r="O22" s="281">
        <f t="shared" si="8"/>
        <v>0.33</v>
      </c>
      <c r="P22" s="342">
        <f t="shared" si="9"/>
        <v>245446.26593806923</v>
      </c>
      <c r="Q22" s="1053">
        <f t="shared" si="0"/>
        <v>0.33</v>
      </c>
      <c r="R22" s="1047">
        <f t="shared" si="1"/>
        <v>245446.26593806923</v>
      </c>
      <c r="S22" s="268">
        <f t="shared" si="10"/>
        <v>0</v>
      </c>
      <c r="T22" s="366">
        <f t="shared" si="2"/>
        <v>0</v>
      </c>
      <c r="U22" s="336">
        <f>-'OECD NG subsidies'!C184</f>
        <v>0</v>
      </c>
      <c r="V22" s="342">
        <f t="shared" si="3"/>
        <v>0</v>
      </c>
      <c r="W22" s="849">
        <f t="shared" si="4"/>
        <v>0</v>
      </c>
      <c r="X22" s="281">
        <f t="shared" si="11"/>
        <v>1.83</v>
      </c>
      <c r="Y22" s="342">
        <f t="shared" si="12"/>
        <v>1361111.1111111112</v>
      </c>
    </row>
    <row r="23" spans="1:25" x14ac:dyDescent="0.6">
      <c r="A23" s="46">
        <f t="shared" si="13"/>
        <v>19</v>
      </c>
      <c r="B23" s="44" t="s">
        <v>17</v>
      </c>
      <c r="C23" s="290">
        <v>4292</v>
      </c>
      <c r="D23" s="345">
        <f>C23*Assumptions!$C$48</f>
        <v>32574377.656344876</v>
      </c>
      <c r="E23" s="391">
        <f>Assumptions!$H$3</f>
        <v>1.1863330000000001</v>
      </c>
      <c r="F23" s="33">
        <f>Assumptions!$C$54</f>
        <v>0.13175999999999999</v>
      </c>
      <c r="G23" s="297">
        <f>Assumptions!$C$63</f>
        <v>27.295999999999999</v>
      </c>
      <c r="H23" s="384"/>
      <c r="I23" s="1439">
        <f>Assumptions!$C$104</f>
        <v>1.5</v>
      </c>
      <c r="J23" s="434"/>
      <c r="K23" s="286">
        <f t="shared" si="5"/>
        <v>0</v>
      </c>
      <c r="L23" s="325">
        <f>Gasoline!K23</f>
        <v>0.2</v>
      </c>
      <c r="M23" s="281">
        <f t="shared" si="6"/>
        <v>0.30000000000000004</v>
      </c>
      <c r="N23" s="281">
        <f t="shared" si="7"/>
        <v>0</v>
      </c>
      <c r="O23" s="281">
        <f t="shared" si="8"/>
        <v>0.30000000000000004</v>
      </c>
      <c r="P23" s="342">
        <f t="shared" si="9"/>
        <v>9772313.2969034649</v>
      </c>
      <c r="Q23" s="1053">
        <f t="shared" si="0"/>
        <v>0.30000000000000004</v>
      </c>
      <c r="R23" s="1047">
        <f t="shared" si="1"/>
        <v>9772313.2969034649</v>
      </c>
      <c r="S23" s="268">
        <f t="shared" si="10"/>
        <v>0</v>
      </c>
      <c r="T23" s="366">
        <f t="shared" si="2"/>
        <v>0</v>
      </c>
      <c r="U23" s="336">
        <f>-'OECD NG subsidies'!C188</f>
        <v>-11665600.25</v>
      </c>
      <c r="V23" s="342">
        <f t="shared" si="3"/>
        <v>-13839286.541383252</v>
      </c>
      <c r="W23" s="849">
        <f t="shared" si="4"/>
        <v>-13839286.541383252</v>
      </c>
      <c r="X23" s="281">
        <f t="shared" si="11"/>
        <v>1.7999999999999998</v>
      </c>
      <c r="Y23" s="342">
        <f t="shared" si="12"/>
        <v>44794593.240037516</v>
      </c>
    </row>
    <row r="24" spans="1:25" x14ac:dyDescent="0.6">
      <c r="A24" s="46">
        <f t="shared" si="13"/>
        <v>20</v>
      </c>
      <c r="B24" s="44" t="s">
        <v>18</v>
      </c>
      <c r="C24" s="290">
        <v>313</v>
      </c>
      <c r="D24" s="345">
        <f>C24*Assumptions!$C$48</f>
        <v>2375531.2689738921</v>
      </c>
      <c r="E24" s="391">
        <f>Assumptions!$H$3</f>
        <v>1.1863330000000001</v>
      </c>
      <c r="F24" s="33">
        <f>Assumptions!$C$54</f>
        <v>0.13175999999999999</v>
      </c>
      <c r="G24" s="297">
        <f>Assumptions!$C$63</f>
        <v>27.295999999999999</v>
      </c>
      <c r="H24" s="384"/>
      <c r="I24" s="1439">
        <f>Assumptions!$C$104</f>
        <v>1.5</v>
      </c>
      <c r="J24" s="427"/>
      <c r="K24" s="286">
        <f t="shared" si="5"/>
        <v>0</v>
      </c>
      <c r="L24" s="325">
        <f>Gasoline!K24</f>
        <v>0.24</v>
      </c>
      <c r="M24" s="281">
        <f t="shared" si="6"/>
        <v>0.36</v>
      </c>
      <c r="N24" s="281">
        <f t="shared" si="7"/>
        <v>0</v>
      </c>
      <c r="O24" s="281">
        <f t="shared" si="8"/>
        <v>0.36</v>
      </c>
      <c r="P24" s="342">
        <f t="shared" si="9"/>
        <v>855191.25683060114</v>
      </c>
      <c r="Q24" s="1053">
        <f t="shared" si="0"/>
        <v>0.36</v>
      </c>
      <c r="R24" s="1047">
        <f t="shared" si="1"/>
        <v>855191.25683060114</v>
      </c>
      <c r="S24" s="268">
        <f t="shared" si="10"/>
        <v>0</v>
      </c>
      <c r="T24" s="366">
        <f t="shared" si="2"/>
        <v>0</v>
      </c>
      <c r="U24" s="336">
        <f>-'OECD NG subsidies'!C190</f>
        <v>-1000000</v>
      </c>
      <c r="V24" s="342">
        <f t="shared" si="3"/>
        <v>-1186333</v>
      </c>
      <c r="W24" s="849">
        <f t="shared" si="4"/>
        <v>-1186333</v>
      </c>
      <c r="X24" s="281">
        <f t="shared" si="11"/>
        <v>1.8599999999999999</v>
      </c>
      <c r="Y24" s="342">
        <f t="shared" si="12"/>
        <v>3232155.1602914389</v>
      </c>
    </row>
    <row r="25" spans="1:25" x14ac:dyDescent="0.6">
      <c r="A25" s="46">
        <f t="shared" si="13"/>
        <v>21</v>
      </c>
      <c r="B25" s="44" t="s">
        <v>19</v>
      </c>
      <c r="C25" s="290">
        <v>1602</v>
      </c>
      <c r="D25" s="345">
        <f>C25*Assumptions!$C$48</f>
        <v>12158469.945355194</v>
      </c>
      <c r="E25" s="391">
        <f>Assumptions!$H$19</f>
        <v>0.119739</v>
      </c>
      <c r="F25" s="33">
        <f>Assumptions!$C$54</f>
        <v>0.13175999999999999</v>
      </c>
      <c r="G25" s="297">
        <f>Assumptions!$C$63</f>
        <v>27.295999999999999</v>
      </c>
      <c r="H25" s="1437"/>
      <c r="I25" s="1439">
        <f>Assumptions!$C$104</f>
        <v>1.5</v>
      </c>
      <c r="J25" s="1438">
        <f>-U25/D25</f>
        <v>14.804494382022469</v>
      </c>
      <c r="K25" s="286">
        <f>J25*E25</f>
        <v>1.7726753528089885</v>
      </c>
      <c r="L25" s="325">
        <f>Gasoline!K25</f>
        <v>0.25</v>
      </c>
      <c r="M25" s="281">
        <f t="shared" si="6"/>
        <v>0.375</v>
      </c>
      <c r="N25" s="281">
        <f t="shared" si="7"/>
        <v>0.44316883820224712</v>
      </c>
      <c r="O25" s="281">
        <f t="shared" si="8"/>
        <v>0.81816883820224717</v>
      </c>
      <c r="P25" s="342">
        <f t="shared" si="9"/>
        <v>4559426.2295081979</v>
      </c>
      <c r="Q25" s="1053">
        <f t="shared" si="0"/>
        <v>2.5908441910112359</v>
      </c>
      <c r="R25" s="1047">
        <f t="shared" si="1"/>
        <v>31500701.229508203</v>
      </c>
      <c r="S25" s="268">
        <f t="shared" si="10"/>
        <v>2.2158441910112354</v>
      </c>
      <c r="T25" s="366">
        <f t="shared" si="2"/>
        <v>26941275</v>
      </c>
      <c r="U25" s="336">
        <f>-'OECD NG subsidies'!C195</f>
        <v>-180000000</v>
      </c>
      <c r="V25" s="342">
        <f t="shared" si="3"/>
        <v>-21553020</v>
      </c>
      <c r="W25" s="849">
        <f t="shared" si="4"/>
        <v>5388255</v>
      </c>
      <c r="X25" s="281">
        <f t="shared" si="11"/>
        <v>4.0908441910112359</v>
      </c>
      <c r="Y25" s="342">
        <f t="shared" si="12"/>
        <v>28185386.147540994</v>
      </c>
    </row>
    <row r="26" spans="1:25" ht="15.9" thickBot="1" x14ac:dyDescent="0.65">
      <c r="A26" s="15">
        <f t="shared" si="13"/>
        <v>22</v>
      </c>
      <c r="B26" s="47" t="s">
        <v>20</v>
      </c>
      <c r="C26" s="291">
        <v>0</v>
      </c>
      <c r="D26" s="347">
        <f>C26*Assumptions!$C$48</f>
        <v>0</v>
      </c>
      <c r="E26" s="419">
        <f>Assumptions!$H$20</f>
        <v>1.337591</v>
      </c>
      <c r="F26" s="36">
        <f>Assumptions!$C$54</f>
        <v>0.13175999999999999</v>
      </c>
      <c r="G26" s="299">
        <f>Assumptions!$C$63</f>
        <v>27.295999999999999</v>
      </c>
      <c r="H26" s="421"/>
      <c r="I26" s="1055">
        <f>Assumptions!$C$104</f>
        <v>1.5</v>
      </c>
      <c r="J26" s="433"/>
      <c r="K26" s="308">
        <f t="shared" si="5"/>
        <v>0</v>
      </c>
      <c r="L26" s="376">
        <f>Gasoline!K26</f>
        <v>0.2</v>
      </c>
      <c r="M26" s="318">
        <f t="shared" si="6"/>
        <v>0.30000000000000004</v>
      </c>
      <c r="N26" s="318">
        <f t="shared" si="7"/>
        <v>0</v>
      </c>
      <c r="O26" s="318">
        <f t="shared" si="8"/>
        <v>0.30000000000000004</v>
      </c>
      <c r="P26" s="344">
        <f t="shared" si="9"/>
        <v>0</v>
      </c>
      <c r="Q26" s="1054">
        <f t="shared" si="0"/>
        <v>0.30000000000000004</v>
      </c>
      <c r="R26" s="1048">
        <f t="shared" si="1"/>
        <v>0</v>
      </c>
      <c r="S26" s="269">
        <f t="shared" si="10"/>
        <v>0</v>
      </c>
      <c r="T26" s="368">
        <f t="shared" si="2"/>
        <v>0</v>
      </c>
      <c r="U26" s="340">
        <f>-'OECD NG subsidies'!C208</f>
        <v>-4369339</v>
      </c>
      <c r="V26" s="344">
        <f t="shared" si="3"/>
        <v>-5844388.522349</v>
      </c>
      <c r="W26" s="851">
        <f t="shared" si="4"/>
        <v>-5844388.522349</v>
      </c>
      <c r="X26" s="318">
        <f t="shared" si="11"/>
        <v>1.7999999999999998</v>
      </c>
      <c r="Y26" s="344">
        <f t="shared" si="12"/>
        <v>-5844388.522349</v>
      </c>
    </row>
    <row r="27" spans="1:25" ht="15.9" thickTop="1" x14ac:dyDescent="0.6">
      <c r="A27" s="48" t="s">
        <v>36</v>
      </c>
      <c r="B27" s="44"/>
      <c r="C27" s="290"/>
      <c r="D27" s="345"/>
      <c r="E27" s="399"/>
      <c r="F27" s="33"/>
      <c r="G27" s="297"/>
      <c r="H27" s="383"/>
      <c r="I27" s="1439"/>
      <c r="J27" s="457"/>
      <c r="K27" s="306"/>
      <c r="L27" s="322"/>
      <c r="M27" s="320">
        <f t="shared" si="6"/>
        <v>0</v>
      </c>
      <c r="N27" s="320">
        <f t="shared" si="7"/>
        <v>0</v>
      </c>
      <c r="O27" s="320">
        <f t="shared" si="8"/>
        <v>0</v>
      </c>
      <c r="P27" s="847">
        <f t="shared" si="9"/>
        <v>0</v>
      </c>
      <c r="Q27" s="1053"/>
      <c r="R27" s="1047"/>
      <c r="S27" s="310"/>
      <c r="T27" s="366"/>
      <c r="U27" s="336"/>
      <c r="V27" s="342"/>
      <c r="W27" s="849"/>
      <c r="X27" s="320"/>
      <c r="Y27" s="342"/>
    </row>
    <row r="28" spans="1:25" x14ac:dyDescent="0.6">
      <c r="A28" s="61">
        <f>A26+1</f>
        <v>23</v>
      </c>
      <c r="B28" s="44" t="s">
        <v>38</v>
      </c>
      <c r="C28" s="290">
        <v>166482</v>
      </c>
      <c r="D28" s="345">
        <f>C28*Assumptions!$C$48</f>
        <v>1263524590.1639347</v>
      </c>
      <c r="E28" s="399">
        <f>Assumptions!$H$4</f>
        <v>0.78824099999999997</v>
      </c>
      <c r="F28" s="33">
        <f>Assumptions!$C$54</f>
        <v>0.13175999999999999</v>
      </c>
      <c r="G28" s="297">
        <f>Assumptions!$C$63</f>
        <v>27.295999999999999</v>
      </c>
      <c r="H28" s="441"/>
      <c r="I28" s="1439">
        <f>Assumptions!$C$104</f>
        <v>1.5</v>
      </c>
      <c r="J28" s="447"/>
      <c r="K28" s="306">
        <f t="shared" si="5"/>
        <v>0</v>
      </c>
      <c r="L28" s="322">
        <f>Gasoline!K28</f>
        <v>9.0499999999999997E-2</v>
      </c>
      <c r="M28" s="320">
        <f t="shared" si="6"/>
        <v>0.13574999999999998</v>
      </c>
      <c r="N28" s="320">
        <f t="shared" si="7"/>
        <v>0</v>
      </c>
      <c r="O28" s="320">
        <f t="shared" si="8"/>
        <v>0.13574999999999998</v>
      </c>
      <c r="P28" s="847">
        <f t="shared" si="9"/>
        <v>171523463.11475411</v>
      </c>
      <c r="Q28" s="1053">
        <f t="shared" si="0"/>
        <v>0.13574999999999998</v>
      </c>
      <c r="R28" s="1047">
        <f t="shared" si="1"/>
        <v>171523463.11475411</v>
      </c>
      <c r="S28" s="310">
        <f t="shared" si="10"/>
        <v>0</v>
      </c>
      <c r="T28" s="366">
        <f t="shared" ref="T28:T34" si="15">D28*S28</f>
        <v>0</v>
      </c>
      <c r="U28" s="336">
        <f>-'OECD NG subsidies'!C230</f>
        <v>-15000000</v>
      </c>
      <c r="V28" s="342">
        <f t="shared" ref="V28:V34" si="16">U28*E28</f>
        <v>-11823615</v>
      </c>
      <c r="W28" s="849">
        <f t="shared" ref="W28:W34" si="17">T28+V28</f>
        <v>-11823615</v>
      </c>
      <c r="X28" s="320">
        <f t="shared" si="11"/>
        <v>1.63575</v>
      </c>
      <c r="Y28" s="342">
        <f t="shared" si="12"/>
        <v>2054986733.3606563</v>
      </c>
    </row>
    <row r="29" spans="1:25" x14ac:dyDescent="0.6">
      <c r="A29" s="61">
        <f t="shared" ref="A29:A34" si="18">A28+1</f>
        <v>24</v>
      </c>
      <c r="B29" s="44" t="s">
        <v>39</v>
      </c>
      <c r="C29" s="290">
        <v>5362</v>
      </c>
      <c r="D29" s="345">
        <f>C29*Assumptions!$C$48</f>
        <v>40695203.400121436</v>
      </c>
      <c r="E29" s="399">
        <f>Assumptions!$H$5</f>
        <v>0.12035</v>
      </c>
      <c r="F29" s="33">
        <f>Assumptions!$C$54</f>
        <v>0.13175999999999999</v>
      </c>
      <c r="G29" s="297">
        <f>Assumptions!$C$63</f>
        <v>27.295999999999999</v>
      </c>
      <c r="H29" s="442"/>
      <c r="I29" s="1439">
        <f>Assumptions!$C$104</f>
        <v>1.5</v>
      </c>
      <c r="J29" s="448"/>
      <c r="K29" s="306">
        <f t="shared" si="5"/>
        <v>0</v>
      </c>
      <c r="L29" s="322">
        <f>Gasoline!K29</f>
        <v>0.25</v>
      </c>
      <c r="M29" s="320">
        <f t="shared" si="6"/>
        <v>0.375</v>
      </c>
      <c r="N29" s="320">
        <f t="shared" si="7"/>
        <v>0</v>
      </c>
      <c r="O29" s="320">
        <f t="shared" si="8"/>
        <v>0.375</v>
      </c>
      <c r="P29" s="847">
        <f t="shared" si="9"/>
        <v>15260701.275045538</v>
      </c>
      <c r="Q29" s="1053">
        <f t="shared" si="0"/>
        <v>0.375</v>
      </c>
      <c r="R29" s="1047">
        <f t="shared" si="1"/>
        <v>15260701.275045538</v>
      </c>
      <c r="S29" s="310">
        <f t="shared" si="10"/>
        <v>0</v>
      </c>
      <c r="T29" s="366">
        <f t="shared" si="15"/>
        <v>0</v>
      </c>
      <c r="U29" s="336">
        <f>-'OECD NG subsidies'!C264</f>
        <v>0</v>
      </c>
      <c r="V29" s="342">
        <f t="shared" si="16"/>
        <v>0</v>
      </c>
      <c r="W29" s="849">
        <f t="shared" si="17"/>
        <v>0</v>
      </c>
      <c r="X29" s="320">
        <f t="shared" si="11"/>
        <v>1.875</v>
      </c>
      <c r="Y29" s="342">
        <f t="shared" si="12"/>
        <v>76303506.37522769</v>
      </c>
    </row>
    <row r="30" spans="1:25" x14ac:dyDescent="0.6">
      <c r="A30" s="61">
        <f t="shared" si="18"/>
        <v>25</v>
      </c>
      <c r="B30" s="44" t="s">
        <v>40</v>
      </c>
      <c r="C30" s="290">
        <v>1531</v>
      </c>
      <c r="D30" s="345">
        <f>C30*Assumptions!$C$48</f>
        <v>11619611.414693383</v>
      </c>
      <c r="E30" s="399">
        <f>Assumptions!$H$6</f>
        <v>1.010632</v>
      </c>
      <c r="F30" s="33">
        <f>Assumptions!$C$54</f>
        <v>0.13175999999999999</v>
      </c>
      <c r="G30" s="297">
        <f>Assumptions!$C$63</f>
        <v>27.295999999999999</v>
      </c>
      <c r="H30" s="443"/>
      <c r="I30" s="1439">
        <f>Assumptions!$C$104</f>
        <v>1.5</v>
      </c>
      <c r="J30" s="449"/>
      <c r="K30" s="306">
        <f t="shared" si="5"/>
        <v>0</v>
      </c>
      <c r="L30" s="322">
        <f>Gasoline!K30</f>
        <v>0.08</v>
      </c>
      <c r="M30" s="320">
        <f t="shared" si="6"/>
        <v>0.12</v>
      </c>
      <c r="N30" s="320">
        <f t="shared" si="7"/>
        <v>0</v>
      </c>
      <c r="O30" s="320">
        <f t="shared" si="8"/>
        <v>0.12</v>
      </c>
      <c r="P30" s="847">
        <f t="shared" si="9"/>
        <v>1394353.369763206</v>
      </c>
      <c r="Q30" s="1053">
        <f t="shared" si="0"/>
        <v>0.12</v>
      </c>
      <c r="R30" s="1047">
        <f t="shared" si="1"/>
        <v>1394353.369763206</v>
      </c>
      <c r="S30" s="310">
        <f t="shared" si="10"/>
        <v>0</v>
      </c>
      <c r="T30" s="366">
        <f t="shared" si="15"/>
        <v>0</v>
      </c>
      <c r="U30" s="336">
        <f>-'OECD NG subsidies'!C275</f>
        <v>-2053432</v>
      </c>
      <c r="V30" s="342">
        <f t="shared" si="16"/>
        <v>-2075264.0890239999</v>
      </c>
      <c r="W30" s="849">
        <f t="shared" si="17"/>
        <v>-2075264.0890239999</v>
      </c>
      <c r="X30" s="320">
        <f t="shared" si="11"/>
        <v>1.62</v>
      </c>
      <c r="Y30" s="342">
        <f t="shared" si="12"/>
        <v>16748506.402779281</v>
      </c>
    </row>
    <row r="31" spans="1:25" x14ac:dyDescent="0.6">
      <c r="A31" s="61">
        <f t="shared" si="18"/>
        <v>26</v>
      </c>
      <c r="B31" s="44" t="s">
        <v>31</v>
      </c>
      <c r="C31" s="290">
        <v>3393</v>
      </c>
      <c r="D31" s="345">
        <f>C31*Assumptions!$C$48</f>
        <v>25751366.120218582</v>
      </c>
      <c r="E31" s="399">
        <f>Assumptions!$H$7</f>
        <v>8.829E-3</v>
      </c>
      <c r="F31" s="33">
        <f>Assumptions!$C$54</f>
        <v>0.13175999999999999</v>
      </c>
      <c r="G31" s="297">
        <f>Assumptions!$C$63</f>
        <v>27.295999999999999</v>
      </c>
      <c r="H31" s="444"/>
      <c r="I31" s="1439">
        <f>Assumptions!$C$104</f>
        <v>1.5</v>
      </c>
      <c r="J31" s="450"/>
      <c r="K31" s="306">
        <f t="shared" si="5"/>
        <v>0</v>
      </c>
      <c r="L31" s="322">
        <f>Gasoline!K31</f>
        <v>0.08</v>
      </c>
      <c r="M31" s="320">
        <f t="shared" si="6"/>
        <v>0.12</v>
      </c>
      <c r="N31" s="320">
        <f t="shared" si="7"/>
        <v>0</v>
      </c>
      <c r="O31" s="320">
        <f t="shared" si="8"/>
        <v>0.12</v>
      </c>
      <c r="P31" s="847">
        <f t="shared" si="9"/>
        <v>3090163.9344262299</v>
      </c>
      <c r="Q31" s="1053">
        <f t="shared" si="0"/>
        <v>0.12</v>
      </c>
      <c r="R31" s="1047">
        <f t="shared" si="1"/>
        <v>3090163.9344262299</v>
      </c>
      <c r="S31" s="310">
        <f t="shared" si="10"/>
        <v>0</v>
      </c>
      <c r="T31" s="366">
        <f t="shared" si="15"/>
        <v>0</v>
      </c>
      <c r="U31" s="336">
        <f>-'OECD NG subsidies'!C282</f>
        <v>0</v>
      </c>
      <c r="V31" s="342">
        <f t="shared" si="16"/>
        <v>0</v>
      </c>
      <c r="W31" s="849">
        <f t="shared" si="17"/>
        <v>0</v>
      </c>
      <c r="X31" s="320">
        <f t="shared" si="11"/>
        <v>1.62</v>
      </c>
      <c r="Y31" s="342">
        <f t="shared" si="12"/>
        <v>41717213.114754103</v>
      </c>
    </row>
    <row r="32" spans="1:25" x14ac:dyDescent="0.6">
      <c r="A32" s="61">
        <f t="shared" si="18"/>
        <v>27</v>
      </c>
      <c r="B32" s="44" t="s">
        <v>47</v>
      </c>
      <c r="C32" s="290">
        <v>54152</v>
      </c>
      <c r="D32" s="345">
        <f>C32*Assumptions!$C$48</f>
        <v>410989678.202793</v>
      </c>
      <c r="E32" s="399">
        <f>Assumptions!$H$8</f>
        <v>9.3000000000000005E-4</v>
      </c>
      <c r="F32" s="33">
        <f>Assumptions!$C$54</f>
        <v>0.13175999999999999</v>
      </c>
      <c r="G32" s="297">
        <f>Assumptions!$C$63</f>
        <v>27.295999999999999</v>
      </c>
      <c r="H32" s="446"/>
      <c r="I32" s="1439">
        <f>Assumptions!$C$104</f>
        <v>1.5</v>
      </c>
      <c r="J32" s="451"/>
      <c r="K32" s="306">
        <f t="shared" si="5"/>
        <v>0</v>
      </c>
      <c r="L32" s="322">
        <f>Gasoline!K32</f>
        <v>0.1</v>
      </c>
      <c r="M32" s="320">
        <f t="shared" si="6"/>
        <v>0.15000000000000002</v>
      </c>
      <c r="N32" s="320">
        <f t="shared" si="7"/>
        <v>0</v>
      </c>
      <c r="O32" s="320">
        <f t="shared" si="8"/>
        <v>0.15000000000000002</v>
      </c>
      <c r="P32" s="847">
        <f t="shared" si="9"/>
        <v>61648451.730418958</v>
      </c>
      <c r="Q32" s="1053">
        <f t="shared" si="0"/>
        <v>0.15000000000000002</v>
      </c>
      <c r="R32" s="1047">
        <f t="shared" si="1"/>
        <v>61648451.730418958</v>
      </c>
      <c r="S32" s="310">
        <f t="shared" si="10"/>
        <v>0</v>
      </c>
      <c r="T32" s="366">
        <f t="shared" si="15"/>
        <v>0</v>
      </c>
      <c r="U32" s="336">
        <f>-'OECD NG subsidies'!C296</f>
        <v>0</v>
      </c>
      <c r="V32" s="342">
        <f t="shared" si="16"/>
        <v>0</v>
      </c>
      <c r="W32" s="849">
        <f t="shared" si="17"/>
        <v>0</v>
      </c>
      <c r="X32" s="320">
        <f t="shared" si="11"/>
        <v>1.6500000000000001</v>
      </c>
      <c r="Y32" s="342">
        <f t="shared" si="12"/>
        <v>678132969.03460848</v>
      </c>
    </row>
    <row r="33" spans="1:25" x14ac:dyDescent="0.6">
      <c r="A33" s="61">
        <f t="shared" si="18"/>
        <v>28</v>
      </c>
      <c r="B33" s="44" t="s">
        <v>32</v>
      </c>
      <c r="C33" s="290">
        <v>12469</v>
      </c>
      <c r="D33" s="345">
        <f>C33*Assumptions!$C$48</f>
        <v>94634183.363691568</v>
      </c>
      <c r="E33" s="399">
        <f>Assumptions!$H$9</f>
        <v>0.77382200000000001</v>
      </c>
      <c r="F33" s="33">
        <f>Assumptions!$C$54</f>
        <v>0.13175999999999999</v>
      </c>
      <c r="G33" s="297">
        <f>Assumptions!$C$63</f>
        <v>27.295999999999999</v>
      </c>
      <c r="H33" s="389"/>
      <c r="I33" s="1439">
        <f>Assumptions!$C$104</f>
        <v>1.5</v>
      </c>
      <c r="J33" s="452"/>
      <c r="K33" s="306">
        <f t="shared" si="5"/>
        <v>0</v>
      </c>
      <c r="L33" s="322">
        <f>Gasoline!K33</f>
        <v>0.1</v>
      </c>
      <c r="M33" s="320">
        <f t="shared" si="6"/>
        <v>0.15000000000000002</v>
      </c>
      <c r="N33" s="320">
        <f t="shared" si="7"/>
        <v>0</v>
      </c>
      <c r="O33" s="320">
        <f t="shared" si="8"/>
        <v>0.15000000000000002</v>
      </c>
      <c r="P33" s="847">
        <f t="shared" si="9"/>
        <v>14195127.504553737</v>
      </c>
      <c r="Q33" s="1053">
        <f t="shared" si="0"/>
        <v>0.15000000000000002</v>
      </c>
      <c r="R33" s="1047">
        <f t="shared" si="1"/>
        <v>14195127.504553737</v>
      </c>
      <c r="S33" s="310">
        <f t="shared" si="10"/>
        <v>0</v>
      </c>
      <c r="T33" s="366">
        <f t="shared" si="15"/>
        <v>0</v>
      </c>
      <c r="U33" s="336">
        <f>-'OECD NG subsidies'!C298</f>
        <v>-12584551</v>
      </c>
      <c r="V33" s="342">
        <f t="shared" si="16"/>
        <v>-9738202.4239220005</v>
      </c>
      <c r="W33" s="849">
        <f t="shared" si="17"/>
        <v>-9738202.4239220005</v>
      </c>
      <c r="X33" s="320">
        <f t="shared" si="11"/>
        <v>1.6500000000000001</v>
      </c>
      <c r="Y33" s="342">
        <f t="shared" si="12"/>
        <v>146408200.12616909</v>
      </c>
    </row>
    <row r="34" spans="1:25" ht="15.9" thickBot="1" x14ac:dyDescent="0.65">
      <c r="A34" s="62">
        <f t="shared" si="18"/>
        <v>29</v>
      </c>
      <c r="B34" s="47" t="s">
        <v>33</v>
      </c>
      <c r="C34" s="291">
        <v>25</v>
      </c>
      <c r="D34" s="347">
        <f>C34*Assumptions!$C$48</f>
        <v>189738.91924711599</v>
      </c>
      <c r="E34" s="417">
        <f>Assumptions!$H$10</f>
        <v>0.70460400000000001</v>
      </c>
      <c r="F34" s="36">
        <f>Assumptions!$C$54</f>
        <v>0.13175999999999999</v>
      </c>
      <c r="G34" s="299">
        <f>Assumptions!$C$63</f>
        <v>27.295999999999999</v>
      </c>
      <c r="H34" s="445"/>
      <c r="I34" s="1482">
        <f>Assumptions!$C$104</f>
        <v>1.5</v>
      </c>
      <c r="J34" s="453"/>
      <c r="K34" s="309">
        <f t="shared" si="5"/>
        <v>0</v>
      </c>
      <c r="L34" s="359">
        <f>Gasoline!K34</f>
        <v>0.15</v>
      </c>
      <c r="M34" s="321">
        <f t="shared" si="6"/>
        <v>0.22499999999999998</v>
      </c>
      <c r="N34" s="321">
        <f t="shared" si="7"/>
        <v>0</v>
      </c>
      <c r="O34" s="321">
        <f t="shared" si="8"/>
        <v>0.22499999999999998</v>
      </c>
      <c r="P34" s="848">
        <f t="shared" si="9"/>
        <v>42691.256830601094</v>
      </c>
      <c r="Q34" s="1054">
        <f t="shared" si="0"/>
        <v>0.22499999999999998</v>
      </c>
      <c r="R34" s="1048">
        <f t="shared" si="1"/>
        <v>42691.256830601094</v>
      </c>
      <c r="S34" s="312">
        <f t="shared" si="10"/>
        <v>0</v>
      </c>
      <c r="T34" s="368">
        <f t="shared" si="15"/>
        <v>0</v>
      </c>
      <c r="U34" s="340">
        <f>-'OECD NG subsidies'!C330</f>
        <v>0</v>
      </c>
      <c r="V34" s="344">
        <f t="shared" si="16"/>
        <v>0</v>
      </c>
      <c r="W34" s="851">
        <f t="shared" si="17"/>
        <v>0</v>
      </c>
      <c r="X34" s="321">
        <f t="shared" si="11"/>
        <v>1.7249999999999999</v>
      </c>
      <c r="Y34" s="344">
        <f t="shared" si="12"/>
        <v>327299.63570127508</v>
      </c>
    </row>
    <row r="35" spans="1:25" ht="15.9" thickTop="1" x14ac:dyDescent="0.6">
      <c r="A35" s="49" t="s">
        <v>78</v>
      </c>
      <c r="B35" s="50"/>
      <c r="C35" s="290"/>
      <c r="D35" s="345"/>
      <c r="E35" s="391"/>
      <c r="F35" s="33"/>
      <c r="G35" s="297"/>
      <c r="H35" s="295"/>
      <c r="I35" s="1439"/>
      <c r="J35" s="463"/>
      <c r="K35" s="306"/>
      <c r="L35" s="322"/>
      <c r="M35" s="320">
        <f t="shared" si="6"/>
        <v>0</v>
      </c>
      <c r="N35" s="320">
        <f t="shared" si="7"/>
        <v>0</v>
      </c>
      <c r="O35" s="320">
        <f t="shared" si="8"/>
        <v>0</v>
      </c>
      <c r="P35" s="847">
        <f t="shared" si="9"/>
        <v>0</v>
      </c>
      <c r="Q35" s="1053"/>
      <c r="R35" s="1047"/>
      <c r="S35" s="310"/>
      <c r="T35" s="366"/>
      <c r="U35" s="336"/>
      <c r="V35" s="342"/>
      <c r="W35" s="849"/>
      <c r="X35" s="320"/>
      <c r="Y35" s="342"/>
    </row>
    <row r="36" spans="1:25" x14ac:dyDescent="0.6">
      <c r="A36" s="61">
        <f>A34+1</f>
        <v>30</v>
      </c>
      <c r="B36" s="50" t="s">
        <v>46</v>
      </c>
      <c r="C36" s="290">
        <v>772549</v>
      </c>
      <c r="D36" s="348">
        <f>C36*Assumptions!$C$48</f>
        <v>5863304493.0176086</v>
      </c>
      <c r="E36" s="399">
        <f>Assumptions!$H$11</f>
        <v>0.152529</v>
      </c>
      <c r="F36" s="33">
        <f>Assumptions!$C$54</f>
        <v>0.13175999999999999</v>
      </c>
      <c r="G36" s="297">
        <f>Assumptions!$C$63</f>
        <v>27.295999999999999</v>
      </c>
      <c r="H36" s="1396"/>
      <c r="I36" s="1439">
        <f>Assumptions!$C$104</f>
        <v>1.5</v>
      </c>
      <c r="J36" s="463"/>
      <c r="K36" s="306">
        <f t="shared" si="5"/>
        <v>0</v>
      </c>
      <c r="L36" s="322">
        <f>Gasoline!K36</f>
        <v>0.17</v>
      </c>
      <c r="M36" s="320">
        <f t="shared" si="6"/>
        <v>0.255</v>
      </c>
      <c r="N36" s="320">
        <f t="shared" si="7"/>
        <v>0</v>
      </c>
      <c r="O36" s="320">
        <f t="shared" si="8"/>
        <v>0.255</v>
      </c>
      <c r="P36" s="847">
        <f t="shared" si="9"/>
        <v>1495142645.7194903</v>
      </c>
      <c r="Q36" s="1053">
        <f t="shared" si="0"/>
        <v>0.255</v>
      </c>
      <c r="R36" s="1047">
        <f t="shared" si="1"/>
        <v>1495142645.7194903</v>
      </c>
      <c r="S36" s="310">
        <f t="shared" si="10"/>
        <v>0</v>
      </c>
      <c r="T36" s="366">
        <f>D36*S36</f>
        <v>0</v>
      </c>
      <c r="U36" s="336">
        <f>-'OECD NG subsidies'!C333</f>
        <v>0</v>
      </c>
      <c r="V36" s="342">
        <f>U36*E36</f>
        <v>0</v>
      </c>
      <c r="W36" s="849">
        <f>T36+V36</f>
        <v>0</v>
      </c>
      <c r="X36" s="320">
        <f t="shared" si="11"/>
        <v>1.7549999999999999</v>
      </c>
      <c r="Y36" s="342">
        <f t="shared" si="12"/>
        <v>10290099385.245903</v>
      </c>
    </row>
    <row r="37" spans="1:25" x14ac:dyDescent="0.6">
      <c r="A37" s="46">
        <f>A36+1</f>
        <v>31</v>
      </c>
      <c r="B37" s="50" t="s">
        <v>49</v>
      </c>
      <c r="C37" s="290">
        <v>107341</v>
      </c>
      <c r="D37" s="348">
        <f>C37*Assumptions!$C$48</f>
        <v>814670613.2361871</v>
      </c>
      <c r="E37" s="399">
        <f>Assumptions!$H$12</f>
        <v>1.5587E-2</v>
      </c>
      <c r="F37" s="33">
        <f>Assumptions!$C$54</f>
        <v>0.13175999999999999</v>
      </c>
      <c r="G37" s="297">
        <f>Assumptions!$C$63</f>
        <v>27.295999999999999</v>
      </c>
      <c r="H37" s="295"/>
      <c r="I37" s="1439">
        <f>Assumptions!$C$104</f>
        <v>1.5</v>
      </c>
      <c r="J37" s="463"/>
      <c r="K37" s="306">
        <f t="shared" si="5"/>
        <v>0</v>
      </c>
      <c r="L37" s="322">
        <f>Gasoline!K37</f>
        <v>0.25</v>
      </c>
      <c r="M37" s="320">
        <f t="shared" si="6"/>
        <v>0.375</v>
      </c>
      <c r="N37" s="320">
        <f t="shared" si="7"/>
        <v>0</v>
      </c>
      <c r="O37" s="320">
        <f t="shared" si="8"/>
        <v>0.375</v>
      </c>
      <c r="P37" s="847">
        <f t="shared" si="9"/>
        <v>305501479.96357018</v>
      </c>
      <c r="Q37" s="1053">
        <f t="shared" si="0"/>
        <v>0.375</v>
      </c>
      <c r="R37" s="1047">
        <f t="shared" si="1"/>
        <v>305501479.96357018</v>
      </c>
      <c r="S37" s="310">
        <f t="shared" si="10"/>
        <v>0</v>
      </c>
      <c r="T37" s="366">
        <f>D37*S37</f>
        <v>0</v>
      </c>
      <c r="U37" s="336">
        <f>-'OECD NG subsidies'!C342</f>
        <v>0</v>
      </c>
      <c r="V37" s="342">
        <f>U37*E37</f>
        <v>0</v>
      </c>
      <c r="W37" s="849">
        <f>T37+V37</f>
        <v>0</v>
      </c>
      <c r="X37" s="320">
        <f t="shared" si="11"/>
        <v>1.875</v>
      </c>
      <c r="Y37" s="342">
        <f t="shared" si="12"/>
        <v>1527507399.8178508</v>
      </c>
    </row>
    <row r="38" spans="1:25" x14ac:dyDescent="0.6">
      <c r="A38" s="46">
        <f>A37+1</f>
        <v>32</v>
      </c>
      <c r="B38" s="44" t="s">
        <v>50</v>
      </c>
      <c r="C38" s="290">
        <v>102440</v>
      </c>
      <c r="D38" s="348">
        <f>C38*Assumptions!$C$48</f>
        <v>777474195.50698245</v>
      </c>
      <c r="E38" s="399">
        <f>Assumptions!$H$13</f>
        <v>0.30204900000000001</v>
      </c>
      <c r="F38" s="33">
        <f>Assumptions!$C$54</f>
        <v>0.13175999999999999</v>
      </c>
      <c r="G38" s="297">
        <f>Assumptions!$C$63</f>
        <v>27.295999999999999</v>
      </c>
      <c r="H38" s="293"/>
      <c r="I38" s="1439">
        <f>Assumptions!$C$104</f>
        <v>1.5</v>
      </c>
      <c r="J38" s="84"/>
      <c r="K38" s="306">
        <f t="shared" si="5"/>
        <v>0</v>
      </c>
      <c r="L38" s="322">
        <f>Gasoline!K38</f>
        <v>0.19</v>
      </c>
      <c r="M38" s="320">
        <f t="shared" si="6"/>
        <v>0.28500000000000003</v>
      </c>
      <c r="N38" s="320">
        <f t="shared" si="7"/>
        <v>0</v>
      </c>
      <c r="O38" s="320">
        <f t="shared" si="8"/>
        <v>0.28500000000000003</v>
      </c>
      <c r="P38" s="847">
        <f t="shared" si="9"/>
        <v>221580145.71949002</v>
      </c>
      <c r="Q38" s="1053">
        <f t="shared" si="0"/>
        <v>0.28500000000000003</v>
      </c>
      <c r="R38" s="1047">
        <f t="shared" si="1"/>
        <v>221580145.71949002</v>
      </c>
      <c r="S38" s="310">
        <f t="shared" si="10"/>
        <v>0</v>
      </c>
      <c r="T38" s="366">
        <f>D38*S38</f>
        <v>0</v>
      </c>
      <c r="U38" s="336">
        <f>-'OECD NG subsidies'!C346</f>
        <v>0</v>
      </c>
      <c r="V38" s="342">
        <f>U38*E38</f>
        <v>0</v>
      </c>
      <c r="W38" s="849">
        <f>T38+V38</f>
        <v>0</v>
      </c>
      <c r="X38" s="320">
        <f t="shared" si="11"/>
        <v>1.7849999999999999</v>
      </c>
      <c r="Y38" s="342">
        <f t="shared" si="12"/>
        <v>1387791438.9799635</v>
      </c>
    </row>
    <row r="39" spans="1:25" ht="15.9" thickBot="1" x14ac:dyDescent="0.65">
      <c r="A39" s="15">
        <f>A38+1</f>
        <v>33</v>
      </c>
      <c r="B39" s="47" t="s">
        <v>51</v>
      </c>
      <c r="C39" s="291">
        <v>1266186</v>
      </c>
      <c r="D39" s="349">
        <f>C39*Assumptions!$C$48</f>
        <v>9609790528.2331524</v>
      </c>
      <c r="E39" s="417">
        <f>Assumptions!$H$14</f>
        <v>1.7344999999999999E-2</v>
      </c>
      <c r="F39" s="36">
        <f>Assumptions!$C$54</f>
        <v>0.13175999999999999</v>
      </c>
      <c r="G39" s="299">
        <f>Assumptions!$C$63</f>
        <v>27.295999999999999</v>
      </c>
      <c r="H39" s="577"/>
      <c r="I39" s="1482">
        <f>Assumptions!$C$104</f>
        <v>1.5</v>
      </c>
      <c r="J39" s="221"/>
      <c r="K39" s="309">
        <f>J39/Assumptions!$C$53*F39*E39</f>
        <v>0</v>
      </c>
      <c r="L39" s="359">
        <f>Gasoline!K39</f>
        <v>0.18</v>
      </c>
      <c r="M39" s="321">
        <f t="shared" si="6"/>
        <v>0.27</v>
      </c>
      <c r="N39" s="321">
        <f t="shared" si="7"/>
        <v>0</v>
      </c>
      <c r="O39" s="321">
        <f t="shared" si="8"/>
        <v>0.27</v>
      </c>
      <c r="P39" s="848">
        <f t="shared" si="9"/>
        <v>2594643442.6229515</v>
      </c>
      <c r="Q39" s="1054">
        <f t="shared" si="0"/>
        <v>0.27</v>
      </c>
      <c r="R39" s="1048">
        <f t="shared" si="1"/>
        <v>2594643442.6229515</v>
      </c>
      <c r="S39" s="312">
        <f t="shared" si="10"/>
        <v>0</v>
      </c>
      <c r="T39" s="368">
        <f>D39*S39</f>
        <v>0</v>
      </c>
      <c r="U39" s="340">
        <f>-'OECD NG subsidies'!C351</f>
        <v>0</v>
      </c>
      <c r="V39" s="344">
        <f>U39*E39</f>
        <v>0</v>
      </c>
      <c r="W39" s="851">
        <f>T39+V39</f>
        <v>0</v>
      </c>
      <c r="X39" s="321">
        <f t="shared" si="11"/>
        <v>1.77</v>
      </c>
      <c r="Y39" s="344">
        <f t="shared" si="12"/>
        <v>17009329234.972679</v>
      </c>
    </row>
    <row r="40" spans="1:25" ht="15.9" thickTop="1" x14ac:dyDescent="0.6">
      <c r="A40" s="48" t="s">
        <v>52</v>
      </c>
      <c r="B40" s="44"/>
      <c r="C40" s="290"/>
      <c r="D40" s="348"/>
      <c r="E40" s="391"/>
      <c r="F40" s="33"/>
      <c r="G40" s="297"/>
      <c r="H40" s="383"/>
      <c r="I40" s="973"/>
      <c r="J40" s="665"/>
      <c r="K40" s="978"/>
      <c r="L40" s="322"/>
      <c r="M40" s="320"/>
      <c r="N40" s="320"/>
      <c r="O40" s="320"/>
      <c r="P40" s="847"/>
      <c r="Q40" s="1046"/>
      <c r="R40" s="1047"/>
      <c r="S40" s="395"/>
      <c r="T40" s="396"/>
      <c r="U40" s="542"/>
      <c r="V40" s="543"/>
      <c r="W40" s="398"/>
      <c r="X40" s="547"/>
      <c r="Y40" s="548"/>
    </row>
    <row r="41" spans="1:25" x14ac:dyDescent="0.6">
      <c r="A41" s="46">
        <f>A39+1</f>
        <v>34</v>
      </c>
      <c r="B41" s="44" t="s">
        <v>48</v>
      </c>
      <c r="C41" s="290">
        <v>770</v>
      </c>
      <c r="D41" s="348">
        <f>C41*Assumptions!$C$48</f>
        <v>5843958.7128111729</v>
      </c>
      <c r="E41" s="399">
        <f>Assumptions!$H$25</f>
        <v>5.0333999999999997E-2</v>
      </c>
      <c r="F41" s="33">
        <f>Assumptions!$C$54</f>
        <v>0.13175999999999999</v>
      </c>
      <c r="G41" s="297">
        <f>Assumptions!$C$63</f>
        <v>27.295999999999999</v>
      </c>
      <c r="H41" s="389"/>
      <c r="I41" s="1439">
        <f>Assumptions!$C$104</f>
        <v>1.5</v>
      </c>
      <c r="J41" s="667"/>
      <c r="K41" s="978">
        <f t="shared" ref="K41:K65" si="19">J41*E41*F41</f>
        <v>0</v>
      </c>
      <c r="L41" s="322"/>
      <c r="M41" s="329">
        <f>L41*I41</f>
        <v>0</v>
      </c>
      <c r="N41" s="320"/>
      <c r="O41" s="320">
        <f>N41+M41</f>
        <v>0</v>
      </c>
      <c r="P41" s="314">
        <f>M41*D41</f>
        <v>0</v>
      </c>
      <c r="Q41" s="1053">
        <f t="shared" si="0"/>
        <v>0</v>
      </c>
      <c r="R41" s="1047">
        <f t="shared" si="1"/>
        <v>0</v>
      </c>
      <c r="S41" s="395"/>
      <c r="T41" s="396">
        <f t="shared" ref="T41:T65" si="20">D41*S41</f>
        <v>0</v>
      </c>
      <c r="U41" s="336"/>
      <c r="V41" s="342"/>
      <c r="X41" s="549">
        <f t="shared" si="11"/>
        <v>1.5</v>
      </c>
      <c r="Y41" s="342">
        <f>X41*D41</f>
        <v>8765938.0692167599</v>
      </c>
    </row>
    <row r="42" spans="1:25" x14ac:dyDescent="0.6">
      <c r="A42" s="46">
        <f>A41+1</f>
        <v>35</v>
      </c>
      <c r="B42" s="44" t="s">
        <v>53</v>
      </c>
      <c r="C42" s="290">
        <v>28219</v>
      </c>
      <c r="D42" s="348">
        <f>C42*Assumptions!$C$48</f>
        <v>214169702.48937464</v>
      </c>
      <c r="E42" s="391"/>
      <c r="F42" s="33">
        <f>Assumptions!$C$54</f>
        <v>0.13175999999999999</v>
      </c>
      <c r="G42" s="297">
        <f>Assumptions!$C$63</f>
        <v>27.295999999999999</v>
      </c>
      <c r="H42" s="383"/>
      <c r="I42" s="1439">
        <f>Assumptions!$C$104</f>
        <v>1.5</v>
      </c>
      <c r="J42" s="667"/>
      <c r="K42" s="978">
        <f t="shared" si="19"/>
        <v>0</v>
      </c>
      <c r="L42" s="322"/>
      <c r="M42" s="329">
        <f>L42*I42</f>
        <v>0</v>
      </c>
      <c r="N42" s="320"/>
      <c r="O42" s="320">
        <f>N42+M42</f>
        <v>0</v>
      </c>
      <c r="P42" s="314">
        <f t="shared" ref="P42:P65" si="21">M42*D42</f>
        <v>0</v>
      </c>
      <c r="Q42" s="1046"/>
      <c r="R42" s="1047">
        <f t="shared" si="1"/>
        <v>0</v>
      </c>
      <c r="S42" s="395"/>
      <c r="T42" s="394">
        <f t="shared" si="20"/>
        <v>0</v>
      </c>
      <c r="U42" s="336"/>
      <c r="V42" s="342"/>
      <c r="X42" s="549">
        <f t="shared" si="11"/>
        <v>1.5</v>
      </c>
      <c r="Y42" s="342">
        <f t="shared" ref="Y42:Y65" si="22">X42*D42</f>
        <v>321254553.73406196</v>
      </c>
    </row>
    <row r="43" spans="1:25" x14ac:dyDescent="0.6">
      <c r="A43" s="46">
        <f t="shared" ref="A43:A65" si="23">A42+1</f>
        <v>36</v>
      </c>
      <c r="B43" s="44" t="s">
        <v>54</v>
      </c>
      <c r="C43" s="290">
        <v>0</v>
      </c>
      <c r="D43" s="348">
        <f>C43*Assumptions!$C$48</f>
        <v>0</v>
      </c>
      <c r="E43" s="391"/>
      <c r="F43" s="33">
        <f>Assumptions!$C$54</f>
        <v>0.13175999999999999</v>
      </c>
      <c r="G43" s="297">
        <f>Assumptions!$C$63</f>
        <v>27.295999999999999</v>
      </c>
      <c r="H43" s="383"/>
      <c r="I43" s="1439">
        <f>Assumptions!$C$104</f>
        <v>1.5</v>
      </c>
      <c r="J43" s="667"/>
      <c r="K43" s="979">
        <f t="shared" si="19"/>
        <v>0</v>
      </c>
      <c r="L43" s="322"/>
      <c r="M43" s="329">
        <f t="shared" ref="M43:M65" si="24">L43*I43</f>
        <v>0</v>
      </c>
      <c r="N43" s="320"/>
      <c r="O43" s="320">
        <f t="shared" ref="O43:O65" si="25">N43+M43</f>
        <v>0</v>
      </c>
      <c r="P43" s="314">
        <f t="shared" si="21"/>
        <v>0</v>
      </c>
      <c r="Q43" s="1046"/>
      <c r="R43" s="1047">
        <f t="shared" si="1"/>
        <v>0</v>
      </c>
      <c r="S43" s="395"/>
      <c r="T43" s="396">
        <f t="shared" si="20"/>
        <v>0</v>
      </c>
      <c r="U43" s="336"/>
      <c r="V43" s="342"/>
      <c r="X43" s="549">
        <f t="shared" si="11"/>
        <v>1.5</v>
      </c>
      <c r="Y43" s="342">
        <f t="shared" si="22"/>
        <v>0</v>
      </c>
    </row>
    <row r="44" spans="1:25" x14ac:dyDescent="0.6">
      <c r="A44" s="46">
        <f t="shared" si="23"/>
        <v>37</v>
      </c>
      <c r="B44" s="44" t="s">
        <v>55</v>
      </c>
      <c r="C44" s="290">
        <v>172</v>
      </c>
      <c r="D44" s="348">
        <f>C44*Assumptions!$C$48</f>
        <v>1305403.764420158</v>
      </c>
      <c r="E44" s="391"/>
      <c r="F44" s="33">
        <f>Assumptions!$C$54</f>
        <v>0.13175999999999999</v>
      </c>
      <c r="G44" s="297">
        <f>Assumptions!$C$63</f>
        <v>27.295999999999999</v>
      </c>
      <c r="H44" s="383"/>
      <c r="I44" s="1439">
        <f>Assumptions!$C$104</f>
        <v>1.5</v>
      </c>
      <c r="J44" s="667"/>
      <c r="K44" s="979">
        <f t="shared" si="19"/>
        <v>0</v>
      </c>
      <c r="L44" s="322"/>
      <c r="M44" s="329">
        <f t="shared" si="24"/>
        <v>0</v>
      </c>
      <c r="N44" s="320"/>
      <c r="O44" s="320">
        <f t="shared" si="25"/>
        <v>0</v>
      </c>
      <c r="P44" s="314">
        <f t="shared" si="21"/>
        <v>0</v>
      </c>
      <c r="Q44" s="1046"/>
      <c r="R44" s="1047">
        <f t="shared" si="1"/>
        <v>0</v>
      </c>
      <c r="S44" s="401"/>
      <c r="T44" s="396">
        <f t="shared" si="20"/>
        <v>0</v>
      </c>
      <c r="U44" s="336"/>
      <c r="V44" s="342"/>
      <c r="X44" s="549">
        <f t="shared" si="11"/>
        <v>1.5</v>
      </c>
      <c r="Y44" s="342">
        <f t="shared" si="22"/>
        <v>1958105.6466302369</v>
      </c>
    </row>
    <row r="45" spans="1:25" x14ac:dyDescent="0.6">
      <c r="A45" s="46">
        <f t="shared" si="23"/>
        <v>38</v>
      </c>
      <c r="B45" s="44" t="s">
        <v>56</v>
      </c>
      <c r="C45" s="290">
        <v>0</v>
      </c>
      <c r="D45" s="348">
        <f>C45*Assumptions!$C$48</f>
        <v>0</v>
      </c>
      <c r="E45" s="391"/>
      <c r="F45" s="33">
        <f>Assumptions!$C$54</f>
        <v>0.13175999999999999</v>
      </c>
      <c r="G45" s="297">
        <f>Assumptions!$C$63</f>
        <v>27.295999999999999</v>
      </c>
      <c r="H45" s="383"/>
      <c r="I45" s="1439">
        <f>Assumptions!$C$104</f>
        <v>1.5</v>
      </c>
      <c r="J45" s="667"/>
      <c r="K45" s="979">
        <f t="shared" si="19"/>
        <v>0</v>
      </c>
      <c r="L45" s="322"/>
      <c r="M45" s="329">
        <f t="shared" si="24"/>
        <v>0</v>
      </c>
      <c r="N45" s="320"/>
      <c r="O45" s="320">
        <f t="shared" si="25"/>
        <v>0</v>
      </c>
      <c r="P45" s="314">
        <f t="shared" si="21"/>
        <v>0</v>
      </c>
      <c r="Q45" s="1046"/>
      <c r="R45" s="1047">
        <f t="shared" si="1"/>
        <v>0</v>
      </c>
      <c r="S45" s="401"/>
      <c r="T45" s="396">
        <f t="shared" si="20"/>
        <v>0</v>
      </c>
      <c r="U45" s="336"/>
      <c r="V45" s="342"/>
      <c r="X45" s="549">
        <f t="shared" si="11"/>
        <v>1.5</v>
      </c>
      <c r="Y45" s="342">
        <f t="shared" si="22"/>
        <v>0</v>
      </c>
    </row>
    <row r="46" spans="1:25" x14ac:dyDescent="0.6">
      <c r="A46" s="46">
        <f t="shared" si="23"/>
        <v>39</v>
      </c>
      <c r="B46" s="44" t="s">
        <v>57</v>
      </c>
      <c r="C46" s="290">
        <v>0</v>
      </c>
      <c r="D46" s="348">
        <f>C46*Assumptions!$C$48</f>
        <v>0</v>
      </c>
      <c r="E46" s="391"/>
      <c r="F46" s="33">
        <f>Assumptions!$C$54</f>
        <v>0.13175999999999999</v>
      </c>
      <c r="G46" s="297">
        <f>Assumptions!$C$63</f>
        <v>27.295999999999999</v>
      </c>
      <c r="H46" s="383"/>
      <c r="I46" s="1439">
        <f>Assumptions!$C$104</f>
        <v>1.5</v>
      </c>
      <c r="J46" s="667"/>
      <c r="K46" s="980">
        <f t="shared" si="19"/>
        <v>0</v>
      </c>
      <c r="L46" s="322"/>
      <c r="M46" s="329">
        <f t="shared" si="24"/>
        <v>0</v>
      </c>
      <c r="N46" s="320"/>
      <c r="O46" s="320">
        <f t="shared" si="25"/>
        <v>0</v>
      </c>
      <c r="P46" s="314">
        <f t="shared" si="21"/>
        <v>0</v>
      </c>
      <c r="Q46" s="1046"/>
      <c r="R46" s="1047">
        <f t="shared" si="1"/>
        <v>0</v>
      </c>
      <c r="S46" s="401"/>
      <c r="T46" s="396">
        <f t="shared" si="20"/>
        <v>0</v>
      </c>
      <c r="U46" s="336"/>
      <c r="V46" s="342"/>
      <c r="X46" s="549">
        <f t="shared" si="11"/>
        <v>1.5</v>
      </c>
      <c r="Y46" s="342">
        <f t="shared" si="22"/>
        <v>0</v>
      </c>
    </row>
    <row r="47" spans="1:25" x14ac:dyDescent="0.6">
      <c r="A47" s="46">
        <f t="shared" si="23"/>
        <v>40</v>
      </c>
      <c r="B47" s="44" t="s">
        <v>58</v>
      </c>
      <c r="C47" s="290">
        <v>0</v>
      </c>
      <c r="D47" s="348">
        <f>C47*Assumptions!$C$48</f>
        <v>0</v>
      </c>
      <c r="E47" s="391"/>
      <c r="F47" s="33">
        <f>Assumptions!$C$54</f>
        <v>0.13175999999999999</v>
      </c>
      <c r="G47" s="297">
        <f>Assumptions!$C$63</f>
        <v>27.295999999999999</v>
      </c>
      <c r="H47" s="383"/>
      <c r="I47" s="1439">
        <f>Assumptions!$C$104</f>
        <v>1.5</v>
      </c>
      <c r="J47" s="667"/>
      <c r="K47" s="980">
        <f t="shared" si="19"/>
        <v>0</v>
      </c>
      <c r="L47" s="322"/>
      <c r="M47" s="329">
        <f t="shared" si="24"/>
        <v>0</v>
      </c>
      <c r="N47" s="320"/>
      <c r="O47" s="320">
        <f t="shared" si="25"/>
        <v>0</v>
      </c>
      <c r="P47" s="314">
        <f t="shared" si="21"/>
        <v>0</v>
      </c>
      <c r="Q47" s="1046"/>
      <c r="R47" s="1047">
        <f t="shared" si="1"/>
        <v>0</v>
      </c>
      <c r="S47" s="402"/>
      <c r="T47" s="403">
        <f t="shared" si="20"/>
        <v>0</v>
      </c>
      <c r="U47" s="336"/>
      <c r="V47" s="342"/>
      <c r="X47" s="549">
        <f t="shared" si="11"/>
        <v>1.5</v>
      </c>
      <c r="Y47" s="342">
        <f t="shared" si="22"/>
        <v>0</v>
      </c>
    </row>
    <row r="48" spans="1:25" x14ac:dyDescent="0.6">
      <c r="A48" s="46">
        <f t="shared" si="23"/>
        <v>41</v>
      </c>
      <c r="B48" s="44" t="s">
        <v>59</v>
      </c>
      <c r="C48" s="290">
        <v>14794</v>
      </c>
      <c r="D48" s="348">
        <f>C48*Assumptions!$C$48</f>
        <v>112279902.85367337</v>
      </c>
      <c r="E48" s="579">
        <f>Assumptions!$H$26</f>
        <v>0.13106999999999999</v>
      </c>
      <c r="F48" s="33">
        <f>Assumptions!$C$54</f>
        <v>0.13175999999999999</v>
      </c>
      <c r="G48" s="297">
        <f>Assumptions!$C$63</f>
        <v>27.295999999999999</v>
      </c>
      <c r="H48" s="383"/>
      <c r="I48" s="1439">
        <f>Assumptions!$C$104</f>
        <v>1.5</v>
      </c>
      <c r="J48" s="667"/>
      <c r="K48" s="980">
        <f t="shared" si="19"/>
        <v>0</v>
      </c>
      <c r="L48" s="322"/>
      <c r="M48" s="329">
        <f t="shared" si="24"/>
        <v>0</v>
      </c>
      <c r="N48" s="320"/>
      <c r="O48" s="320">
        <f t="shared" si="25"/>
        <v>0</v>
      </c>
      <c r="P48" s="314">
        <f t="shared" si="21"/>
        <v>0</v>
      </c>
      <c r="Q48" s="1046"/>
      <c r="R48" s="1047">
        <f t="shared" si="1"/>
        <v>0</v>
      </c>
      <c r="S48" s="402"/>
      <c r="T48" s="396">
        <f t="shared" si="20"/>
        <v>0</v>
      </c>
      <c r="U48" s="336"/>
      <c r="V48" s="342"/>
      <c r="X48" s="549">
        <f t="shared" si="11"/>
        <v>1.5</v>
      </c>
      <c r="Y48" s="342">
        <f t="shared" si="22"/>
        <v>168419854.28051007</v>
      </c>
    </row>
    <row r="49" spans="1:25" x14ac:dyDescent="0.6">
      <c r="A49" s="46">
        <f t="shared" si="23"/>
        <v>42</v>
      </c>
      <c r="B49" s="44" t="s">
        <v>60</v>
      </c>
      <c r="C49" s="290">
        <v>0</v>
      </c>
      <c r="D49" s="348">
        <f>C49*Assumptions!$C$48</f>
        <v>0</v>
      </c>
      <c r="E49" s="391"/>
      <c r="F49" s="33">
        <f>Assumptions!$C$54</f>
        <v>0.13175999999999999</v>
      </c>
      <c r="G49" s="297">
        <f>Assumptions!$C$63</f>
        <v>27.295999999999999</v>
      </c>
      <c r="H49" s="383"/>
      <c r="I49" s="1439">
        <f>Assumptions!$C$104</f>
        <v>1.5</v>
      </c>
      <c r="J49" s="667"/>
      <c r="K49" s="979">
        <f t="shared" si="19"/>
        <v>0</v>
      </c>
      <c r="L49" s="322">
        <f>Gasoline!K49</f>
        <v>0</v>
      </c>
      <c r="M49" s="329">
        <f t="shared" si="24"/>
        <v>0</v>
      </c>
      <c r="N49" s="320"/>
      <c r="O49" s="320">
        <f t="shared" si="25"/>
        <v>0</v>
      </c>
      <c r="P49" s="314">
        <f t="shared" si="21"/>
        <v>0</v>
      </c>
      <c r="Q49" s="1046"/>
      <c r="R49" s="1047">
        <f t="shared" si="1"/>
        <v>0</v>
      </c>
      <c r="S49" s="402"/>
      <c r="T49" s="396">
        <f t="shared" si="20"/>
        <v>0</v>
      </c>
      <c r="U49" s="336"/>
      <c r="V49" s="342"/>
      <c r="X49" s="549">
        <f t="shared" si="11"/>
        <v>1.5</v>
      </c>
      <c r="Y49" s="342">
        <f t="shared" si="22"/>
        <v>0</v>
      </c>
    </row>
    <row r="50" spans="1:25" x14ac:dyDescent="0.6">
      <c r="A50" s="46">
        <f t="shared" si="23"/>
        <v>43</v>
      </c>
      <c r="B50" s="44" t="s">
        <v>61</v>
      </c>
      <c r="C50" s="290">
        <v>1575</v>
      </c>
      <c r="D50" s="348">
        <f>C50*Assumptions!$C$48</f>
        <v>11953551.912568308</v>
      </c>
      <c r="E50" s="578">
        <f>Assumptions!$H$23</f>
        <v>7.3999999999999996E-5</v>
      </c>
      <c r="F50" s="33">
        <f>Assumptions!$C$54</f>
        <v>0.13175999999999999</v>
      </c>
      <c r="G50" s="297">
        <f>Assumptions!$C$63</f>
        <v>27.295999999999999</v>
      </c>
      <c r="H50" s="383"/>
      <c r="I50" s="1439">
        <f>Assumptions!$C$104</f>
        <v>1.5</v>
      </c>
      <c r="J50" s="667"/>
      <c r="K50" s="980">
        <f t="shared" si="19"/>
        <v>0</v>
      </c>
      <c r="L50" s="322">
        <f>Gasoline!K50</f>
        <v>0</v>
      </c>
      <c r="M50" s="329">
        <f t="shared" si="24"/>
        <v>0</v>
      </c>
      <c r="N50" s="320"/>
      <c r="O50" s="320">
        <f t="shared" si="25"/>
        <v>0</v>
      </c>
      <c r="P50" s="314">
        <f t="shared" si="21"/>
        <v>0</v>
      </c>
      <c r="Q50" s="1046"/>
      <c r="R50" s="1047">
        <f t="shared" si="1"/>
        <v>0</v>
      </c>
      <c r="S50" s="401"/>
      <c r="T50" s="396">
        <f t="shared" si="20"/>
        <v>0</v>
      </c>
      <c r="U50" s="336"/>
      <c r="V50" s="342"/>
      <c r="X50" s="549">
        <f t="shared" si="11"/>
        <v>1.5</v>
      </c>
      <c r="Y50" s="342">
        <f t="shared" si="22"/>
        <v>17930327.868852463</v>
      </c>
    </row>
    <row r="51" spans="1:25" x14ac:dyDescent="0.6">
      <c r="A51" s="46">
        <f t="shared" si="23"/>
        <v>44</v>
      </c>
      <c r="B51" s="44" t="s">
        <v>62</v>
      </c>
      <c r="C51" s="290">
        <v>0</v>
      </c>
      <c r="D51" s="348">
        <f>C51*Assumptions!$C$48</f>
        <v>0</v>
      </c>
      <c r="E51" s="391"/>
      <c r="F51" s="33">
        <f>Assumptions!$C$54</f>
        <v>0.13175999999999999</v>
      </c>
      <c r="G51" s="297">
        <f>Assumptions!$C$63</f>
        <v>27.295999999999999</v>
      </c>
      <c r="H51" s="383"/>
      <c r="I51" s="1439">
        <f>Assumptions!$C$104</f>
        <v>1.5</v>
      </c>
      <c r="J51" s="667"/>
      <c r="K51" s="980">
        <f t="shared" si="19"/>
        <v>0</v>
      </c>
      <c r="L51" s="322">
        <f>Gasoline!K51</f>
        <v>0</v>
      </c>
      <c r="M51" s="329">
        <f t="shared" si="24"/>
        <v>0</v>
      </c>
      <c r="N51" s="320"/>
      <c r="O51" s="320">
        <f t="shared" si="25"/>
        <v>0</v>
      </c>
      <c r="P51" s="314">
        <f t="shared" si="21"/>
        <v>0</v>
      </c>
      <c r="Q51" s="1046"/>
      <c r="R51" s="1047">
        <f t="shared" si="1"/>
        <v>0</v>
      </c>
      <c r="S51" s="402"/>
      <c r="T51" s="396">
        <f t="shared" si="20"/>
        <v>0</v>
      </c>
      <c r="U51" s="336"/>
      <c r="V51" s="342"/>
      <c r="X51" s="549">
        <f t="shared" si="11"/>
        <v>1.5</v>
      </c>
      <c r="Y51" s="342">
        <f t="shared" si="22"/>
        <v>0</v>
      </c>
    </row>
    <row r="52" spans="1:25" x14ac:dyDescent="0.6">
      <c r="A52" s="46">
        <f t="shared" si="23"/>
        <v>45</v>
      </c>
      <c r="B52" s="44" t="s">
        <v>63</v>
      </c>
      <c r="C52" s="290">
        <v>310132</v>
      </c>
      <c r="D52" s="348">
        <f>C52*Assumptions!$C$48</f>
        <v>2353764420.1578631</v>
      </c>
      <c r="E52" s="579">
        <f>Assumptions!$H$27</f>
        <v>2.8E-5</v>
      </c>
      <c r="F52" s="33">
        <f>Assumptions!$C$54</f>
        <v>0.13175999999999999</v>
      </c>
      <c r="G52" s="297">
        <f>Assumptions!$C$63</f>
        <v>27.295999999999999</v>
      </c>
      <c r="H52" s="383"/>
      <c r="I52" s="1439">
        <f>Assumptions!$C$104</f>
        <v>1.5</v>
      </c>
      <c r="J52" s="667"/>
      <c r="K52" s="980">
        <f t="shared" si="19"/>
        <v>0</v>
      </c>
      <c r="L52" s="322">
        <f>Gasoline!K52</f>
        <v>0</v>
      </c>
      <c r="M52" s="329">
        <f t="shared" si="24"/>
        <v>0</v>
      </c>
      <c r="N52" s="320"/>
      <c r="O52" s="320">
        <f t="shared" si="25"/>
        <v>0</v>
      </c>
      <c r="P52" s="314">
        <f t="shared" si="21"/>
        <v>0</v>
      </c>
      <c r="Q52" s="1046"/>
      <c r="R52" s="1047">
        <f t="shared" si="1"/>
        <v>0</v>
      </c>
      <c r="S52" s="402"/>
      <c r="T52" s="396">
        <f t="shared" si="20"/>
        <v>0</v>
      </c>
      <c r="U52" s="336"/>
      <c r="V52" s="342"/>
      <c r="X52" s="549">
        <f t="shared" si="11"/>
        <v>1.5</v>
      </c>
      <c r="Y52" s="342">
        <f t="shared" si="22"/>
        <v>3530646630.2367945</v>
      </c>
    </row>
    <row r="53" spans="1:25" x14ac:dyDescent="0.6">
      <c r="A53" s="46">
        <f t="shared" si="23"/>
        <v>46</v>
      </c>
      <c r="B53" s="44" t="s">
        <v>64</v>
      </c>
      <c r="C53" s="290">
        <v>0</v>
      </c>
      <c r="D53" s="348">
        <f>C53*Assumptions!$C$48</f>
        <v>0</v>
      </c>
      <c r="E53" s="391"/>
      <c r="F53" s="33">
        <f>Assumptions!$C$54</f>
        <v>0.13175999999999999</v>
      </c>
      <c r="G53" s="297">
        <f>Assumptions!$C$63</f>
        <v>27.295999999999999</v>
      </c>
      <c r="H53" s="383"/>
      <c r="I53" s="1439">
        <f>Assumptions!$C$104</f>
        <v>1.5</v>
      </c>
      <c r="J53" s="667"/>
      <c r="K53" s="980">
        <f t="shared" si="19"/>
        <v>0</v>
      </c>
      <c r="L53" s="322">
        <f>Gasoline!K53</f>
        <v>0</v>
      </c>
      <c r="M53" s="329">
        <f t="shared" si="24"/>
        <v>0</v>
      </c>
      <c r="N53" s="320"/>
      <c r="O53" s="320">
        <f t="shared" si="25"/>
        <v>0</v>
      </c>
      <c r="P53" s="314">
        <f t="shared" si="21"/>
        <v>0</v>
      </c>
      <c r="Q53" s="1046"/>
      <c r="R53" s="1047">
        <f t="shared" si="1"/>
        <v>0</v>
      </c>
      <c r="S53" s="402"/>
      <c r="T53" s="396">
        <f t="shared" si="20"/>
        <v>0</v>
      </c>
      <c r="U53" s="336"/>
      <c r="V53" s="342"/>
      <c r="X53" s="549">
        <f t="shared" si="11"/>
        <v>1.5</v>
      </c>
      <c r="Y53" s="342">
        <f t="shared" si="22"/>
        <v>0</v>
      </c>
    </row>
    <row r="54" spans="1:25" x14ac:dyDescent="0.6">
      <c r="A54" s="46">
        <f t="shared" si="23"/>
        <v>47</v>
      </c>
      <c r="B54" s="44" t="s">
        <v>65</v>
      </c>
      <c r="C54" s="290">
        <v>0</v>
      </c>
      <c r="D54" s="348">
        <f>C54*Assumptions!$C$48</f>
        <v>0</v>
      </c>
      <c r="E54" s="391"/>
      <c r="F54" s="33">
        <f>Assumptions!$C$54</f>
        <v>0.13175999999999999</v>
      </c>
      <c r="G54" s="297">
        <f>Assumptions!$C$63</f>
        <v>27.295999999999999</v>
      </c>
      <c r="H54" s="383"/>
      <c r="I54" s="1439">
        <f>Assumptions!$C$104</f>
        <v>1.5</v>
      </c>
      <c r="J54" s="667"/>
      <c r="K54" s="980">
        <f t="shared" si="19"/>
        <v>0</v>
      </c>
      <c r="L54" s="322">
        <f>Gasoline!K54</f>
        <v>0</v>
      </c>
      <c r="M54" s="329">
        <f t="shared" si="24"/>
        <v>0</v>
      </c>
      <c r="N54" s="320"/>
      <c r="O54" s="320">
        <f t="shared" si="25"/>
        <v>0</v>
      </c>
      <c r="P54" s="314">
        <f t="shared" si="21"/>
        <v>0</v>
      </c>
      <c r="Q54" s="1046"/>
      <c r="R54" s="1047">
        <f t="shared" si="1"/>
        <v>0</v>
      </c>
      <c r="S54" s="402"/>
      <c r="T54" s="396">
        <f t="shared" si="20"/>
        <v>0</v>
      </c>
      <c r="U54" s="336"/>
      <c r="V54" s="544"/>
      <c r="W54" s="83"/>
      <c r="X54" s="549">
        <f t="shared" si="11"/>
        <v>1.5</v>
      </c>
      <c r="Y54" s="342">
        <f t="shared" si="22"/>
        <v>0</v>
      </c>
    </row>
    <row r="55" spans="1:25" x14ac:dyDescent="0.6">
      <c r="A55" s="46">
        <f t="shared" si="23"/>
        <v>48</v>
      </c>
      <c r="B55" s="44" t="s">
        <v>66</v>
      </c>
      <c r="C55" s="290">
        <v>0</v>
      </c>
      <c r="D55" s="348">
        <f>C55*Assumptions!$C$48</f>
        <v>0</v>
      </c>
      <c r="E55" s="391"/>
      <c r="F55" s="33">
        <f>Assumptions!$C$54</f>
        <v>0.13175999999999999</v>
      </c>
      <c r="G55" s="297">
        <f>Assumptions!$C$63</f>
        <v>27.295999999999999</v>
      </c>
      <c r="H55" s="383"/>
      <c r="I55" s="1439">
        <f>Assumptions!$C$104</f>
        <v>1.5</v>
      </c>
      <c r="J55" s="667"/>
      <c r="K55" s="980">
        <f t="shared" si="19"/>
        <v>0</v>
      </c>
      <c r="L55" s="322">
        <f>Gasoline!K55</f>
        <v>0</v>
      </c>
      <c r="M55" s="329">
        <f t="shared" si="24"/>
        <v>0</v>
      </c>
      <c r="N55" s="320"/>
      <c r="O55" s="320">
        <f t="shared" si="25"/>
        <v>0</v>
      </c>
      <c r="P55" s="314">
        <f t="shared" si="21"/>
        <v>0</v>
      </c>
      <c r="Q55" s="1046"/>
      <c r="R55" s="1047">
        <f t="shared" si="1"/>
        <v>0</v>
      </c>
      <c r="S55" s="402"/>
      <c r="T55" s="396">
        <f t="shared" si="20"/>
        <v>0</v>
      </c>
      <c r="U55" s="336"/>
      <c r="V55" s="544"/>
      <c r="W55" s="83"/>
      <c r="X55" s="549">
        <f t="shared" si="11"/>
        <v>1.5</v>
      </c>
      <c r="Y55" s="342">
        <f t="shared" si="22"/>
        <v>0</v>
      </c>
    </row>
    <row r="56" spans="1:25" x14ac:dyDescent="0.6">
      <c r="A56" s="46">
        <f t="shared" si="23"/>
        <v>49</v>
      </c>
      <c r="B56" s="44" t="s">
        <v>67</v>
      </c>
      <c r="C56" s="290">
        <v>12270</v>
      </c>
      <c r="D56" s="348">
        <f>C56*Assumptions!$C$48</f>
        <v>93123861.566484526</v>
      </c>
      <c r="E56" s="579">
        <f>Assumptions!$H$28</f>
        <v>0.244814</v>
      </c>
      <c r="F56" s="33">
        <f>Assumptions!$C$54</f>
        <v>0.13175999999999999</v>
      </c>
      <c r="G56" s="297">
        <f>Assumptions!$C$63</f>
        <v>27.295999999999999</v>
      </c>
      <c r="H56" s="383"/>
      <c r="I56" s="1439">
        <f>Assumptions!$C$104</f>
        <v>1.5</v>
      </c>
      <c r="J56" s="667"/>
      <c r="K56" s="980">
        <f t="shared" si="19"/>
        <v>0</v>
      </c>
      <c r="L56" s="322">
        <f>Gasoline!K56</f>
        <v>0</v>
      </c>
      <c r="M56" s="329">
        <f t="shared" si="24"/>
        <v>0</v>
      </c>
      <c r="N56" s="320"/>
      <c r="O56" s="320">
        <f t="shared" si="25"/>
        <v>0</v>
      </c>
      <c r="P56" s="314">
        <f t="shared" si="21"/>
        <v>0</v>
      </c>
      <c r="Q56" s="1046"/>
      <c r="R56" s="1047">
        <f t="shared" si="1"/>
        <v>0</v>
      </c>
      <c r="S56" s="402"/>
      <c r="T56" s="396">
        <f t="shared" si="20"/>
        <v>0</v>
      </c>
      <c r="U56" s="336"/>
      <c r="V56" s="544"/>
      <c r="W56" s="83"/>
      <c r="X56" s="549">
        <f t="shared" si="11"/>
        <v>1.5</v>
      </c>
      <c r="Y56" s="342">
        <f t="shared" si="22"/>
        <v>139685792.3497268</v>
      </c>
    </row>
    <row r="57" spans="1:25" x14ac:dyDescent="0.6">
      <c r="A57" s="46">
        <f t="shared" si="23"/>
        <v>50</v>
      </c>
      <c r="B57" s="44" t="s">
        <v>68</v>
      </c>
      <c r="C57" s="290">
        <v>0</v>
      </c>
      <c r="D57" s="348">
        <f>C57*Assumptions!$C$48</f>
        <v>0</v>
      </c>
      <c r="E57" s="391"/>
      <c r="F57" s="33">
        <f>Assumptions!$C$54</f>
        <v>0.13175999999999999</v>
      </c>
      <c r="G57" s="297">
        <f>Assumptions!$C$63</f>
        <v>27.295999999999999</v>
      </c>
      <c r="H57" s="383"/>
      <c r="I57" s="1439">
        <f>Assumptions!$C$104</f>
        <v>1.5</v>
      </c>
      <c r="J57" s="667"/>
      <c r="K57" s="980">
        <f t="shared" si="19"/>
        <v>0</v>
      </c>
      <c r="L57" s="322">
        <f>Gasoline!K57</f>
        <v>0</v>
      </c>
      <c r="M57" s="329">
        <f t="shared" si="24"/>
        <v>0</v>
      </c>
      <c r="N57" s="320"/>
      <c r="O57" s="320">
        <f t="shared" si="25"/>
        <v>0</v>
      </c>
      <c r="P57" s="314">
        <f t="shared" si="21"/>
        <v>0</v>
      </c>
      <c r="Q57" s="1046"/>
      <c r="R57" s="1047">
        <f t="shared" si="1"/>
        <v>0</v>
      </c>
      <c r="S57" s="402"/>
      <c r="T57" s="396">
        <f t="shared" si="20"/>
        <v>0</v>
      </c>
      <c r="U57" s="336"/>
      <c r="V57" s="544"/>
      <c r="W57" s="83"/>
      <c r="X57" s="549">
        <f t="shared" si="11"/>
        <v>1.5</v>
      </c>
      <c r="Y57" s="342">
        <f t="shared" si="22"/>
        <v>0</v>
      </c>
    </row>
    <row r="58" spans="1:25" x14ac:dyDescent="0.6">
      <c r="A58" s="46">
        <f t="shared" si="23"/>
        <v>51</v>
      </c>
      <c r="B58" s="44" t="s">
        <v>695</v>
      </c>
      <c r="C58" s="290">
        <v>0</v>
      </c>
      <c r="D58" s="348">
        <f>C58*Assumptions!$C$48</f>
        <v>0</v>
      </c>
      <c r="E58" s="391"/>
      <c r="F58" s="33">
        <f>Assumptions!$C$54</f>
        <v>0.13175999999999999</v>
      </c>
      <c r="G58" s="297">
        <f>Assumptions!$C$63</f>
        <v>27.295999999999999</v>
      </c>
      <c r="H58" s="383"/>
      <c r="I58" s="1439">
        <f>Assumptions!$C$104</f>
        <v>1.5</v>
      </c>
      <c r="J58" s="667"/>
      <c r="K58" s="980"/>
      <c r="L58" s="322">
        <f>Gasoline!K58</f>
        <v>0</v>
      </c>
      <c r="M58" s="329">
        <f t="shared" si="24"/>
        <v>0</v>
      </c>
      <c r="N58" s="320"/>
      <c r="O58" s="320">
        <f t="shared" si="25"/>
        <v>0</v>
      </c>
      <c r="P58" s="314">
        <f t="shared" si="21"/>
        <v>0</v>
      </c>
      <c r="Q58" s="1046"/>
      <c r="R58" s="1047">
        <f t="shared" si="1"/>
        <v>0</v>
      </c>
      <c r="S58" s="402"/>
      <c r="T58" s="396"/>
      <c r="U58" s="336"/>
      <c r="V58" s="544"/>
      <c r="W58" s="83"/>
      <c r="X58" s="549">
        <f t="shared" si="11"/>
        <v>1.5</v>
      </c>
      <c r="Y58" s="342">
        <f t="shared" si="22"/>
        <v>0</v>
      </c>
    </row>
    <row r="59" spans="1:25" x14ac:dyDescent="0.6">
      <c r="A59" s="46">
        <f t="shared" si="23"/>
        <v>52</v>
      </c>
      <c r="B59" s="44" t="s">
        <v>69</v>
      </c>
      <c r="C59" s="290">
        <v>0</v>
      </c>
      <c r="D59" s="348">
        <f>C59*Assumptions!$C$48</f>
        <v>0</v>
      </c>
      <c r="E59" s="391"/>
      <c r="F59" s="33">
        <f>Assumptions!$C$54</f>
        <v>0.13175999999999999</v>
      </c>
      <c r="G59" s="297">
        <f>Assumptions!$C$63</f>
        <v>27.295999999999999</v>
      </c>
      <c r="H59" s="383"/>
      <c r="I59" s="1439">
        <f>Assumptions!$C$104</f>
        <v>1.5</v>
      </c>
      <c r="J59" s="667"/>
      <c r="K59" s="980">
        <f t="shared" si="19"/>
        <v>0</v>
      </c>
      <c r="L59" s="322">
        <f>Gasoline!K59</f>
        <v>0</v>
      </c>
      <c r="M59" s="329">
        <f t="shared" si="24"/>
        <v>0</v>
      </c>
      <c r="N59" s="320"/>
      <c r="O59" s="320">
        <f t="shared" si="25"/>
        <v>0</v>
      </c>
      <c r="P59" s="314">
        <f t="shared" si="21"/>
        <v>0</v>
      </c>
      <c r="Q59" s="1046"/>
      <c r="R59" s="1047">
        <f t="shared" si="1"/>
        <v>0</v>
      </c>
      <c r="S59" s="402"/>
      <c r="T59" s="396">
        <f t="shared" si="20"/>
        <v>0</v>
      </c>
      <c r="U59" s="336"/>
      <c r="V59" s="544"/>
      <c r="W59" s="83"/>
      <c r="X59" s="549">
        <f t="shared" si="11"/>
        <v>1.5</v>
      </c>
      <c r="Y59" s="342">
        <f t="shared" si="22"/>
        <v>0</v>
      </c>
    </row>
    <row r="60" spans="1:25" x14ac:dyDescent="0.6">
      <c r="A60" s="46">
        <f t="shared" si="23"/>
        <v>53</v>
      </c>
      <c r="B60" s="44" t="s">
        <v>70</v>
      </c>
      <c r="C60" s="290">
        <v>0</v>
      </c>
      <c r="D60" s="348">
        <f>C60*Assumptions!$C$48</f>
        <v>0</v>
      </c>
      <c r="E60" s="579">
        <f>Assumptions!$H$24</f>
        <v>0.26666699999999999</v>
      </c>
      <c r="F60" s="33">
        <f>Assumptions!$C$54</f>
        <v>0.13175999999999999</v>
      </c>
      <c r="G60" s="297">
        <f>Assumptions!$C$63</f>
        <v>27.295999999999999</v>
      </c>
      <c r="H60" s="383"/>
      <c r="I60" s="1439">
        <f>Assumptions!$C$104</f>
        <v>1.5</v>
      </c>
      <c r="J60" s="667"/>
      <c r="K60" s="980">
        <f t="shared" si="19"/>
        <v>0</v>
      </c>
      <c r="L60" s="322">
        <f>Gasoline!K60</f>
        <v>0</v>
      </c>
      <c r="M60" s="329">
        <f t="shared" si="24"/>
        <v>0</v>
      </c>
      <c r="N60" s="320"/>
      <c r="O60" s="320">
        <f t="shared" si="25"/>
        <v>0</v>
      </c>
      <c r="P60" s="314">
        <f t="shared" si="21"/>
        <v>0</v>
      </c>
      <c r="Q60" s="1046"/>
      <c r="R60" s="1047">
        <f t="shared" si="1"/>
        <v>0</v>
      </c>
      <c r="S60" s="402"/>
      <c r="T60" s="396">
        <f t="shared" si="20"/>
        <v>0</v>
      </c>
      <c r="U60" s="336"/>
      <c r="V60" s="544"/>
      <c r="W60" s="83"/>
      <c r="X60" s="549">
        <f t="shared" si="11"/>
        <v>1.5</v>
      </c>
      <c r="Y60" s="342">
        <f t="shared" si="22"/>
        <v>0</v>
      </c>
    </row>
    <row r="61" spans="1:25" x14ac:dyDescent="0.6">
      <c r="A61" s="46">
        <f t="shared" si="23"/>
        <v>54</v>
      </c>
      <c r="B61" s="44" t="s">
        <v>71</v>
      </c>
      <c r="C61" s="290">
        <v>0</v>
      </c>
      <c r="D61" s="348">
        <f>C61*Assumptions!$C$48</f>
        <v>0</v>
      </c>
      <c r="E61" s="391"/>
      <c r="F61" s="33">
        <f>Assumptions!$C$54</f>
        <v>0.13175999999999999</v>
      </c>
      <c r="G61" s="297">
        <f>Assumptions!$C$63</f>
        <v>27.295999999999999</v>
      </c>
      <c r="H61" s="383"/>
      <c r="I61" s="1439">
        <f>Assumptions!$C$104</f>
        <v>1.5</v>
      </c>
      <c r="J61" s="667"/>
      <c r="K61" s="980">
        <f t="shared" si="19"/>
        <v>0</v>
      </c>
      <c r="L61" s="322">
        <f>Gasoline!K61</f>
        <v>0</v>
      </c>
      <c r="M61" s="329">
        <f t="shared" si="24"/>
        <v>0</v>
      </c>
      <c r="N61" s="320"/>
      <c r="O61" s="320">
        <f t="shared" si="25"/>
        <v>0</v>
      </c>
      <c r="P61" s="314">
        <f t="shared" si="21"/>
        <v>0</v>
      </c>
      <c r="Q61" s="1046"/>
      <c r="R61" s="1047">
        <f t="shared" si="1"/>
        <v>0</v>
      </c>
      <c r="S61" s="402"/>
      <c r="T61" s="396">
        <f t="shared" si="20"/>
        <v>0</v>
      </c>
      <c r="U61" s="336"/>
      <c r="V61" s="544"/>
      <c r="W61" s="83"/>
      <c r="X61" s="549">
        <f t="shared" si="11"/>
        <v>1.5</v>
      </c>
      <c r="Y61" s="342">
        <f t="shared" si="22"/>
        <v>0</v>
      </c>
    </row>
    <row r="62" spans="1:25" x14ac:dyDescent="0.6">
      <c r="A62" s="46">
        <f t="shared" si="23"/>
        <v>55</v>
      </c>
      <c r="B62" s="44" t="s">
        <v>72</v>
      </c>
      <c r="C62" s="290">
        <v>77126</v>
      </c>
      <c r="D62" s="348">
        <f>C62*Assumptions!$C$48</f>
        <v>585352155.43412268</v>
      </c>
      <c r="E62" s="391"/>
      <c r="F62" s="33">
        <f>Assumptions!$C$54</f>
        <v>0.13175999999999999</v>
      </c>
      <c r="G62" s="297">
        <f>Assumptions!$C$63</f>
        <v>27.295999999999999</v>
      </c>
      <c r="H62" s="383"/>
      <c r="I62" s="1439">
        <f>Assumptions!$C$104</f>
        <v>1.5</v>
      </c>
      <c r="J62" s="667"/>
      <c r="K62" s="980">
        <f t="shared" si="19"/>
        <v>0</v>
      </c>
      <c r="L62" s="322">
        <f>Gasoline!K62</f>
        <v>0</v>
      </c>
      <c r="M62" s="329">
        <f t="shared" si="24"/>
        <v>0</v>
      </c>
      <c r="N62" s="320"/>
      <c r="O62" s="320">
        <f t="shared" si="25"/>
        <v>0</v>
      </c>
      <c r="P62" s="314">
        <f t="shared" si="21"/>
        <v>0</v>
      </c>
      <c r="Q62" s="1046"/>
      <c r="R62" s="1047">
        <f t="shared" si="1"/>
        <v>0</v>
      </c>
      <c r="S62" s="402"/>
      <c r="T62" s="396">
        <f t="shared" si="20"/>
        <v>0</v>
      </c>
      <c r="U62" s="336"/>
      <c r="V62" s="544"/>
      <c r="W62" s="83"/>
      <c r="X62" s="549">
        <f t="shared" si="11"/>
        <v>1.5</v>
      </c>
      <c r="Y62" s="342">
        <f t="shared" si="22"/>
        <v>878028233.15118408</v>
      </c>
    </row>
    <row r="63" spans="1:25" x14ac:dyDescent="0.6">
      <c r="A63" s="46">
        <f t="shared" si="23"/>
        <v>56</v>
      </c>
      <c r="B63" s="44" t="s">
        <v>73</v>
      </c>
      <c r="C63" s="290">
        <v>0</v>
      </c>
      <c r="D63" s="348">
        <f>C63*Assumptions!$C$48</f>
        <v>0</v>
      </c>
      <c r="E63" s="579">
        <f>Assumptions!$H$29</f>
        <v>0.27229399999999998</v>
      </c>
      <c r="F63" s="33">
        <f>Assumptions!$C$54</f>
        <v>0.13175999999999999</v>
      </c>
      <c r="G63" s="297">
        <f>Assumptions!$C$63</f>
        <v>27.295999999999999</v>
      </c>
      <c r="H63" s="383"/>
      <c r="I63" s="1439">
        <f>Assumptions!$C$104</f>
        <v>1.5</v>
      </c>
      <c r="J63" s="667"/>
      <c r="K63" s="980">
        <f t="shared" si="19"/>
        <v>0</v>
      </c>
      <c r="L63" s="322">
        <f>Gasoline!K63</f>
        <v>0</v>
      </c>
      <c r="M63" s="329">
        <f t="shared" si="24"/>
        <v>0</v>
      </c>
      <c r="N63" s="320"/>
      <c r="O63" s="320">
        <f t="shared" si="25"/>
        <v>0</v>
      </c>
      <c r="P63" s="314">
        <f t="shared" si="21"/>
        <v>0</v>
      </c>
      <c r="Q63" s="1046"/>
      <c r="R63" s="1047">
        <f t="shared" si="1"/>
        <v>0</v>
      </c>
      <c r="S63" s="402"/>
      <c r="T63" s="396">
        <f t="shared" si="20"/>
        <v>0</v>
      </c>
      <c r="U63" s="336"/>
      <c r="V63" s="544"/>
      <c r="W63" s="83"/>
      <c r="X63" s="549">
        <f t="shared" si="11"/>
        <v>1.5</v>
      </c>
      <c r="Y63" s="342">
        <f t="shared" si="22"/>
        <v>0</v>
      </c>
    </row>
    <row r="64" spans="1:25" x14ac:dyDescent="0.6">
      <c r="A64" s="46">
        <f t="shared" si="23"/>
        <v>57</v>
      </c>
      <c r="B64" s="44" t="s">
        <v>74</v>
      </c>
      <c r="C64" s="290">
        <v>48850</v>
      </c>
      <c r="D64" s="348">
        <f>C64*Assumptions!$C$48</f>
        <v>370749848.20886463</v>
      </c>
      <c r="E64" s="391"/>
      <c r="F64" s="33">
        <f>Assumptions!$C$54</f>
        <v>0.13175999999999999</v>
      </c>
      <c r="G64" s="297">
        <f>Assumptions!$C$63</f>
        <v>27.295999999999999</v>
      </c>
      <c r="H64" s="383"/>
      <c r="I64" s="1439">
        <f>Assumptions!$C$104</f>
        <v>1.5</v>
      </c>
      <c r="J64" s="667"/>
      <c r="K64" s="980">
        <f t="shared" si="19"/>
        <v>0</v>
      </c>
      <c r="L64" s="322">
        <f>Gasoline!K64</f>
        <v>0</v>
      </c>
      <c r="M64" s="329">
        <f t="shared" si="24"/>
        <v>0</v>
      </c>
      <c r="N64" s="320"/>
      <c r="O64" s="320">
        <f t="shared" si="25"/>
        <v>0</v>
      </c>
      <c r="P64" s="314">
        <f t="shared" si="21"/>
        <v>0</v>
      </c>
      <c r="Q64" s="1046"/>
      <c r="R64" s="1047">
        <f t="shared" si="1"/>
        <v>0</v>
      </c>
      <c r="S64" s="402"/>
      <c r="T64" s="396">
        <f t="shared" si="20"/>
        <v>0</v>
      </c>
      <c r="U64" s="336"/>
      <c r="V64" s="544"/>
      <c r="W64" s="83"/>
      <c r="X64" s="549">
        <f t="shared" si="11"/>
        <v>1.5</v>
      </c>
      <c r="Y64" s="342">
        <f t="shared" si="22"/>
        <v>556124772.31329691</v>
      </c>
    </row>
    <row r="65" spans="1:25" x14ac:dyDescent="0.6">
      <c r="A65" s="51">
        <f t="shared" si="23"/>
        <v>58</v>
      </c>
      <c r="B65" s="52" t="s">
        <v>75</v>
      </c>
      <c r="C65" s="292">
        <v>302</v>
      </c>
      <c r="D65" s="350">
        <f>C65*Assumptions!$C$48</f>
        <v>2292046.1445051613</v>
      </c>
      <c r="E65" s="405"/>
      <c r="F65" s="45">
        <f>Assumptions!$C$54</f>
        <v>0.13175999999999999</v>
      </c>
      <c r="G65" s="300">
        <f>Assumptions!$C$63</f>
        <v>27.295999999999999</v>
      </c>
      <c r="H65" s="972"/>
      <c r="I65" s="1461">
        <f>Assumptions!$C$104</f>
        <v>1.5</v>
      </c>
      <c r="J65" s="672"/>
      <c r="K65" s="981">
        <f t="shared" si="19"/>
        <v>0</v>
      </c>
      <c r="L65" s="1022">
        <f>Gasoline!K65</f>
        <v>0</v>
      </c>
      <c r="M65" s="335">
        <f t="shared" si="24"/>
        <v>0</v>
      </c>
      <c r="N65" s="1014"/>
      <c r="O65" s="1014">
        <f t="shared" si="25"/>
        <v>0</v>
      </c>
      <c r="P65" s="328">
        <f t="shared" si="21"/>
        <v>0</v>
      </c>
      <c r="Q65" s="1049"/>
      <c r="R65" s="1050">
        <f t="shared" si="1"/>
        <v>0</v>
      </c>
      <c r="S65" s="408"/>
      <c r="T65" s="409">
        <f t="shared" si="20"/>
        <v>0</v>
      </c>
      <c r="U65" s="545"/>
      <c r="V65" s="546"/>
      <c r="W65" s="585"/>
      <c r="X65" s="550">
        <f t="shared" si="11"/>
        <v>1.5</v>
      </c>
      <c r="Y65" s="551">
        <f t="shared" si="22"/>
        <v>3438069.2167577418</v>
      </c>
    </row>
    <row r="66" spans="1:25" x14ac:dyDescent="0.6">
      <c r="B66" s="1" t="s">
        <v>42</v>
      </c>
      <c r="C66" s="13"/>
      <c r="D66" s="13">
        <f>SUM(D4:D65)</f>
        <v>23706193078.324234</v>
      </c>
      <c r="E66" s="398"/>
      <c r="Q66" s="414"/>
      <c r="R66" s="414"/>
      <c r="W66" s="586"/>
      <c r="X66" s="535"/>
      <c r="Y66" s="1"/>
    </row>
    <row r="67" spans="1:25" x14ac:dyDescent="0.6">
      <c r="B67" s="1" t="s">
        <v>596</v>
      </c>
      <c r="C67" s="21">
        <v>4540988</v>
      </c>
      <c r="D67" s="13">
        <f>C67*Assumptions!$C$48</f>
        <v>34464086217.364914</v>
      </c>
      <c r="E67" s="398"/>
      <c r="Q67" s="414"/>
      <c r="R67" s="414"/>
      <c r="W67" s="586"/>
      <c r="X67" s="535"/>
      <c r="Y67" s="1"/>
    </row>
    <row r="68" spans="1:25" x14ac:dyDescent="0.6">
      <c r="D68" s="28">
        <f>D66/D67</f>
        <v>0.68785207095900724</v>
      </c>
      <c r="E68" s="398"/>
      <c r="Q68" s="414"/>
      <c r="R68" s="414"/>
      <c r="W68" s="586"/>
      <c r="X68" s="535"/>
      <c r="Y68" s="1"/>
    </row>
    <row r="69" spans="1:25" x14ac:dyDescent="0.6">
      <c r="E69" s="398"/>
      <c r="H69" s="27">
        <v>3641</v>
      </c>
      <c r="I69" s="226" t="s">
        <v>1494</v>
      </c>
      <c r="Q69" s="414"/>
      <c r="R69" s="414"/>
      <c r="Y69" s="1"/>
    </row>
    <row r="70" spans="1:25" x14ac:dyDescent="0.6">
      <c r="E70" s="398"/>
      <c r="H70" s="27">
        <f>Assumptions!C55</f>
        <v>35.314700000000002</v>
      </c>
      <c r="I70" s="226" t="s">
        <v>1497</v>
      </c>
      <c r="Q70" s="414"/>
      <c r="R70" s="414"/>
      <c r="Y70" s="1"/>
    </row>
    <row r="71" spans="1:25" x14ac:dyDescent="0.6">
      <c r="E71" s="398"/>
      <c r="H71" s="27">
        <f>H69/H70</f>
        <v>103.10154128450758</v>
      </c>
      <c r="I71" s="226" t="s">
        <v>1499</v>
      </c>
      <c r="K71" s="3"/>
      <c r="Q71" s="414"/>
      <c r="R71" s="414"/>
      <c r="Y71" s="1"/>
    </row>
    <row r="72" spans="1:25" x14ac:dyDescent="0.6">
      <c r="E72" s="398"/>
      <c r="H72" s="27">
        <f>H71/1000</f>
        <v>0.10310154128450758</v>
      </c>
      <c r="I72" s="226" t="s">
        <v>1498</v>
      </c>
      <c r="K72" s="3"/>
      <c r="Q72" s="414"/>
      <c r="R72" s="414"/>
      <c r="Y72" s="1"/>
    </row>
    <row r="73" spans="1:25" x14ac:dyDescent="0.6">
      <c r="E73" s="398"/>
      <c r="H73" s="27">
        <f>H72/1000</f>
        <v>1.0310154128450757E-4</v>
      </c>
      <c r="I73" s="226" t="s">
        <v>1500</v>
      </c>
      <c r="K73" s="4"/>
      <c r="Q73" s="414"/>
      <c r="R73" s="414"/>
      <c r="Y73" s="1"/>
    </row>
    <row r="74" spans="1:25" x14ac:dyDescent="0.6">
      <c r="E74" s="398"/>
      <c r="H74" s="27">
        <f>H73*125000</f>
        <v>12.887692660563447</v>
      </c>
      <c r="I74" s="226" t="s">
        <v>1501</v>
      </c>
      <c r="K74" s="3"/>
      <c r="Q74" s="414"/>
      <c r="R74" s="414"/>
      <c r="Y74" s="1"/>
    </row>
    <row r="75" spans="1:25" x14ac:dyDescent="0.6">
      <c r="A75" s="1"/>
      <c r="C75" s="85"/>
      <c r="D75" s="1"/>
      <c r="E75" s="398"/>
      <c r="F75" s="1"/>
      <c r="G75" s="1"/>
      <c r="H75" s="9"/>
      <c r="I75" s="10"/>
      <c r="J75" s="1"/>
      <c r="L75" s="1"/>
      <c r="M75" s="1"/>
      <c r="N75" s="1"/>
      <c r="O75" s="1"/>
      <c r="Q75" s="414"/>
      <c r="R75" s="414"/>
      <c r="T75" s="85"/>
      <c r="U75" s="1"/>
      <c r="V75" s="1"/>
      <c r="W75" s="83"/>
      <c r="Y75" s="1"/>
    </row>
    <row r="76" spans="1:25" x14ac:dyDescent="0.6">
      <c r="E76" s="398"/>
      <c r="Q76" s="414"/>
      <c r="R76" s="414"/>
      <c r="Y76" s="1"/>
    </row>
    <row r="77" spans="1:25" x14ac:dyDescent="0.6">
      <c r="E77" s="398"/>
      <c r="Q77" s="414"/>
      <c r="R77" s="414"/>
      <c r="Y77" s="1"/>
    </row>
    <row r="78" spans="1:25" x14ac:dyDescent="0.6">
      <c r="E78" s="398"/>
      <c r="Q78" s="414"/>
      <c r="R78" s="414"/>
      <c r="Y78" s="1"/>
    </row>
    <row r="79" spans="1:25" x14ac:dyDescent="0.6">
      <c r="E79" s="398"/>
      <c r="Q79" s="414"/>
      <c r="R79" s="414"/>
      <c r="Y79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84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19.84765625" style="1" customWidth="1"/>
    <col min="3" max="3" width="11.59765625" style="21" bestFit="1" customWidth="1"/>
    <col min="4" max="4" width="19" style="13" bestFit="1" customWidth="1"/>
    <col min="5" max="5" width="10.5" style="55" customWidth="1"/>
    <col min="6" max="6" width="11" style="7" bestFit="1" customWidth="1"/>
    <col min="7" max="7" width="10.34765625" style="7" bestFit="1" customWidth="1"/>
    <col min="8" max="8" width="11" style="27" customWidth="1"/>
    <col min="9" max="9" width="11" style="226" customWidth="1"/>
    <col min="10" max="10" width="13.59765625" style="5" customWidth="1"/>
    <col min="11" max="11" width="12.34765625" style="55" customWidth="1"/>
    <col min="12" max="12" width="9.5" style="28" customWidth="1"/>
    <col min="13" max="15" width="9.5" style="10" customWidth="1"/>
    <col min="16" max="16" width="15" style="17" bestFit="1" customWidth="1"/>
    <col min="17" max="17" width="9.5" style="271" customWidth="1"/>
    <col min="18" max="18" width="15.84765625" style="271" customWidth="1"/>
    <col min="19" max="19" width="9.5" style="10" customWidth="1"/>
    <col min="20" max="20" width="14" style="70" bestFit="1" customWidth="1"/>
    <col min="21" max="21" width="15" style="57" bestFit="1" customWidth="1"/>
    <col min="22" max="22" width="14" style="17" bestFit="1" customWidth="1"/>
    <col min="23" max="23" width="14" style="276" bestFit="1" customWidth="1"/>
    <col min="24" max="24" width="16.5" style="10" bestFit="1" customWidth="1"/>
    <col min="25" max="25" width="17.5" style="17" bestFit="1" customWidth="1"/>
    <col min="26" max="16384" width="10.84765625" style="1"/>
  </cols>
  <sheetData>
    <row r="1" spans="1:25" x14ac:dyDescent="0.6">
      <c r="A1" s="24" t="s">
        <v>1492</v>
      </c>
      <c r="C1" s="74" t="s">
        <v>855</v>
      </c>
      <c r="E1" s="107"/>
      <c r="K1" s="10"/>
      <c r="S1" s="10">
        <f>SMALL(S6:S34,1)</f>
        <v>0</v>
      </c>
      <c r="X1" s="17"/>
    </row>
    <row r="2" spans="1:25" s="2" customFormat="1" x14ac:dyDescent="0.6">
      <c r="A2" s="24" t="s">
        <v>131</v>
      </c>
      <c r="C2" s="64" t="s">
        <v>24</v>
      </c>
      <c r="D2" s="14" t="s">
        <v>25</v>
      </c>
      <c r="E2" s="56"/>
      <c r="F2" s="8"/>
      <c r="G2" s="8" t="s">
        <v>128</v>
      </c>
      <c r="H2" s="481" t="s">
        <v>638</v>
      </c>
      <c r="I2" s="11" t="s">
        <v>638</v>
      </c>
      <c r="J2" s="6" t="s">
        <v>627</v>
      </c>
      <c r="K2" s="102" t="s">
        <v>636</v>
      </c>
      <c r="L2" s="71" t="s">
        <v>194</v>
      </c>
      <c r="M2" s="332" t="s">
        <v>194</v>
      </c>
      <c r="N2" s="11" t="s">
        <v>194</v>
      </c>
      <c r="O2" s="11" t="s">
        <v>650</v>
      </c>
      <c r="P2" s="18" t="s">
        <v>397</v>
      </c>
      <c r="Q2" s="272" t="s">
        <v>881</v>
      </c>
      <c r="R2" s="272" t="s">
        <v>1747</v>
      </c>
      <c r="S2" s="11" t="s">
        <v>881</v>
      </c>
      <c r="T2" s="114"/>
      <c r="U2" s="58" t="s">
        <v>114</v>
      </c>
      <c r="V2" s="18" t="s">
        <v>42</v>
      </c>
      <c r="W2" s="581"/>
      <c r="X2" s="11" t="s">
        <v>645</v>
      </c>
      <c r="Y2" s="18"/>
    </row>
    <row r="3" spans="1:25" s="2" customFormat="1" x14ac:dyDescent="0.6">
      <c r="C3" s="64" t="s">
        <v>112</v>
      </c>
      <c r="D3" s="14" t="s">
        <v>109</v>
      </c>
      <c r="E3" s="56" t="s">
        <v>41</v>
      </c>
      <c r="F3" s="8" t="s">
        <v>1620</v>
      </c>
      <c r="G3" s="8" t="s">
        <v>129</v>
      </c>
      <c r="H3" s="481" t="s">
        <v>649</v>
      </c>
      <c r="I3" s="11" t="s">
        <v>639</v>
      </c>
      <c r="J3" s="6" t="s">
        <v>648</v>
      </c>
      <c r="K3" s="102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18" t="s">
        <v>85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76</v>
      </c>
      <c r="V3" s="18" t="s">
        <v>77</v>
      </c>
      <c r="W3" s="581" t="s">
        <v>34</v>
      </c>
      <c r="X3" s="11" t="s">
        <v>639</v>
      </c>
      <c r="Y3" s="18" t="s">
        <v>642</v>
      </c>
    </row>
    <row r="4" spans="1:25" x14ac:dyDescent="0.6">
      <c r="A4" s="61">
        <v>1</v>
      </c>
      <c r="B4" s="44" t="s">
        <v>37</v>
      </c>
      <c r="C4" s="290">
        <v>5043618</v>
      </c>
      <c r="D4" s="345">
        <f>C4*Assumptions!$C$48</f>
        <v>38278825136.61203</v>
      </c>
      <c r="E4" s="399">
        <v>1</v>
      </c>
      <c r="F4" s="33">
        <f>Assumptions!$C$46</f>
        <v>7.5895567698846396</v>
      </c>
      <c r="G4" s="297">
        <f>Assumptions!$C$63</f>
        <v>27.295999999999999</v>
      </c>
      <c r="H4" s="389"/>
      <c r="I4" s="973">
        <f>'State NG Res'!R64</f>
        <v>1.1858615834863393</v>
      </c>
      <c r="J4" s="452"/>
      <c r="K4" s="306">
        <f>'State NG Res'!V61</f>
        <v>0</v>
      </c>
      <c r="L4" s="322"/>
      <c r="M4" s="482"/>
      <c r="N4" s="320"/>
      <c r="O4" s="320">
        <f>N4+M4</f>
        <v>0</v>
      </c>
      <c r="P4" s="847">
        <f>D4*'State NG Res'!R61</f>
        <v>3268731056.8065219</v>
      </c>
      <c r="Q4" s="1460">
        <f>'State NG Res'!R60</f>
        <v>6.2203513880240167E-2</v>
      </c>
      <c r="R4" s="1047">
        <f>Q4*D4</f>
        <v>2381077430.7045326</v>
      </c>
      <c r="S4" s="968">
        <f>'State NG Res'!R62</f>
        <v>-2.3189155438654973E-2</v>
      </c>
      <c r="T4" s="366">
        <f>S4*D4</f>
        <v>-887653626.10198951</v>
      </c>
      <c r="U4" s="336">
        <f>-'OECD NG subsidies'!D3</f>
        <v>-1551431496</v>
      </c>
      <c r="V4" s="342">
        <f>U4*E4</f>
        <v>-1551431496</v>
      </c>
      <c r="W4" s="849">
        <f>T4+V4</f>
        <v>-2439085122.1019897</v>
      </c>
      <c r="X4" s="320">
        <f>'State NG Res'!R65</f>
        <v>1.2480650973665794</v>
      </c>
      <c r="Y4" s="342">
        <f>X4*D4+W4</f>
        <v>45335380499.101974</v>
      </c>
    </row>
    <row r="5" spans="1:25" s="2" customFormat="1" x14ac:dyDescent="0.6">
      <c r="A5" s="46"/>
      <c r="B5" s="40" t="s">
        <v>35</v>
      </c>
      <c r="C5" s="356"/>
      <c r="D5" s="346"/>
      <c r="E5" s="418"/>
      <c r="F5" s="29"/>
      <c r="G5" s="298"/>
      <c r="H5" s="385"/>
      <c r="I5" s="974"/>
      <c r="J5" s="456"/>
      <c r="K5" s="977"/>
      <c r="L5" s="315"/>
      <c r="M5" s="316"/>
      <c r="N5" s="316"/>
      <c r="O5" s="316"/>
      <c r="P5" s="343"/>
      <c r="Q5" s="1051"/>
      <c r="R5" s="1052"/>
      <c r="S5" s="311"/>
      <c r="T5" s="367"/>
      <c r="U5" s="338"/>
      <c r="V5" s="343"/>
      <c r="W5" s="850"/>
      <c r="X5" s="316"/>
      <c r="Y5" s="343"/>
    </row>
    <row r="6" spans="1:25" x14ac:dyDescent="0.6">
      <c r="A6" s="46">
        <f>A4+1</f>
        <v>2</v>
      </c>
      <c r="B6" s="44" t="s">
        <v>0</v>
      </c>
      <c r="C6" s="290">
        <v>148243</v>
      </c>
      <c r="D6" s="345">
        <f>C6*Assumptions!$C$48</f>
        <v>1125098664.2380087</v>
      </c>
      <c r="E6" s="391">
        <f>Assumptions!$H$3</f>
        <v>1.1863330000000001</v>
      </c>
      <c r="F6" s="33">
        <f>Assumptions!$C$46</f>
        <v>7.5895567698846396</v>
      </c>
      <c r="G6" s="297">
        <f>Assumptions!$C$63</f>
        <v>27.295999999999999</v>
      </c>
      <c r="H6" s="384">
        <v>47.8</v>
      </c>
      <c r="I6" s="973">
        <f t="shared" ref="I6:I10" si="0">H6/G6*E6</f>
        <v>2.0774735272567413</v>
      </c>
      <c r="J6" s="434">
        <v>0.27539999999999998</v>
      </c>
      <c r="K6" s="286">
        <f>J6*E6/F6</f>
        <v>4.3048114416431998E-2</v>
      </c>
      <c r="L6" s="325">
        <v>0.21</v>
      </c>
      <c r="M6" s="281">
        <f>L6*I6</f>
        <v>0.43626944072391566</v>
      </c>
      <c r="N6" s="281">
        <f>L6*K6</f>
        <v>9.040104027450719E-3</v>
      </c>
      <c r="O6" s="281">
        <f>N6+M6</f>
        <v>0.44530954475136636</v>
      </c>
      <c r="P6" s="342">
        <f>M6*D6</f>
        <v>490846165.00634062</v>
      </c>
      <c r="Q6" s="1053">
        <f t="shared" ref="Q6:Q41" si="1">K6+O6</f>
        <v>0.48835765916779839</v>
      </c>
      <c r="R6" s="1047">
        <f t="shared" ref="R6:R65" si="2">Q6*D6</f>
        <v>549450550.00009072</v>
      </c>
      <c r="S6" s="268">
        <f>N6+K6</f>
        <v>5.2088218443882714E-2</v>
      </c>
      <c r="T6" s="366">
        <f t="shared" ref="T6:T26" si="3">D6*S6</f>
        <v>58604384.993750051</v>
      </c>
      <c r="U6" s="336">
        <f>-'OECD NG subsidies'!D95</f>
        <v>-123576916</v>
      </c>
      <c r="V6" s="342">
        <f t="shared" ref="V6:V26" si="4">U6*E6</f>
        <v>-146603373.48902801</v>
      </c>
      <c r="W6" s="849">
        <f t="shared" ref="W6:W26" si="5">T6+V6</f>
        <v>-87998988.495277956</v>
      </c>
      <c r="X6" s="281">
        <f>(I6+K6)*(1+L6)</f>
        <v>2.5658311864245396</v>
      </c>
      <c r="Y6" s="342">
        <f>X6*D6+V6</f>
        <v>2740209867.0174465</v>
      </c>
    </row>
    <row r="7" spans="1:25" x14ac:dyDescent="0.6">
      <c r="A7" s="46">
        <f>A6+1</f>
        <v>3</v>
      </c>
      <c r="B7" s="44" t="s">
        <v>1</v>
      </c>
      <c r="C7" s="290">
        <v>83243</v>
      </c>
      <c r="D7" s="345">
        <f>C7*Assumptions!$C$48</f>
        <v>631777474.19550705</v>
      </c>
      <c r="E7" s="391">
        <f>Assumptions!$H$15</f>
        <v>4.5997000000000003E-2</v>
      </c>
      <c r="F7" s="33">
        <f>Assumptions!$C$46</f>
        <v>7.5895567698846396</v>
      </c>
      <c r="G7" s="297">
        <f>Assumptions!$C$63</f>
        <v>27.295999999999999</v>
      </c>
      <c r="H7" s="387">
        <v>1361.1</v>
      </c>
      <c r="I7" s="973">
        <f t="shared" si="0"/>
        <v>2.2936150608147714</v>
      </c>
      <c r="J7" s="428">
        <v>8.5</v>
      </c>
      <c r="K7" s="286">
        <f t="shared" ref="K7:K25" si="6">J7*E7/F7</f>
        <v>5.1514800119999996E-2</v>
      </c>
      <c r="L7" s="325">
        <v>0.21</v>
      </c>
      <c r="M7" s="281">
        <f t="shared" ref="M7:M39" si="7">L7*I7</f>
        <v>0.48165916277110199</v>
      </c>
      <c r="N7" s="281">
        <f t="shared" ref="N7:N39" si="8">L7*K7</f>
        <v>1.0818108025199998E-2</v>
      </c>
      <c r="O7" s="281">
        <f t="shared" ref="O7:O39" si="9">N7+M7</f>
        <v>0.49247727079630199</v>
      </c>
      <c r="P7" s="342">
        <f t="shared" ref="P7:P39" si="10">M7*D7</f>
        <v>304301409.27864939</v>
      </c>
      <c r="Q7" s="1053">
        <f t="shared" si="1"/>
        <v>0.54399207091630197</v>
      </c>
      <c r="R7" s="1047">
        <f t="shared" si="2"/>
        <v>343681936.54588443</v>
      </c>
      <c r="S7" s="268">
        <f t="shared" ref="S7:S39" si="11">N7+K7</f>
        <v>6.2332908145199997E-2</v>
      </c>
      <c r="T7" s="366">
        <f t="shared" si="3"/>
        <v>39380527.267235003</v>
      </c>
      <c r="U7" s="336">
        <f>-'OECD NG subsidies'!D103</f>
        <v>-724292092</v>
      </c>
      <c r="V7" s="342">
        <f t="shared" si="4"/>
        <v>-33315263.355724003</v>
      </c>
      <c r="W7" s="849">
        <f t="shared" si="5"/>
        <v>6065263.9115110002</v>
      </c>
      <c r="X7" s="281">
        <f t="shared" ref="X7:X65" si="12">(I7+K7)*(1+L7)</f>
        <v>2.8376071317310734</v>
      </c>
      <c r="Y7" s="342">
        <f t="shared" ref="Y7:Y39" si="13">X7*D7+V7</f>
        <v>1759421003.088491</v>
      </c>
    </row>
    <row r="8" spans="1:25" x14ac:dyDescent="0.6">
      <c r="A8" s="46">
        <f t="shared" ref="A8:A26" si="14">A7+1</f>
        <v>4</v>
      </c>
      <c r="B8" s="44" t="s">
        <v>2</v>
      </c>
      <c r="C8" s="290">
        <v>27150</v>
      </c>
      <c r="D8" s="345">
        <f>C8*Assumptions!$C$48</f>
        <v>206056466.30236799</v>
      </c>
      <c r="E8" s="391">
        <f>Assumptions!$H$16</f>
        <v>0.15934999999999999</v>
      </c>
      <c r="F8" s="33">
        <f>Assumptions!$C$46</f>
        <v>7.5895567698846396</v>
      </c>
      <c r="G8" s="297">
        <f>Assumptions!$C$63</f>
        <v>27.295999999999999</v>
      </c>
      <c r="H8" s="1437">
        <v>251.2</v>
      </c>
      <c r="I8" s="973">
        <f t="shared" si="0"/>
        <v>1.4664683470105511</v>
      </c>
      <c r="J8" s="1438">
        <v>63.55</v>
      </c>
      <c r="K8" s="286">
        <f t="shared" si="6"/>
        <v>1.3342930037999998</v>
      </c>
      <c r="L8" s="325">
        <v>0.25</v>
      </c>
      <c r="M8" s="281">
        <f t="shared" si="7"/>
        <v>0.36661708675263777</v>
      </c>
      <c r="N8" s="281">
        <f t="shared" si="8"/>
        <v>0.33357325094999996</v>
      </c>
      <c r="O8" s="281">
        <f t="shared" si="9"/>
        <v>0.70019033770263772</v>
      </c>
      <c r="P8" s="342">
        <f t="shared" si="10"/>
        <v>75543821.38231723</v>
      </c>
      <c r="Q8" s="1053">
        <f t="shared" si="1"/>
        <v>2.0344833415026375</v>
      </c>
      <c r="R8" s="1047">
        <f t="shared" si="2"/>
        <v>419218448.10106725</v>
      </c>
      <c r="S8" s="268">
        <f t="shared" si="11"/>
        <v>1.6678662547499998</v>
      </c>
      <c r="T8" s="366">
        <f t="shared" si="3"/>
        <v>343674626.71875006</v>
      </c>
      <c r="U8" s="336">
        <f>-'OECD NG subsidies'!D105</f>
        <v>0</v>
      </c>
      <c r="V8" s="342">
        <f t="shared" si="4"/>
        <v>0</v>
      </c>
      <c r="W8" s="849">
        <f t="shared" si="5"/>
        <v>343674626.71875006</v>
      </c>
      <c r="X8" s="281">
        <f t="shared" si="12"/>
        <v>3.5009516885131884</v>
      </c>
      <c r="Y8" s="342">
        <f t="shared" si="13"/>
        <v>721393733.63033605</v>
      </c>
    </row>
    <row r="9" spans="1:25" x14ac:dyDescent="0.6">
      <c r="A9" s="46">
        <f t="shared" si="14"/>
        <v>5</v>
      </c>
      <c r="B9" s="44" t="s">
        <v>3</v>
      </c>
      <c r="C9" s="290">
        <v>918251</v>
      </c>
      <c r="D9" s="345">
        <f>C9*Assumptions!$C$48</f>
        <v>6969118093.5033407</v>
      </c>
      <c r="E9" s="391">
        <f>Assumptions!$H$3</f>
        <v>1.1863330000000001</v>
      </c>
      <c r="F9" s="33">
        <f>Assumptions!$C$46</f>
        <v>7.5895567698846396</v>
      </c>
      <c r="G9" s="297">
        <f>Assumptions!$C$63</f>
        <v>27.295999999999999</v>
      </c>
      <c r="H9" s="384">
        <v>53.91</v>
      </c>
      <c r="I9" s="973">
        <f t="shared" ref="I9" si="15">H9/G9*E9</f>
        <v>2.3430250597157092</v>
      </c>
      <c r="J9" s="427">
        <v>1.53</v>
      </c>
      <c r="K9" s="286">
        <f t="shared" si="6"/>
        <v>0.23915619120239998</v>
      </c>
      <c r="L9" s="325">
        <v>0.19</v>
      </c>
      <c r="M9" s="281">
        <f t="shared" si="7"/>
        <v>0.44517476134598477</v>
      </c>
      <c r="N9" s="281">
        <f t="shared" si="8"/>
        <v>4.5439676328455997E-2</v>
      </c>
      <c r="O9" s="281">
        <f t="shared" si="9"/>
        <v>0.4906144376744408</v>
      </c>
      <c r="P9" s="342">
        <f t="shared" si="10"/>
        <v>3102475484.0673342</v>
      </c>
      <c r="Q9" s="1053">
        <f t="shared" si="1"/>
        <v>0.72977062887684074</v>
      </c>
      <c r="R9" s="1047">
        <f t="shared" si="2"/>
        <v>5085857693.8129025</v>
      </c>
      <c r="S9" s="268">
        <f t="shared" si="11"/>
        <v>0.28459586753085597</v>
      </c>
      <c r="T9" s="366">
        <f t="shared" si="3"/>
        <v>1983382209.7455683</v>
      </c>
      <c r="U9" s="336">
        <f>-'OECD NG subsidies'!D110</f>
        <v>0</v>
      </c>
      <c r="V9" s="342">
        <f t="shared" si="4"/>
        <v>0</v>
      </c>
      <c r="W9" s="849">
        <f t="shared" si="5"/>
        <v>1983382209.7455683</v>
      </c>
      <c r="X9" s="281">
        <f t="shared" si="12"/>
        <v>3.0727956885925498</v>
      </c>
      <c r="Y9" s="342">
        <f t="shared" si="13"/>
        <v>21414676031.009396</v>
      </c>
    </row>
    <row r="10" spans="1:25" x14ac:dyDescent="0.6">
      <c r="A10" s="46">
        <f t="shared" si="14"/>
        <v>6</v>
      </c>
      <c r="B10" s="44" t="s">
        <v>4</v>
      </c>
      <c r="C10" s="290">
        <v>2294</v>
      </c>
      <c r="D10" s="345">
        <f>C10*Assumptions!$C$48</f>
        <v>17410443.230115365</v>
      </c>
      <c r="E10" s="391">
        <f>Assumptions!$H$3</f>
        <v>1.1863330000000001</v>
      </c>
      <c r="F10" s="33">
        <f>Assumptions!$C$46</f>
        <v>7.5895567698846396</v>
      </c>
      <c r="G10" s="297">
        <f>Assumptions!$C$63</f>
        <v>27.295999999999999</v>
      </c>
      <c r="H10" s="384">
        <v>36.51</v>
      </c>
      <c r="I10" s="973">
        <f t="shared" si="0"/>
        <v>1.5867899263628371</v>
      </c>
      <c r="J10" s="427">
        <v>0.84</v>
      </c>
      <c r="K10" s="286">
        <f t="shared" si="6"/>
        <v>0.13130143830719998</v>
      </c>
      <c r="L10" s="325">
        <v>0.2</v>
      </c>
      <c r="M10" s="281">
        <f t="shared" si="7"/>
        <v>0.31735798527256742</v>
      </c>
      <c r="N10" s="281">
        <f t="shared" si="8"/>
        <v>2.6260287661439997E-2</v>
      </c>
      <c r="O10" s="281">
        <f t="shared" si="9"/>
        <v>0.34361827293400743</v>
      </c>
      <c r="P10" s="342">
        <f t="shared" si="10"/>
        <v>5525343.1862118235</v>
      </c>
      <c r="Q10" s="1053">
        <f t="shared" si="1"/>
        <v>0.47491971124120741</v>
      </c>
      <c r="R10" s="1047">
        <f t="shared" si="2"/>
        <v>8268562.6714278236</v>
      </c>
      <c r="S10" s="268">
        <f t="shared" si="11"/>
        <v>0.15756172596863999</v>
      </c>
      <c r="T10" s="366">
        <f t="shared" si="3"/>
        <v>2743219.4852160006</v>
      </c>
      <c r="U10" s="336">
        <f>-'OECD NG subsidies'!D116</f>
        <v>0</v>
      </c>
      <c r="V10" s="342">
        <f t="shared" si="4"/>
        <v>0</v>
      </c>
      <c r="W10" s="849">
        <f t="shared" si="5"/>
        <v>2743219.4852160006</v>
      </c>
      <c r="X10" s="281">
        <f t="shared" si="12"/>
        <v>2.0617096376040442</v>
      </c>
      <c r="Y10" s="342">
        <f t="shared" si="13"/>
        <v>35895278.602486938</v>
      </c>
    </row>
    <row r="11" spans="1:25" x14ac:dyDescent="0.6">
      <c r="A11" s="46">
        <f t="shared" si="14"/>
        <v>7</v>
      </c>
      <c r="B11" s="44" t="s">
        <v>5</v>
      </c>
      <c r="C11" s="290">
        <v>16547</v>
      </c>
      <c r="D11" s="345">
        <f>C11*Assumptions!$C$48</f>
        <v>125584395.87128113</v>
      </c>
      <c r="E11" s="391">
        <f>Assumptions!$H$3</f>
        <v>1.1863330000000001</v>
      </c>
      <c r="F11" s="33">
        <f>Assumptions!$C$46</f>
        <v>7.5895567698846396</v>
      </c>
      <c r="G11" s="297">
        <f>Assumptions!$C$63</f>
        <v>27.295999999999999</v>
      </c>
      <c r="H11" s="384">
        <v>62.96</v>
      </c>
      <c r="I11" s="973">
        <f t="shared" ref="I11" si="16">H11/G11*E11</f>
        <v>2.7363542526377493</v>
      </c>
      <c r="J11" s="427">
        <v>1.5</v>
      </c>
      <c r="K11" s="286">
        <f t="shared" si="6"/>
        <v>0.23446685411999998</v>
      </c>
      <c r="L11" s="325">
        <v>0.13</v>
      </c>
      <c r="M11" s="281">
        <f t="shared" si="7"/>
        <v>0.35572605284290743</v>
      </c>
      <c r="N11" s="281">
        <f t="shared" si="8"/>
        <v>3.0480691035599999E-2</v>
      </c>
      <c r="O11" s="281">
        <f t="shared" si="9"/>
        <v>0.3862067438785074</v>
      </c>
      <c r="P11" s="342">
        <f t="shared" si="10"/>
        <v>44673641.44195196</v>
      </c>
      <c r="Q11" s="1053">
        <f t="shared" si="1"/>
        <v>0.62067359799850741</v>
      </c>
      <c r="R11" s="1047">
        <f t="shared" si="2"/>
        <v>77946918.837896958</v>
      </c>
      <c r="S11" s="268">
        <f t="shared" si="11"/>
        <v>0.26494754515559998</v>
      </c>
      <c r="T11" s="366">
        <f t="shared" si="3"/>
        <v>33273277.395945001</v>
      </c>
      <c r="U11" s="336">
        <f>-'OECD NG subsidies'!D119</f>
        <v>0</v>
      </c>
      <c r="V11" s="342">
        <f t="shared" si="4"/>
        <v>0</v>
      </c>
      <c r="W11" s="849">
        <f t="shared" si="5"/>
        <v>33273277.395945001</v>
      </c>
      <c r="X11" s="281">
        <f t="shared" si="12"/>
        <v>3.3570278506362565</v>
      </c>
      <c r="Y11" s="342">
        <f t="shared" si="13"/>
        <v>421590314.54521966</v>
      </c>
    </row>
    <row r="12" spans="1:25" x14ac:dyDescent="0.6">
      <c r="A12" s="46">
        <f t="shared" si="14"/>
        <v>8</v>
      </c>
      <c r="B12" s="44" t="s">
        <v>6</v>
      </c>
      <c r="C12" s="290">
        <v>140401</v>
      </c>
      <c r="D12" s="345">
        <f>C12*Assumptions!$C$48</f>
        <v>1065581360.0485734</v>
      </c>
      <c r="E12" s="391">
        <f>Assumptions!$H$3</f>
        <v>1.1863330000000001</v>
      </c>
      <c r="F12" s="33">
        <f>Assumptions!$C$46</f>
        <v>7.5895567698846396</v>
      </c>
      <c r="G12" s="297">
        <f>Assumptions!$C$63</f>
        <v>27.295999999999999</v>
      </c>
      <c r="H12" s="384">
        <v>62.42</v>
      </c>
      <c r="I12" s="973">
        <f t="shared" ref="I12" si="17">H12/G12*E12</f>
        <v>2.7128848864302464</v>
      </c>
      <c r="J12" s="427">
        <v>0.65</v>
      </c>
      <c r="K12" s="286">
        <f t="shared" si="6"/>
        <v>0.101602303452</v>
      </c>
      <c r="L12" s="325">
        <v>0.21</v>
      </c>
      <c r="M12" s="281">
        <f t="shared" si="7"/>
        <v>0.5697058261503517</v>
      </c>
      <c r="N12" s="281">
        <f t="shared" si="8"/>
        <v>2.1336483724919999E-2</v>
      </c>
      <c r="O12" s="281">
        <f t="shared" si="9"/>
        <v>0.59104230987527173</v>
      </c>
      <c r="P12" s="342">
        <f t="shared" si="10"/>
        <v>607067909.05688787</v>
      </c>
      <c r="Q12" s="1053">
        <f t="shared" si="1"/>
        <v>0.69264461332727167</v>
      </c>
      <c r="R12" s="1047">
        <f t="shared" si="2"/>
        <v>738069189.09959233</v>
      </c>
      <c r="S12" s="268">
        <f t="shared" si="11"/>
        <v>0.12293878717692</v>
      </c>
      <c r="T12" s="366">
        <f t="shared" si="3"/>
        <v>131001280.04270452</v>
      </c>
      <c r="U12" s="336">
        <f>-'OECD NG subsidies'!D125</f>
        <v>0</v>
      </c>
      <c r="V12" s="342">
        <f t="shared" si="4"/>
        <v>0</v>
      </c>
      <c r="W12" s="849">
        <f t="shared" si="5"/>
        <v>131001280.04270452</v>
      </c>
      <c r="X12" s="281">
        <f t="shared" si="12"/>
        <v>3.4055294997575181</v>
      </c>
      <c r="Y12" s="342">
        <f t="shared" si="13"/>
        <v>3628868756.0371537</v>
      </c>
    </row>
    <row r="13" spans="1:25" x14ac:dyDescent="0.6">
      <c r="A13" s="46">
        <f t="shared" si="14"/>
        <v>9</v>
      </c>
      <c r="B13" s="44" t="s">
        <v>7</v>
      </c>
      <c r="C13" s="290">
        <v>473715</v>
      </c>
      <c r="D13" s="345">
        <f>C13*Assumptions!$C$48</f>
        <v>3595286885.2459021</v>
      </c>
      <c r="E13" s="391">
        <f>Assumptions!$H$3</f>
        <v>1.1863330000000001</v>
      </c>
      <c r="F13" s="33">
        <f>Assumptions!$C$46</f>
        <v>7.5895567698846396</v>
      </c>
      <c r="G13" s="297">
        <f>Assumptions!$C$63</f>
        <v>27.295999999999999</v>
      </c>
      <c r="H13" s="384">
        <v>53.6</v>
      </c>
      <c r="I13" s="973">
        <f t="shared" ref="I13" si="18">H13/G13*E13</f>
        <v>2.3295519050410318</v>
      </c>
      <c r="J13" s="427">
        <v>0.28999999999999998</v>
      </c>
      <c r="K13" s="286">
        <f t="shared" si="6"/>
        <v>4.5330258463199991E-2</v>
      </c>
      <c r="L13" s="325">
        <v>0.2</v>
      </c>
      <c r="M13" s="281">
        <f t="shared" si="7"/>
        <v>0.46591038100820636</v>
      </c>
      <c r="N13" s="281">
        <f t="shared" si="8"/>
        <v>9.0660516926399978E-3</v>
      </c>
      <c r="O13" s="281">
        <f t="shared" si="9"/>
        <v>0.47497643270084638</v>
      </c>
      <c r="P13" s="342">
        <f t="shared" si="10"/>
        <v>1675081482.5387259</v>
      </c>
      <c r="Q13" s="1053">
        <f t="shared" si="1"/>
        <v>0.52030669116404638</v>
      </c>
      <c r="R13" s="1047">
        <f t="shared" si="2"/>
        <v>1870651823.0477858</v>
      </c>
      <c r="S13" s="268">
        <f t="shared" si="11"/>
        <v>5.439631015583999E-2</v>
      </c>
      <c r="T13" s="366">
        <f t="shared" si="3"/>
        <v>195570340.50906</v>
      </c>
      <c r="U13" s="336">
        <f>-'OECD NG subsidies'!D127</f>
        <v>0</v>
      </c>
      <c r="V13" s="342">
        <f t="shared" si="4"/>
        <v>0</v>
      </c>
      <c r="W13" s="849">
        <f t="shared" si="5"/>
        <v>195570340.50906</v>
      </c>
      <c r="X13" s="281">
        <f t="shared" si="12"/>
        <v>2.849858596205078</v>
      </c>
      <c r="Y13" s="342">
        <f t="shared" si="13"/>
        <v>10246059235.741413</v>
      </c>
    </row>
    <row r="14" spans="1:25" x14ac:dyDescent="0.6">
      <c r="A14" s="46">
        <f t="shared" si="14"/>
        <v>10</v>
      </c>
      <c r="B14" s="44" t="s">
        <v>8</v>
      </c>
      <c r="C14" s="290">
        <v>25772</v>
      </c>
      <c r="D14" s="345">
        <f>C14*Assumptions!$C$48</f>
        <v>195598057.07346693</v>
      </c>
      <c r="E14" s="391">
        <f>Assumptions!$H$3</f>
        <v>1.1863330000000001</v>
      </c>
      <c r="F14" s="33">
        <f>Assumptions!$C$46</f>
        <v>7.5895567698846396</v>
      </c>
      <c r="G14" s="297">
        <f>Assumptions!$C$63</f>
        <v>27.295999999999999</v>
      </c>
      <c r="H14" s="384">
        <v>59.96</v>
      </c>
      <c r="I14" s="973">
        <f t="shared" ref="I14" si="19">H14/G14*E14</f>
        <v>2.6059688848182883</v>
      </c>
      <c r="J14" s="427">
        <v>1.03</v>
      </c>
      <c r="K14" s="286">
        <f t="shared" si="6"/>
        <v>0.16100057316239999</v>
      </c>
      <c r="L14" s="325">
        <v>0.13500000000000001</v>
      </c>
      <c r="M14" s="281">
        <f t="shared" si="7"/>
        <v>0.35180579945046891</v>
      </c>
      <c r="N14" s="281">
        <f t="shared" si="8"/>
        <v>2.1735077376924001E-2</v>
      </c>
      <c r="O14" s="281">
        <f t="shared" si="9"/>
        <v>0.3735408768273929</v>
      </c>
      <c r="P14" s="342">
        <f t="shared" si="10"/>
        <v>68812530.839689478</v>
      </c>
      <c r="Q14" s="1053">
        <f t="shared" si="1"/>
        <v>0.53454144998979292</v>
      </c>
      <c r="R14" s="1047">
        <f t="shared" si="2"/>
        <v>104555269.04323728</v>
      </c>
      <c r="S14" s="268">
        <f t="shared" si="11"/>
        <v>0.182735650539324</v>
      </c>
      <c r="T14" s="366">
        <f t="shared" si="3"/>
        <v>35742738.203547806</v>
      </c>
      <c r="U14" s="336">
        <f>-'OECD NG subsidies'!D141</f>
        <v>-50956217</v>
      </c>
      <c r="V14" s="342">
        <f t="shared" si="4"/>
        <v>-60451041.782261007</v>
      </c>
      <c r="W14" s="849">
        <f t="shared" si="5"/>
        <v>-24708303.578713201</v>
      </c>
      <c r="X14" s="281">
        <f t="shared" si="12"/>
        <v>3.1405103348080812</v>
      </c>
      <c r="Y14" s="342">
        <f t="shared" si="13"/>
        <v>553826677.9253428</v>
      </c>
    </row>
    <row r="15" spans="1:25" x14ac:dyDescent="0.6">
      <c r="A15" s="46">
        <f t="shared" si="14"/>
        <v>11</v>
      </c>
      <c r="B15" s="44" t="s">
        <v>9</v>
      </c>
      <c r="C15" s="290">
        <v>790168</v>
      </c>
      <c r="D15" s="345">
        <f>C15*Assumptions!$C$48</f>
        <v>5997024893.7462063</v>
      </c>
      <c r="E15" s="391">
        <f>Assumptions!$H$3</f>
        <v>1.1863330000000001</v>
      </c>
      <c r="F15" s="33">
        <f>Assumptions!$C$46</f>
        <v>7.5895567698846396</v>
      </c>
      <c r="G15" s="297">
        <f>Assumptions!$C$63</f>
        <v>27.295999999999999</v>
      </c>
      <c r="H15" s="384">
        <f>0.077*Assumptions!$G$71</f>
        <v>2.8209261430246189</v>
      </c>
      <c r="I15" s="973">
        <f t="shared" ref="I15" si="20">H15*E15</f>
        <v>3.3465577740328256</v>
      </c>
      <c r="J15" s="472">
        <v>1.19</v>
      </c>
      <c r="K15" s="286">
        <f t="shared" si="6"/>
        <v>0.18601037093519998</v>
      </c>
      <c r="L15" s="325">
        <v>0.1</v>
      </c>
      <c r="M15" s="281">
        <f t="shared" si="7"/>
        <v>0.33465577740328256</v>
      </c>
      <c r="N15" s="281">
        <f t="shared" si="8"/>
        <v>1.8601037093519998E-2</v>
      </c>
      <c r="O15" s="281">
        <f t="shared" si="9"/>
        <v>0.35325681449680257</v>
      </c>
      <c r="P15" s="342">
        <f t="shared" si="10"/>
        <v>2006939027.9234746</v>
      </c>
      <c r="Q15" s="1053">
        <f t="shared" si="1"/>
        <v>0.53926718543200258</v>
      </c>
      <c r="R15" s="1047">
        <f t="shared" si="2"/>
        <v>3233998735.4161711</v>
      </c>
      <c r="S15" s="268">
        <f t="shared" si="11"/>
        <v>0.20461140802871997</v>
      </c>
      <c r="T15" s="366">
        <f t="shared" si="3"/>
        <v>1227059707.492696</v>
      </c>
      <c r="U15" s="336">
        <f>-'OECD NG subsidies'!D148</f>
        <v>0</v>
      </c>
      <c r="V15" s="342">
        <f t="shared" si="4"/>
        <v>0</v>
      </c>
      <c r="W15" s="849">
        <f t="shared" si="5"/>
        <v>1227059707.492696</v>
      </c>
      <c r="X15" s="281">
        <f t="shared" si="12"/>
        <v>3.8858249594648284</v>
      </c>
      <c r="Y15" s="342">
        <f t="shared" si="13"/>
        <v>23303389014.650921</v>
      </c>
    </row>
    <row r="16" spans="1:25" x14ac:dyDescent="0.6">
      <c r="A16" s="46">
        <f t="shared" si="14"/>
        <v>12</v>
      </c>
      <c r="B16" s="44" t="s">
        <v>10</v>
      </c>
      <c r="C16" s="290">
        <v>10477</v>
      </c>
      <c r="D16" s="345">
        <f>C16*Assumptions!$C$48</f>
        <v>79515786.278081372</v>
      </c>
      <c r="E16" s="391">
        <f>Assumptions!$H$3</f>
        <v>1.1863330000000001</v>
      </c>
      <c r="F16" s="33">
        <f>Assumptions!$C$46</f>
        <v>7.5895567698846396</v>
      </c>
      <c r="G16" s="297">
        <f>Assumptions!$C$63</f>
        <v>27.295999999999999</v>
      </c>
      <c r="H16" s="384">
        <v>44.41</v>
      </c>
      <c r="I16" s="973">
        <f t="shared" ref="I16" si="21">H16/G16*E16</f>
        <v>1.9301380616207504</v>
      </c>
      <c r="J16" s="434">
        <v>0.3</v>
      </c>
      <c r="K16" s="286">
        <f t="shared" si="6"/>
        <v>4.6893370823999997E-2</v>
      </c>
      <c r="L16" s="325">
        <v>0.08</v>
      </c>
      <c r="M16" s="281">
        <f t="shared" si="7"/>
        <v>0.15441104492966004</v>
      </c>
      <c r="N16" s="281">
        <f t="shared" si="8"/>
        <v>3.75146966592E-3</v>
      </c>
      <c r="O16" s="281">
        <f t="shared" si="9"/>
        <v>0.15816251459558003</v>
      </c>
      <c r="P16" s="342">
        <f t="shared" si="10"/>
        <v>12278115.647602068</v>
      </c>
      <c r="Q16" s="1053">
        <f t="shared" si="1"/>
        <v>0.20505588541958003</v>
      </c>
      <c r="R16" s="1047">
        <f t="shared" si="2"/>
        <v>16305179.960086068</v>
      </c>
      <c r="S16" s="268">
        <f t="shared" si="11"/>
        <v>5.0644840489919997E-2</v>
      </c>
      <c r="T16" s="366">
        <f t="shared" si="3"/>
        <v>4027064.3124840003</v>
      </c>
      <c r="U16" s="336">
        <f>-'OECD NG subsidies'!D159</f>
        <v>0</v>
      </c>
      <c r="V16" s="342">
        <f t="shared" si="4"/>
        <v>0</v>
      </c>
      <c r="W16" s="849">
        <f t="shared" si="5"/>
        <v>4027064.3124840003</v>
      </c>
      <c r="X16" s="281">
        <f t="shared" si="12"/>
        <v>2.1351939470403307</v>
      </c>
      <c r="Y16" s="342">
        <f t="shared" si="13"/>
        <v>169781625.55511194</v>
      </c>
    </row>
    <row r="17" spans="1:25" x14ac:dyDescent="0.6">
      <c r="A17" s="46">
        <f t="shared" si="14"/>
        <v>13</v>
      </c>
      <c r="B17" s="44" t="s">
        <v>11</v>
      </c>
      <c r="C17" s="290">
        <v>122154</v>
      </c>
      <c r="D17" s="345">
        <f>C17*Assumptions!$C$48</f>
        <v>927094717.66848826</v>
      </c>
      <c r="E17" s="391">
        <f>Assumptions!$H$17</f>
        <v>3.8049999999999998E-3</v>
      </c>
      <c r="F17" s="33">
        <f>Assumptions!$C$46</f>
        <v>7.5895567698846396</v>
      </c>
      <c r="G17" s="297">
        <f>Assumptions!$C$63</f>
        <v>27.295999999999999</v>
      </c>
      <c r="H17" s="388">
        <v>9171</v>
      </c>
      <c r="I17" s="301">
        <f t="shared" ref="I17:I18" si="22">H17/G17*E17</f>
        <v>1.2784164346424385</v>
      </c>
      <c r="J17" s="467">
        <v>93.5</v>
      </c>
      <c r="K17" s="286">
        <f t="shared" si="6"/>
        <v>4.6875925799999989E-2</v>
      </c>
      <c r="L17" s="325">
        <v>0.27</v>
      </c>
      <c r="M17" s="281">
        <f t="shared" si="7"/>
        <v>0.34517243735345843</v>
      </c>
      <c r="N17" s="281">
        <f t="shared" si="8"/>
        <v>1.2656499965999999E-2</v>
      </c>
      <c r="O17" s="281">
        <f t="shared" si="9"/>
        <v>0.35782893731945842</v>
      </c>
      <c r="P17" s="342">
        <f t="shared" si="10"/>
        <v>320007543.35514849</v>
      </c>
      <c r="Q17" s="1053">
        <f t="shared" si="1"/>
        <v>0.40470486311945841</v>
      </c>
      <c r="R17" s="1047">
        <f t="shared" si="2"/>
        <v>375199740.8127985</v>
      </c>
      <c r="S17" s="268">
        <f t="shared" si="11"/>
        <v>5.9532425765999986E-2</v>
      </c>
      <c r="T17" s="366">
        <f t="shared" si="3"/>
        <v>55192197.457649991</v>
      </c>
      <c r="U17" s="336">
        <f>-'OECD NG subsidies'!D162</f>
        <v>-79408700000</v>
      </c>
      <c r="V17" s="342">
        <f t="shared" si="4"/>
        <v>-302150103.5</v>
      </c>
      <c r="W17" s="849">
        <f t="shared" si="5"/>
        <v>-246957906.04234999</v>
      </c>
      <c r="X17" s="281">
        <f t="shared" si="12"/>
        <v>1.6831212977618968</v>
      </c>
      <c r="Y17" s="342">
        <f t="shared" si="13"/>
        <v>1258262760.8503852</v>
      </c>
    </row>
    <row r="18" spans="1:25" x14ac:dyDescent="0.6">
      <c r="A18" s="46">
        <f t="shared" si="14"/>
        <v>14</v>
      </c>
      <c r="B18" s="44" t="s">
        <v>12</v>
      </c>
      <c r="C18" s="290">
        <v>316986</v>
      </c>
      <c r="D18" s="345">
        <f>C18*Assumptions!$C$48</f>
        <v>2405783242.2586522</v>
      </c>
      <c r="E18" s="391">
        <f>Assumptions!$H$3</f>
        <v>1.1863330000000001</v>
      </c>
      <c r="F18" s="33">
        <f>Assumptions!$C$46</f>
        <v>7.5895567698846396</v>
      </c>
      <c r="G18" s="297">
        <f>Assumptions!$C$63</f>
        <v>27.295999999999999</v>
      </c>
      <c r="H18" s="384">
        <v>40.06</v>
      </c>
      <c r="I18" s="973">
        <f t="shared" si="22"/>
        <v>1.7410792782825324</v>
      </c>
      <c r="J18" s="434">
        <v>0.34</v>
      </c>
      <c r="K18" s="286">
        <f t="shared" si="6"/>
        <v>5.3145820267200002E-2</v>
      </c>
      <c r="L18" s="325">
        <v>0.21</v>
      </c>
      <c r="M18" s="281">
        <f t="shared" si="7"/>
        <v>0.36562664843933179</v>
      </c>
      <c r="N18" s="281">
        <f t="shared" si="8"/>
        <v>1.1160622256112E-2</v>
      </c>
      <c r="O18" s="281">
        <f t="shared" si="9"/>
        <v>0.37678727069544377</v>
      </c>
      <c r="P18" s="342">
        <f t="shared" si="10"/>
        <v>879618463.73854005</v>
      </c>
      <c r="Q18" s="1053">
        <f t="shared" si="1"/>
        <v>0.42993309096264376</v>
      </c>
      <c r="R18" s="1047">
        <f t="shared" si="2"/>
        <v>1034325825.5303931</v>
      </c>
      <c r="S18" s="268">
        <f t="shared" si="11"/>
        <v>6.4306442523311996E-2</v>
      </c>
      <c r="T18" s="366">
        <f t="shared" si="3"/>
        <v>154707361.79185319</v>
      </c>
      <c r="U18" s="336">
        <f>-'OECD NG subsidies'!D168</f>
        <v>0</v>
      </c>
      <c r="V18" s="342">
        <f t="shared" si="4"/>
        <v>0</v>
      </c>
      <c r="W18" s="849">
        <f t="shared" si="5"/>
        <v>154707361.79185319</v>
      </c>
      <c r="X18" s="281">
        <f t="shared" si="12"/>
        <v>2.1710123692451759</v>
      </c>
      <c r="Y18" s="342">
        <f t="shared" si="13"/>
        <v>5222985176.6662979</v>
      </c>
    </row>
    <row r="19" spans="1:25" x14ac:dyDescent="0.6">
      <c r="A19" s="46">
        <f t="shared" si="14"/>
        <v>15</v>
      </c>
      <c r="B19" s="44" t="s">
        <v>13</v>
      </c>
      <c r="C19" s="290">
        <v>51079</v>
      </c>
      <c r="D19" s="345">
        <f>C19*Assumptions!$C$48</f>
        <v>387666970.24893755</v>
      </c>
      <c r="E19" s="391">
        <f>Assumptions!$H$3</f>
        <v>1.1863330000000001</v>
      </c>
      <c r="F19" s="33">
        <f>Assumptions!$C$46</f>
        <v>7.5895567698846396</v>
      </c>
      <c r="G19" s="297">
        <f>Assumptions!$C$63</f>
        <v>27.295999999999999</v>
      </c>
      <c r="H19" s="384">
        <v>52.02</v>
      </c>
      <c r="I19" s="973">
        <f t="shared" ref="I19:I34" si="23">H19/G19*E19</f>
        <v>2.2608822779894493</v>
      </c>
      <c r="J19" s="434">
        <v>1.66</v>
      </c>
      <c r="K19" s="286">
        <f t="shared" si="6"/>
        <v>0.2594766518928</v>
      </c>
      <c r="L19" s="325">
        <v>0.2</v>
      </c>
      <c r="M19" s="281">
        <f t="shared" si="7"/>
        <v>0.45217645559788988</v>
      </c>
      <c r="N19" s="281">
        <f t="shared" si="8"/>
        <v>5.1895330378560006E-2</v>
      </c>
      <c r="O19" s="281">
        <f t="shared" si="9"/>
        <v>0.50407178597644986</v>
      </c>
      <c r="P19" s="342">
        <f t="shared" si="10"/>
        <v>175293876.5595372</v>
      </c>
      <c r="Q19" s="1053">
        <f t="shared" si="1"/>
        <v>0.76354843786924986</v>
      </c>
      <c r="R19" s="1047">
        <f t="shared" si="2"/>
        <v>296002509.54708123</v>
      </c>
      <c r="S19" s="268">
        <f t="shared" si="11"/>
        <v>0.31137198227135998</v>
      </c>
      <c r="T19" s="366">
        <f t="shared" si="3"/>
        <v>120708632.98754402</v>
      </c>
      <c r="U19" s="336">
        <f>-'OECD NG subsidies'!D174</f>
        <v>0</v>
      </c>
      <c r="V19" s="342">
        <f t="shared" si="4"/>
        <v>0</v>
      </c>
      <c r="W19" s="849">
        <f t="shared" si="5"/>
        <v>120708632.98754402</v>
      </c>
      <c r="X19" s="281">
        <f t="shared" si="12"/>
        <v>3.0244307158586992</v>
      </c>
      <c r="Y19" s="342">
        <f t="shared" si="13"/>
        <v>1172471892.3447673</v>
      </c>
    </row>
    <row r="20" spans="1:25" x14ac:dyDescent="0.6">
      <c r="A20" s="46">
        <f t="shared" si="14"/>
        <v>16</v>
      </c>
      <c r="B20" s="44" t="s">
        <v>14</v>
      </c>
      <c r="C20" s="290">
        <v>146891</v>
      </c>
      <c r="D20" s="345">
        <f>C20*Assumptions!$C$48</f>
        <v>1114837583.4851246</v>
      </c>
      <c r="E20" s="391">
        <f>Assumptions!$H$18</f>
        <v>0.28262100000000001</v>
      </c>
      <c r="F20" s="33">
        <f>Assumptions!$C$46</f>
        <v>7.5895567698846396</v>
      </c>
      <c r="G20" s="297">
        <f>Assumptions!$C$63</f>
        <v>27.295999999999999</v>
      </c>
      <c r="H20" s="420">
        <v>208.4</v>
      </c>
      <c r="I20" s="301">
        <f t="shared" si="23"/>
        <v>2.1577599794841738</v>
      </c>
      <c r="J20" s="431">
        <v>1.28</v>
      </c>
      <c r="K20" s="286">
        <f t="shared" si="6"/>
        <v>4.7664822988799996E-2</v>
      </c>
      <c r="L20" s="325">
        <v>0.23</v>
      </c>
      <c r="M20" s="281">
        <f t="shared" si="7"/>
        <v>0.49628479528135999</v>
      </c>
      <c r="N20" s="281">
        <f t="shared" si="8"/>
        <v>1.0962909287423999E-2</v>
      </c>
      <c r="O20" s="281">
        <f t="shared" si="9"/>
        <v>0.50724770456878399</v>
      </c>
      <c r="P20" s="342">
        <f t="shared" si="10"/>
        <v>553276941.89188111</v>
      </c>
      <c r="Q20" s="1053">
        <f t="shared" si="1"/>
        <v>0.55491252755758402</v>
      </c>
      <c r="R20" s="1047">
        <f t="shared" si="2"/>
        <v>618637341.26791954</v>
      </c>
      <c r="S20" s="268">
        <f t="shared" si="11"/>
        <v>5.8627732276223997E-2</v>
      </c>
      <c r="T20" s="366">
        <f t="shared" si="3"/>
        <v>65360399.376038402</v>
      </c>
      <c r="U20" s="336">
        <f>-'OECD NG subsidies'!D177</f>
        <v>0</v>
      </c>
      <c r="V20" s="342">
        <f t="shared" si="4"/>
        <v>0</v>
      </c>
      <c r="W20" s="849">
        <f t="shared" si="5"/>
        <v>65360399.376038402</v>
      </c>
      <c r="X20" s="281">
        <f t="shared" si="12"/>
        <v>2.7126725070417574</v>
      </c>
      <c r="Y20" s="342">
        <f t="shared" si="13"/>
        <v>3024189262.5369673</v>
      </c>
    </row>
    <row r="21" spans="1:25" x14ac:dyDescent="0.6">
      <c r="A21" s="46">
        <f t="shared" si="14"/>
        <v>17</v>
      </c>
      <c r="B21" s="44" t="s">
        <v>15</v>
      </c>
      <c r="C21" s="290">
        <v>12230</v>
      </c>
      <c r="D21" s="345">
        <f>C21*Assumptions!$C$48</f>
        <v>92820279.295689151</v>
      </c>
      <c r="E21" s="391">
        <f>Assumptions!$H$3</f>
        <v>1.1863330000000001</v>
      </c>
      <c r="F21" s="33">
        <f>Assumptions!$C$46</f>
        <v>7.5895567698846396</v>
      </c>
      <c r="G21" s="297">
        <f>Assumptions!$C$63</f>
        <v>27.295999999999999</v>
      </c>
      <c r="H21" s="384">
        <v>78.260000000000005</v>
      </c>
      <c r="I21" s="973">
        <f t="shared" ref="I21:I23" si="24">H21/G21*E21</f>
        <v>3.4013196285169993</v>
      </c>
      <c r="J21" s="434">
        <v>0.59</v>
      </c>
      <c r="K21" s="286">
        <f t="shared" si="6"/>
        <v>9.2223629287199987E-2</v>
      </c>
      <c r="L21" s="325">
        <v>0.23</v>
      </c>
      <c r="M21" s="281">
        <f t="shared" si="7"/>
        <v>0.7823035145589099</v>
      </c>
      <c r="N21" s="281">
        <f t="shared" si="8"/>
        <v>2.1211434736055999E-2</v>
      </c>
      <c r="O21" s="281">
        <f t="shared" si="9"/>
        <v>0.80351494929496592</v>
      </c>
      <c r="P21" s="342">
        <f t="shared" si="10"/>
        <v>72613630.715357244</v>
      </c>
      <c r="Q21" s="1053">
        <f t="shared" si="1"/>
        <v>0.89573857858216588</v>
      </c>
      <c r="R21" s="1047">
        <f t="shared" si="2"/>
        <v>83142705.039920241</v>
      </c>
      <c r="S21" s="268">
        <f t="shared" si="11"/>
        <v>0.11343506402325598</v>
      </c>
      <c r="T21" s="366">
        <f t="shared" si="3"/>
        <v>10529074.324563</v>
      </c>
      <c r="U21" s="336">
        <f>-'OECD NG subsidies'!D182</f>
        <v>0</v>
      </c>
      <c r="V21" s="342">
        <f t="shared" si="4"/>
        <v>0</v>
      </c>
      <c r="W21" s="849">
        <f t="shared" si="5"/>
        <v>10529074.324563</v>
      </c>
      <c r="X21" s="281">
        <f t="shared" si="12"/>
        <v>4.2970582070991652</v>
      </c>
      <c r="Y21" s="342">
        <f t="shared" si="13"/>
        <v>398854142.93277776</v>
      </c>
    </row>
    <row r="22" spans="1:25" x14ac:dyDescent="0.6">
      <c r="A22" s="46">
        <f t="shared" si="14"/>
        <v>18</v>
      </c>
      <c r="B22" s="44" t="s">
        <v>16</v>
      </c>
      <c r="C22" s="290">
        <v>4814</v>
      </c>
      <c r="D22" s="345">
        <f>C22*Assumptions!$C$48</f>
        <v>36536126.290224656</v>
      </c>
      <c r="E22" s="391">
        <f>Assumptions!$H$3</f>
        <v>1.1863330000000001</v>
      </c>
      <c r="F22" s="33">
        <f>Assumptions!$C$46</f>
        <v>7.5895567698846396</v>
      </c>
      <c r="G22" s="297">
        <f>Assumptions!$C$63</f>
        <v>27.295999999999999</v>
      </c>
      <c r="H22" s="384">
        <v>65.12</v>
      </c>
      <c r="I22" s="973">
        <f t="shared" si="24"/>
        <v>2.8302317174677611</v>
      </c>
      <c r="J22" s="434">
        <v>1.42</v>
      </c>
      <c r="K22" s="286">
        <f t="shared" si="6"/>
        <v>0.22196195523359996</v>
      </c>
      <c r="L22" s="325">
        <v>0.22</v>
      </c>
      <c r="M22" s="281">
        <f t="shared" si="7"/>
        <v>0.62265097784290746</v>
      </c>
      <c r="N22" s="281">
        <f t="shared" si="8"/>
        <v>4.883163015139199E-2</v>
      </c>
      <c r="O22" s="281">
        <f t="shared" si="9"/>
        <v>0.67148260799429949</v>
      </c>
      <c r="P22" s="342">
        <f t="shared" si="10"/>
        <v>22749254.761200342</v>
      </c>
      <c r="Q22" s="1053">
        <f t="shared" si="1"/>
        <v>0.89344456322789945</v>
      </c>
      <c r="R22" s="1047">
        <f t="shared" si="2"/>
        <v>32643003.395409141</v>
      </c>
      <c r="S22" s="268">
        <f t="shared" si="11"/>
        <v>0.27079358538499193</v>
      </c>
      <c r="T22" s="366">
        <f t="shared" si="3"/>
        <v>9893748.6342087984</v>
      </c>
      <c r="U22" s="336">
        <f>-'OECD NG subsidies'!D184</f>
        <v>0</v>
      </c>
      <c r="V22" s="342">
        <f t="shared" si="4"/>
        <v>0</v>
      </c>
      <c r="W22" s="849">
        <f t="shared" si="5"/>
        <v>9893748.6342087984</v>
      </c>
      <c r="X22" s="281">
        <f t="shared" si="12"/>
        <v>3.7236762806956607</v>
      </c>
      <c r="Y22" s="342">
        <f t="shared" si="13"/>
        <v>136048706.8554107</v>
      </c>
    </row>
    <row r="23" spans="1:25" x14ac:dyDescent="0.6">
      <c r="A23" s="46">
        <f t="shared" si="14"/>
        <v>19</v>
      </c>
      <c r="B23" s="44" t="s">
        <v>17</v>
      </c>
      <c r="C23" s="290">
        <v>48871</v>
      </c>
      <c r="D23" s="345">
        <f>C23*Assumptions!$C$48</f>
        <v>370909228.90103221</v>
      </c>
      <c r="E23" s="391">
        <f>Assumptions!$H$3</f>
        <v>1.1863330000000001</v>
      </c>
      <c r="F23" s="33">
        <f>Assumptions!$C$46</f>
        <v>7.5895567698846396</v>
      </c>
      <c r="G23" s="297">
        <f>Assumptions!$C$63</f>
        <v>27.295999999999999</v>
      </c>
      <c r="H23" s="384">
        <v>43.98</v>
      </c>
      <c r="I23" s="973">
        <f t="shared" si="24"/>
        <v>1.9114494922332943</v>
      </c>
      <c r="J23" s="434">
        <v>0.37</v>
      </c>
      <c r="K23" s="286">
        <f t="shared" si="6"/>
        <v>5.78351573496E-2</v>
      </c>
      <c r="L23" s="325">
        <v>0.2</v>
      </c>
      <c r="M23" s="281">
        <f t="shared" si="7"/>
        <v>0.38228989844665889</v>
      </c>
      <c r="N23" s="281">
        <f t="shared" si="8"/>
        <v>1.1567031469920001E-2</v>
      </c>
      <c r="O23" s="281">
        <f t="shared" si="9"/>
        <v>0.39385692991657889</v>
      </c>
      <c r="P23" s="342">
        <f t="shared" si="10"/>
        <v>141794851.44950417</v>
      </c>
      <c r="Q23" s="1053">
        <f t="shared" si="1"/>
        <v>0.45169208726617888</v>
      </c>
      <c r="R23" s="1047">
        <f t="shared" si="2"/>
        <v>167536763.78859615</v>
      </c>
      <c r="S23" s="268">
        <f t="shared" si="11"/>
        <v>6.9402188819519997E-2</v>
      </c>
      <c r="T23" s="366">
        <f t="shared" si="3"/>
        <v>25741912.339092001</v>
      </c>
      <c r="U23" s="336">
        <f>-'OECD NG subsidies'!D188</f>
        <v>-11665600.25</v>
      </c>
      <c r="V23" s="342">
        <f t="shared" si="4"/>
        <v>-13839286.541383252</v>
      </c>
      <c r="W23" s="849">
        <f t="shared" si="5"/>
        <v>11902625.79770875</v>
      </c>
      <c r="X23" s="281">
        <f t="shared" si="12"/>
        <v>2.363141579499473</v>
      </c>
      <c r="Y23" s="342">
        <f t="shared" si="13"/>
        <v>862671734.49473357</v>
      </c>
    </row>
    <row r="24" spans="1:25" x14ac:dyDescent="0.6">
      <c r="A24" s="46">
        <f t="shared" si="14"/>
        <v>20</v>
      </c>
      <c r="B24" s="44" t="s">
        <v>18</v>
      </c>
      <c r="C24" s="290">
        <v>1223</v>
      </c>
      <c r="D24" s="345">
        <f>C24*Assumptions!$C$48</f>
        <v>9282027.9295689147</v>
      </c>
      <c r="E24" s="391">
        <f>Assumptions!$H$3</f>
        <v>1.1863330000000001</v>
      </c>
      <c r="F24" s="33">
        <f>Assumptions!$C$46</f>
        <v>7.5895567698846396</v>
      </c>
      <c r="G24" s="297">
        <f>Assumptions!$C$63</f>
        <v>27.295999999999999</v>
      </c>
      <c r="H24" s="384"/>
      <c r="I24" s="973">
        <f>I8</f>
        <v>1.4664683470105511</v>
      </c>
      <c r="J24" s="427">
        <v>4.29</v>
      </c>
      <c r="K24" s="286">
        <f t="shared" si="6"/>
        <v>0.67057520278319993</v>
      </c>
      <c r="L24" s="325">
        <v>0.24</v>
      </c>
      <c r="M24" s="281">
        <f t="shared" si="7"/>
        <v>0.35195240328253224</v>
      </c>
      <c r="N24" s="281">
        <f t="shared" si="8"/>
        <v>0.16093804866796799</v>
      </c>
      <c r="O24" s="281">
        <f t="shared" si="9"/>
        <v>0.5128904519505002</v>
      </c>
      <c r="P24" s="342">
        <f t="shared" si="10"/>
        <v>3266832.0371473664</v>
      </c>
      <c r="Q24" s="1053">
        <f t="shared" si="1"/>
        <v>1.1834656547337001</v>
      </c>
      <c r="R24" s="1047">
        <f t="shared" si="2"/>
        <v>10984961.260923767</v>
      </c>
      <c r="S24" s="268">
        <f t="shared" si="11"/>
        <v>0.83151325145116795</v>
      </c>
      <c r="T24" s="366">
        <f t="shared" si="3"/>
        <v>7718129.223776401</v>
      </c>
      <c r="U24" s="336">
        <f>-'OECD NG subsidies'!D190</f>
        <v>0</v>
      </c>
      <c r="V24" s="342">
        <f t="shared" si="4"/>
        <v>0</v>
      </c>
      <c r="W24" s="849">
        <f t="shared" si="5"/>
        <v>7718129.223776401</v>
      </c>
      <c r="X24" s="281">
        <f t="shared" si="12"/>
        <v>2.6499340017442514</v>
      </c>
      <c r="Y24" s="342">
        <f t="shared" si="13"/>
        <v>24596761.415704463</v>
      </c>
    </row>
    <row r="25" spans="1:25" x14ac:dyDescent="0.6">
      <c r="A25" s="46">
        <f t="shared" si="14"/>
        <v>21</v>
      </c>
      <c r="B25" s="44" t="s">
        <v>19</v>
      </c>
      <c r="C25" s="290">
        <v>1273</v>
      </c>
      <c r="D25" s="345">
        <f>C25*Assumptions!$C$48</f>
        <v>9661505.7680631466</v>
      </c>
      <c r="E25" s="391">
        <f>Assumptions!$H$19</f>
        <v>0.119739</v>
      </c>
      <c r="F25" s="33">
        <f>Assumptions!$C$46</f>
        <v>7.5895567698846396</v>
      </c>
      <c r="G25" s="297">
        <f>Assumptions!$C$63</f>
        <v>27.295999999999999</v>
      </c>
      <c r="H25" s="1437">
        <v>571</v>
      </c>
      <c r="I25" s="973">
        <f t="shared" ref="I25" si="25">H25/G25*E25</f>
        <v>2.5047981022860495</v>
      </c>
      <c r="J25" s="1438">
        <v>83.7</v>
      </c>
      <c r="K25" s="286">
        <f t="shared" si="6"/>
        <v>1.320519050568</v>
      </c>
      <c r="L25" s="325">
        <v>0.25</v>
      </c>
      <c r="M25" s="281">
        <f t="shared" si="7"/>
        <v>0.62619952557151237</v>
      </c>
      <c r="N25" s="281">
        <f t="shared" si="8"/>
        <v>0.330129762642</v>
      </c>
      <c r="O25" s="281">
        <f t="shared" si="9"/>
        <v>0.95632928821351237</v>
      </c>
      <c r="P25" s="342">
        <f t="shared" si="10"/>
        <v>6050030.3282675724</v>
      </c>
      <c r="Q25" s="1053">
        <f t="shared" si="1"/>
        <v>2.2768483387815124</v>
      </c>
      <c r="R25" s="1047">
        <f t="shared" si="2"/>
        <v>21997783.358142577</v>
      </c>
      <c r="S25" s="268">
        <f t="shared" si="11"/>
        <v>1.6506488132100001</v>
      </c>
      <c r="T25" s="366">
        <f t="shared" si="3"/>
        <v>15947753.029875003</v>
      </c>
      <c r="U25" s="336">
        <f>-'OECD NG subsidies'!D195</f>
        <v>0</v>
      </c>
      <c r="V25" s="342">
        <f t="shared" si="4"/>
        <v>0</v>
      </c>
      <c r="W25" s="849">
        <f t="shared" si="5"/>
        <v>15947753.029875003</v>
      </c>
      <c r="X25" s="281">
        <f t="shared" si="12"/>
        <v>4.7816464410675614</v>
      </c>
      <c r="Y25" s="342">
        <f t="shared" si="13"/>
        <v>46197904.671212859</v>
      </c>
    </row>
    <row r="26" spans="1:25" ht="15.9" thickBot="1" x14ac:dyDescent="0.65">
      <c r="A26" s="15">
        <f t="shared" si="14"/>
        <v>22</v>
      </c>
      <c r="B26" s="47" t="s">
        <v>20</v>
      </c>
      <c r="C26" s="291">
        <v>1052700</v>
      </c>
      <c r="D26" s="347">
        <f>C26*Assumptions!$C$48</f>
        <v>7989526411.6575603</v>
      </c>
      <c r="E26" s="419">
        <f>Assumptions!$H$20</f>
        <v>1.337591</v>
      </c>
      <c r="F26" s="36">
        <f>Assumptions!$C$46</f>
        <v>7.5895567698846396</v>
      </c>
      <c r="G26" s="299">
        <f>Assumptions!$C$63</f>
        <v>27.295999999999999</v>
      </c>
      <c r="H26" s="421">
        <v>46.39</v>
      </c>
      <c r="I26" s="303">
        <f t="shared" ref="I26" si="26">H26/G26*E26</f>
        <v>2.2732578579279017</v>
      </c>
      <c r="J26" s="433"/>
      <c r="K26" s="308">
        <f t="shared" ref="K26" si="27">J26*E26/G26</f>
        <v>0</v>
      </c>
      <c r="L26" s="376">
        <v>0.05</v>
      </c>
      <c r="M26" s="318">
        <f t="shared" si="7"/>
        <v>0.11366289289639508</v>
      </c>
      <c r="N26" s="318">
        <f t="shared" si="8"/>
        <v>0</v>
      </c>
      <c r="O26" s="318">
        <f t="shared" si="9"/>
        <v>0.11366289289639508</v>
      </c>
      <c r="P26" s="344">
        <f t="shared" si="10"/>
        <v>908112684.82115304</v>
      </c>
      <c r="Q26" s="1054">
        <f t="shared" si="1"/>
        <v>0.11366289289639508</v>
      </c>
      <c r="R26" s="1048">
        <f t="shared" si="2"/>
        <v>908112684.82115304</v>
      </c>
      <c r="S26" s="269">
        <f t="shared" si="11"/>
        <v>0</v>
      </c>
      <c r="T26" s="368">
        <f t="shared" si="3"/>
        <v>0</v>
      </c>
      <c r="U26" s="340">
        <f>-'OECD NG subsidies'!D208</f>
        <v>0</v>
      </c>
      <c r="V26" s="344">
        <f t="shared" si="4"/>
        <v>0</v>
      </c>
      <c r="W26" s="851">
        <f t="shared" si="5"/>
        <v>0</v>
      </c>
      <c r="X26" s="318">
        <f t="shared" si="12"/>
        <v>2.3869207508242969</v>
      </c>
      <c r="Y26" s="344">
        <f t="shared" si="13"/>
        <v>19070366381.244213</v>
      </c>
    </row>
    <row r="27" spans="1:25" ht="15.9" thickTop="1" x14ac:dyDescent="0.6">
      <c r="A27" s="48" t="s">
        <v>36</v>
      </c>
      <c r="B27" s="44"/>
      <c r="C27" s="290"/>
      <c r="D27" s="345"/>
      <c r="E27" s="399"/>
      <c r="F27" s="33"/>
      <c r="G27" s="297"/>
      <c r="H27" s="383"/>
      <c r="I27" s="973"/>
      <c r="J27" s="457"/>
      <c r="K27" s="306"/>
      <c r="L27" s="322"/>
      <c r="M27" s="320"/>
      <c r="N27" s="320"/>
      <c r="O27" s="320"/>
      <c r="P27" s="847"/>
      <c r="Q27" s="1053"/>
      <c r="R27" s="1047"/>
      <c r="S27" s="310"/>
      <c r="T27" s="366"/>
      <c r="U27" s="336"/>
      <c r="V27" s="342"/>
      <c r="W27" s="849"/>
      <c r="X27" s="320"/>
      <c r="Y27" s="342"/>
    </row>
    <row r="28" spans="1:25" x14ac:dyDescent="0.6">
      <c r="A28" s="61">
        <f>A26+1</f>
        <v>23</v>
      </c>
      <c r="B28" s="44" t="s">
        <v>38</v>
      </c>
      <c r="C28" s="290">
        <v>686944</v>
      </c>
      <c r="D28" s="345">
        <f>C28*Assumptions!$C$48</f>
        <v>5213600485.7316341</v>
      </c>
      <c r="E28" s="399">
        <f>Assumptions!$H$4</f>
        <v>0.78824099999999997</v>
      </c>
      <c r="F28" s="33">
        <f>Assumptions!$C$46</f>
        <v>7.5895567698846396</v>
      </c>
      <c r="G28" s="297">
        <f>Assumptions!$C$63</f>
        <v>27.295999999999999</v>
      </c>
      <c r="H28" s="441">
        <f>34.93</f>
        <v>34.93</v>
      </c>
      <c r="I28" s="973">
        <f t="shared" si="23"/>
        <v>1.008692047552755</v>
      </c>
      <c r="J28" s="447"/>
      <c r="K28" s="306">
        <f t="shared" ref="K28:K38" si="28">J28*E28/G28</f>
        <v>0</v>
      </c>
      <c r="L28" s="322">
        <f>Gasoline!K28</f>
        <v>9.0499999999999997E-2</v>
      </c>
      <c r="M28" s="320">
        <f t="shared" si="7"/>
        <v>9.1286630303524324E-2</v>
      </c>
      <c r="N28" s="320">
        <f t="shared" si="8"/>
        <v>0</v>
      </c>
      <c r="O28" s="320">
        <f t="shared" si="9"/>
        <v>9.1286630303524324E-2</v>
      </c>
      <c r="P28" s="847">
        <f t="shared" si="10"/>
        <v>475932020.09125853</v>
      </c>
      <c r="Q28" s="1053">
        <f t="shared" si="1"/>
        <v>9.1286630303524324E-2</v>
      </c>
      <c r="R28" s="1047">
        <f t="shared" si="2"/>
        <v>475932020.09125853</v>
      </c>
      <c r="S28" s="310">
        <f t="shared" si="11"/>
        <v>0</v>
      </c>
      <c r="T28" s="366">
        <f t="shared" ref="T28:T34" si="29">D28*S28</f>
        <v>0</v>
      </c>
      <c r="U28" s="336">
        <f>-'OECD NG subsidies'!D230</f>
        <v>-120032736</v>
      </c>
      <c r="V28" s="342">
        <f t="shared" ref="V28:V34" si="30">U28*E28</f>
        <v>-94614723.857375994</v>
      </c>
      <c r="W28" s="849">
        <f t="shared" ref="W28:W34" si="31">T28+V28</f>
        <v>-94614723.857375994</v>
      </c>
      <c r="X28" s="320">
        <f t="shared" si="12"/>
        <v>1.0999786778562792</v>
      </c>
      <c r="Y28" s="342">
        <f t="shared" si="13"/>
        <v>5640234645.3085623</v>
      </c>
    </row>
    <row r="29" spans="1:25" x14ac:dyDescent="0.6">
      <c r="A29" s="61">
        <f t="shared" ref="A29:A34" si="32">A28+1</f>
        <v>24</v>
      </c>
      <c r="B29" s="44" t="s">
        <v>39</v>
      </c>
      <c r="C29" s="290">
        <v>156</v>
      </c>
      <c r="D29" s="345">
        <f>C29*Assumptions!$C$48</f>
        <v>1183970.8561020037</v>
      </c>
      <c r="E29" s="399">
        <f>Assumptions!$H$5</f>
        <v>0.12035</v>
      </c>
      <c r="F29" s="33">
        <f>Assumptions!$C$46</f>
        <v>7.5895567698846396</v>
      </c>
      <c r="G29" s="297">
        <f>Assumptions!$C$63</f>
        <v>27.295999999999999</v>
      </c>
      <c r="H29" s="442"/>
      <c r="I29" s="973">
        <f>Assumptions!$C$104</f>
        <v>1.5</v>
      </c>
      <c r="J29" s="448">
        <f>I84</f>
        <v>0.19629040330399999</v>
      </c>
      <c r="K29" s="306">
        <f>J29*E29</f>
        <v>2.3623550037636398E-2</v>
      </c>
      <c r="L29" s="322">
        <f>Gasoline!K29</f>
        <v>0.25</v>
      </c>
      <c r="M29" s="320">
        <f t="shared" si="7"/>
        <v>0.375</v>
      </c>
      <c r="N29" s="320">
        <f t="shared" si="8"/>
        <v>5.9058875094090994E-3</v>
      </c>
      <c r="O29" s="320">
        <f t="shared" si="9"/>
        <v>0.38090588750940912</v>
      </c>
      <c r="P29" s="847">
        <f t="shared" si="10"/>
        <v>443989.07103825139</v>
      </c>
      <c r="Q29" s="1053">
        <f t="shared" si="1"/>
        <v>0.40452943754704551</v>
      </c>
      <c r="R29" s="1047">
        <f t="shared" si="2"/>
        <v>478951.06449103751</v>
      </c>
      <c r="S29" s="310">
        <f t="shared" si="11"/>
        <v>2.9529437547045498E-2</v>
      </c>
      <c r="T29" s="366">
        <f t="shared" si="29"/>
        <v>34961.993452786111</v>
      </c>
      <c r="U29" s="336">
        <f>-'OECD NG subsidies'!D264</f>
        <v>0</v>
      </c>
      <c r="V29" s="342">
        <f t="shared" si="30"/>
        <v>0</v>
      </c>
      <c r="W29" s="849">
        <f t="shared" si="31"/>
        <v>34961.993452786111</v>
      </c>
      <c r="X29" s="320">
        <f t="shared" si="12"/>
        <v>1.9045294375470456</v>
      </c>
      <c r="Y29" s="342">
        <f t="shared" si="13"/>
        <v>2254907.3486440433</v>
      </c>
    </row>
    <row r="30" spans="1:25" x14ac:dyDescent="0.6">
      <c r="A30" s="61">
        <f t="shared" si="32"/>
        <v>25</v>
      </c>
      <c r="B30" s="44" t="s">
        <v>40</v>
      </c>
      <c r="C30" s="290">
        <v>50958</v>
      </c>
      <c r="D30" s="345">
        <f>C30*Assumptions!$C$48</f>
        <v>386748633.87978148</v>
      </c>
      <c r="E30" s="399">
        <f>Assumptions!$H$6</f>
        <v>1.010632</v>
      </c>
      <c r="F30" s="33">
        <f>Assumptions!$C$46</f>
        <v>7.5895567698846396</v>
      </c>
      <c r="G30" s="297">
        <f>Assumptions!$C$63</f>
        <v>27.295999999999999</v>
      </c>
      <c r="H30" s="443">
        <v>79.13</v>
      </c>
      <c r="I30" s="973">
        <f t="shared" si="23"/>
        <v>2.929781292497069</v>
      </c>
      <c r="J30" s="449"/>
      <c r="K30" s="306">
        <f t="shared" si="28"/>
        <v>0</v>
      </c>
      <c r="L30" s="322">
        <f>Gasoline!K30</f>
        <v>0.08</v>
      </c>
      <c r="M30" s="320">
        <f t="shared" si="7"/>
        <v>0.23438250339976552</v>
      </c>
      <c r="N30" s="320">
        <f t="shared" si="8"/>
        <v>0</v>
      </c>
      <c r="O30" s="320">
        <f t="shared" si="9"/>
        <v>0.23438250339976552</v>
      </c>
      <c r="P30" s="847">
        <f t="shared" si="10"/>
        <v>90647112.995182559</v>
      </c>
      <c r="Q30" s="1053">
        <f t="shared" si="1"/>
        <v>0.23438250339976552</v>
      </c>
      <c r="R30" s="1047">
        <f t="shared" si="2"/>
        <v>90647112.995182559</v>
      </c>
      <c r="S30" s="310">
        <f t="shared" si="11"/>
        <v>0</v>
      </c>
      <c r="T30" s="366">
        <f t="shared" si="29"/>
        <v>0</v>
      </c>
      <c r="U30" s="336">
        <f>-'OECD NG subsidies'!D275</f>
        <v>0</v>
      </c>
      <c r="V30" s="342">
        <f t="shared" si="30"/>
        <v>0</v>
      </c>
      <c r="W30" s="849">
        <f t="shared" si="31"/>
        <v>0</v>
      </c>
      <c r="X30" s="320">
        <f t="shared" si="12"/>
        <v>3.1641637958968345</v>
      </c>
      <c r="Y30" s="342">
        <f t="shared" si="13"/>
        <v>1223736025.4349644</v>
      </c>
    </row>
    <row r="31" spans="1:25" x14ac:dyDescent="0.6">
      <c r="A31" s="61">
        <f t="shared" si="32"/>
        <v>26</v>
      </c>
      <c r="B31" s="44" t="s">
        <v>31</v>
      </c>
      <c r="C31" s="290">
        <v>402193</v>
      </c>
      <c r="D31" s="345">
        <f>C31*Assumptions!$C$48</f>
        <v>3052466605.950213</v>
      </c>
      <c r="E31" s="399">
        <f>Assumptions!$H$7</f>
        <v>8.829E-3</v>
      </c>
      <c r="F31" s="33">
        <f>Assumptions!$C$46</f>
        <v>7.5895567698846396</v>
      </c>
      <c r="G31" s="297">
        <f>Assumptions!$C$63</f>
        <v>27.295999999999999</v>
      </c>
      <c r="H31" s="444">
        <v>14025</v>
      </c>
      <c r="I31" s="973">
        <f t="shared" si="23"/>
        <v>4.5364421526963659</v>
      </c>
      <c r="J31" s="450"/>
      <c r="K31" s="306">
        <f t="shared" si="28"/>
        <v>0</v>
      </c>
      <c r="L31" s="322">
        <f>Gasoline!K31</f>
        <v>0.08</v>
      </c>
      <c r="M31" s="320">
        <f t="shared" si="7"/>
        <v>0.3629153722157093</v>
      </c>
      <c r="N31" s="320">
        <f t="shared" si="8"/>
        <v>0</v>
      </c>
      <c r="O31" s="320">
        <f t="shared" si="9"/>
        <v>0.3629153722157093</v>
      </c>
      <c r="P31" s="847">
        <f t="shared" si="10"/>
        <v>1107787054.4744444</v>
      </c>
      <c r="Q31" s="1053">
        <f t="shared" si="1"/>
        <v>0.3629153722157093</v>
      </c>
      <c r="R31" s="1047">
        <f t="shared" si="2"/>
        <v>1107787054.4744444</v>
      </c>
      <c r="S31" s="310">
        <f t="shared" si="11"/>
        <v>0</v>
      </c>
      <c r="T31" s="366">
        <f t="shared" si="29"/>
        <v>0</v>
      </c>
      <c r="U31" s="336">
        <f>-'OECD NG subsidies'!D282</f>
        <v>0</v>
      </c>
      <c r="V31" s="342">
        <f t="shared" si="30"/>
        <v>0</v>
      </c>
      <c r="W31" s="849">
        <f t="shared" si="31"/>
        <v>0</v>
      </c>
      <c r="X31" s="320">
        <f t="shared" si="12"/>
        <v>4.8993575249120758</v>
      </c>
      <c r="Y31" s="342">
        <f t="shared" si="13"/>
        <v>14955125235.405001</v>
      </c>
    </row>
    <row r="32" spans="1:25" x14ac:dyDescent="0.6">
      <c r="A32" s="61">
        <f t="shared" si="32"/>
        <v>27</v>
      </c>
      <c r="B32" s="44" t="s">
        <v>47</v>
      </c>
      <c r="C32" s="290">
        <v>380132</v>
      </c>
      <c r="D32" s="345">
        <f>C32*Assumptions!$C$48</f>
        <v>2885033394.049788</v>
      </c>
      <c r="E32" s="399">
        <f>Assumptions!$H$8</f>
        <v>9.3000000000000005E-4</v>
      </c>
      <c r="F32" s="33">
        <f>Assumptions!$C$46</f>
        <v>7.5895567698846396</v>
      </c>
      <c r="G32" s="297">
        <f>Assumptions!$C$63</f>
        <v>27.295999999999999</v>
      </c>
      <c r="H32" s="446"/>
      <c r="I32" s="973">
        <f>I31</f>
        <v>4.5364421526963659</v>
      </c>
      <c r="J32" s="451"/>
      <c r="K32" s="306">
        <f t="shared" si="28"/>
        <v>0</v>
      </c>
      <c r="L32" s="322">
        <f>Gasoline!K32</f>
        <v>0.1</v>
      </c>
      <c r="M32" s="320">
        <f t="shared" si="7"/>
        <v>0.45364421526963661</v>
      </c>
      <c r="N32" s="320">
        <f t="shared" si="8"/>
        <v>0</v>
      </c>
      <c r="O32" s="320">
        <f t="shared" si="9"/>
        <v>0.45364421526963661</v>
      </c>
      <c r="P32" s="847">
        <f t="shared" si="10"/>
        <v>1308778710.0704124</v>
      </c>
      <c r="Q32" s="1053">
        <f t="shared" si="1"/>
        <v>0.45364421526963661</v>
      </c>
      <c r="R32" s="1047">
        <f t="shared" si="2"/>
        <v>1308778710.0704124</v>
      </c>
      <c r="S32" s="310">
        <f t="shared" si="11"/>
        <v>0</v>
      </c>
      <c r="T32" s="366">
        <f t="shared" si="29"/>
        <v>0</v>
      </c>
      <c r="U32" s="336">
        <f>-'OECD NG subsidies'!D296</f>
        <v>0</v>
      </c>
      <c r="V32" s="342">
        <f t="shared" si="30"/>
        <v>0</v>
      </c>
      <c r="W32" s="849">
        <f t="shared" si="31"/>
        <v>0</v>
      </c>
      <c r="X32" s="320">
        <f t="shared" si="12"/>
        <v>4.9900863679660032</v>
      </c>
      <c r="Y32" s="342">
        <f t="shared" si="13"/>
        <v>14396565810.774538</v>
      </c>
    </row>
    <row r="33" spans="1:25" x14ac:dyDescent="0.6">
      <c r="A33" s="61">
        <f t="shared" si="32"/>
        <v>28</v>
      </c>
      <c r="B33" s="44" t="s">
        <v>32</v>
      </c>
      <c r="C33" s="290">
        <v>162272</v>
      </c>
      <c r="D33" s="345">
        <f>C33*Assumptions!$C$48</f>
        <v>1231572556.1627202</v>
      </c>
      <c r="E33" s="399">
        <f>Assumptions!$H$9</f>
        <v>0.77382200000000001</v>
      </c>
      <c r="F33" s="33">
        <f>Assumptions!$C$46</f>
        <v>7.5895567698846396</v>
      </c>
      <c r="G33" s="297">
        <f>Assumptions!$C$63</f>
        <v>27.295999999999999</v>
      </c>
      <c r="H33" s="389">
        <v>0.03</v>
      </c>
      <c r="I33" s="973">
        <f>H33*E33/Assumptions!C47</f>
        <v>3.0587636015999995</v>
      </c>
      <c r="J33" s="452"/>
      <c r="K33" s="306">
        <f t="shared" si="28"/>
        <v>0</v>
      </c>
      <c r="L33" s="322">
        <f>Gasoline!K33</f>
        <v>0.1</v>
      </c>
      <c r="M33" s="320">
        <f t="shared" si="7"/>
        <v>0.30587636015999997</v>
      </c>
      <c r="N33" s="320">
        <f t="shared" si="8"/>
        <v>0</v>
      </c>
      <c r="O33" s="320">
        <f t="shared" si="9"/>
        <v>0.30587636015999997</v>
      </c>
      <c r="P33" s="847">
        <f t="shared" si="10"/>
        <v>376708930.75199997</v>
      </c>
      <c r="Q33" s="1053">
        <f t="shared" si="1"/>
        <v>0.30587636015999997</v>
      </c>
      <c r="R33" s="1047">
        <f t="shared" si="2"/>
        <v>376708930.75199997</v>
      </c>
      <c r="S33" s="310">
        <f t="shared" si="11"/>
        <v>0</v>
      </c>
      <c r="T33" s="366">
        <f t="shared" si="29"/>
        <v>0</v>
      </c>
      <c r="U33" s="336">
        <f>-'OECD NG subsidies'!D298</f>
        <v>-110603105</v>
      </c>
      <c r="V33" s="342">
        <f t="shared" si="30"/>
        <v>-85587115.917309999</v>
      </c>
      <c r="W33" s="849">
        <f t="shared" si="31"/>
        <v>-85587115.917309999</v>
      </c>
      <c r="X33" s="320">
        <f t="shared" si="12"/>
        <v>3.3646399617599996</v>
      </c>
      <c r="Y33" s="342">
        <f t="shared" si="13"/>
        <v>4058211122.3546896</v>
      </c>
    </row>
    <row r="34" spans="1:25" ht="15.9" thickBot="1" x14ac:dyDescent="0.65">
      <c r="A34" s="62">
        <f t="shared" si="32"/>
        <v>29</v>
      </c>
      <c r="B34" s="47" t="s">
        <v>33</v>
      </c>
      <c r="C34" s="291">
        <v>6783</v>
      </c>
      <c r="D34" s="347">
        <f>C34*Assumptions!$C$48</f>
        <v>51479963.57012751</v>
      </c>
      <c r="E34" s="417">
        <f>Assumptions!$H$10</f>
        <v>0.70460400000000001</v>
      </c>
      <c r="F34" s="36">
        <f>Assumptions!$C$46</f>
        <v>7.5895567698846396</v>
      </c>
      <c r="G34" s="299">
        <f>Assumptions!$C$63</f>
        <v>27.295999999999999</v>
      </c>
      <c r="H34" s="445">
        <v>114.4</v>
      </c>
      <c r="I34" s="976">
        <f t="shared" si="23"/>
        <v>2.953058968347011</v>
      </c>
      <c r="J34" s="453">
        <v>1.74</v>
      </c>
      <c r="K34" s="309">
        <f t="shared" si="28"/>
        <v>4.4915407385697541E-2</v>
      </c>
      <c r="L34" s="359">
        <f>Gasoline!K34</f>
        <v>0.15</v>
      </c>
      <c r="M34" s="321">
        <f t="shared" si="7"/>
        <v>0.44295884525205165</v>
      </c>
      <c r="N34" s="321">
        <f t="shared" si="8"/>
        <v>6.7373111078546308E-3</v>
      </c>
      <c r="O34" s="321">
        <f t="shared" si="9"/>
        <v>0.44969615635990628</v>
      </c>
      <c r="P34" s="848">
        <f t="shared" si="10"/>
        <v>22803505.216641366</v>
      </c>
      <c r="Q34" s="1054">
        <f t="shared" si="1"/>
        <v>0.49461156374560383</v>
      </c>
      <c r="R34" s="1048">
        <f t="shared" si="2"/>
        <v>25462585.282987487</v>
      </c>
      <c r="S34" s="312">
        <f t="shared" si="11"/>
        <v>5.1652718493552172E-2</v>
      </c>
      <c r="T34" s="368">
        <f t="shared" si="29"/>
        <v>2659080.0663461173</v>
      </c>
      <c r="U34" s="340">
        <f>-'OECD NG subsidies'!D330</f>
        <v>0</v>
      </c>
      <c r="V34" s="344">
        <f t="shared" si="30"/>
        <v>0</v>
      </c>
      <c r="W34" s="851">
        <f t="shared" si="31"/>
        <v>2659080.0663461173</v>
      </c>
      <c r="X34" s="321">
        <f t="shared" si="12"/>
        <v>3.4476705320926149</v>
      </c>
      <c r="Y34" s="344">
        <f t="shared" si="13"/>
        <v>177485953.39392993</v>
      </c>
    </row>
    <row r="35" spans="1:25" ht="15.9" thickTop="1" x14ac:dyDescent="0.6">
      <c r="A35" s="49" t="s">
        <v>78</v>
      </c>
      <c r="B35" s="50"/>
      <c r="C35" s="290"/>
      <c r="D35" s="345"/>
      <c r="E35" s="391"/>
      <c r="F35" s="33"/>
      <c r="G35" s="297"/>
      <c r="H35" s="295"/>
      <c r="I35" s="973"/>
      <c r="J35" s="463"/>
      <c r="K35" s="306"/>
      <c r="L35" s="322"/>
      <c r="M35" s="320"/>
      <c r="N35" s="320"/>
      <c r="O35" s="320"/>
      <c r="P35" s="847"/>
      <c r="Q35" s="1053"/>
      <c r="R35" s="1047"/>
      <c r="S35" s="310"/>
      <c r="T35" s="366"/>
      <c r="U35" s="336"/>
      <c r="V35" s="342"/>
      <c r="W35" s="849"/>
      <c r="X35" s="320"/>
      <c r="Y35" s="342"/>
    </row>
    <row r="36" spans="1:25" x14ac:dyDescent="0.6">
      <c r="A36" s="61">
        <f>A34+1</f>
        <v>30</v>
      </c>
      <c r="B36" s="50" t="s">
        <v>46</v>
      </c>
      <c r="C36" s="290">
        <v>1400766</v>
      </c>
      <c r="D36" s="348">
        <f>C36*Assumptions!$C$48</f>
        <v>10631193078.324228</v>
      </c>
      <c r="E36" s="399">
        <f>Assumptions!$H$11</f>
        <v>0.152529</v>
      </c>
      <c r="F36" s="33">
        <f>Assumptions!$C$46</f>
        <v>7.5895567698846396</v>
      </c>
      <c r="G36" s="297">
        <f>Assumptions!$C$63</f>
        <v>27.295999999999999</v>
      </c>
      <c r="H36" s="1396">
        <v>4.07</v>
      </c>
      <c r="I36" s="973">
        <f>H36*E36</f>
        <v>0.62079303000000008</v>
      </c>
      <c r="J36" s="463"/>
      <c r="K36" s="306">
        <f t="shared" si="28"/>
        <v>0</v>
      </c>
      <c r="L36" s="322">
        <v>0.13</v>
      </c>
      <c r="M36" s="320">
        <f t="shared" si="7"/>
        <v>8.0703093900000009E-2</v>
      </c>
      <c r="N36" s="320">
        <f t="shared" si="8"/>
        <v>0</v>
      </c>
      <c r="O36" s="320">
        <f t="shared" si="9"/>
        <v>8.0703093900000009E-2</v>
      </c>
      <c r="P36" s="847">
        <f t="shared" si="10"/>
        <v>857970173.26903033</v>
      </c>
      <c r="Q36" s="1053">
        <f t="shared" si="1"/>
        <v>8.0703093900000009E-2</v>
      </c>
      <c r="R36" s="1047">
        <f t="shared" si="2"/>
        <v>857970173.26903033</v>
      </c>
      <c r="S36" s="310">
        <f t="shared" si="11"/>
        <v>0</v>
      </c>
      <c r="T36" s="366">
        <f>D36*S36</f>
        <v>0</v>
      </c>
      <c r="U36" s="336">
        <f>-'OECD NG subsidies'!D333</f>
        <v>-2097156601</v>
      </c>
      <c r="V36" s="342">
        <f>U36*E36</f>
        <v>-319877199.19392902</v>
      </c>
      <c r="W36" s="849">
        <f>T36+V36</f>
        <v>-319877199.19392902</v>
      </c>
      <c r="X36" s="320">
        <f t="shared" si="12"/>
        <v>0.70149612390000005</v>
      </c>
      <c r="Y36" s="342">
        <f t="shared" si="13"/>
        <v>7137863537.6830273</v>
      </c>
    </row>
    <row r="37" spans="1:25" x14ac:dyDescent="0.6">
      <c r="A37" s="46">
        <f>A36+1</f>
        <v>31</v>
      </c>
      <c r="B37" s="50" t="s">
        <v>49</v>
      </c>
      <c r="C37" s="290">
        <v>32123</v>
      </c>
      <c r="D37" s="348">
        <f>C37*Assumptions!$C$48</f>
        <v>243799332.11900428</v>
      </c>
      <c r="E37" s="399">
        <f>Assumptions!$H$12</f>
        <v>1.5587E-2</v>
      </c>
      <c r="F37" s="33">
        <f>Assumptions!$C$46</f>
        <v>7.5895567698846396</v>
      </c>
      <c r="G37" s="297">
        <f>Assumptions!$C$63</f>
        <v>27.295999999999999</v>
      </c>
      <c r="H37" s="295"/>
      <c r="I37" s="973">
        <v>2.5</v>
      </c>
      <c r="J37" s="463"/>
      <c r="K37" s="306">
        <f t="shared" si="28"/>
        <v>0</v>
      </c>
      <c r="L37" s="322">
        <v>0.05</v>
      </c>
      <c r="M37" s="320">
        <f t="shared" si="7"/>
        <v>0.125</v>
      </c>
      <c r="N37" s="320">
        <f t="shared" si="8"/>
        <v>0</v>
      </c>
      <c r="O37" s="320">
        <f t="shared" si="9"/>
        <v>0.125</v>
      </c>
      <c r="P37" s="847">
        <f t="shared" si="10"/>
        <v>30474916.514875535</v>
      </c>
      <c r="Q37" s="1053">
        <f t="shared" si="1"/>
        <v>0.125</v>
      </c>
      <c r="R37" s="1047">
        <f t="shared" si="2"/>
        <v>30474916.514875535</v>
      </c>
      <c r="S37" s="310">
        <f t="shared" si="11"/>
        <v>0</v>
      </c>
      <c r="T37" s="366">
        <f>D37*S37</f>
        <v>0</v>
      </c>
      <c r="U37" s="336">
        <f>-'OECD NG subsidies'!D342</f>
        <v>0</v>
      </c>
      <c r="V37" s="342">
        <f>U37*E37</f>
        <v>0</v>
      </c>
      <c r="W37" s="849">
        <f>T37+V37</f>
        <v>0</v>
      </c>
      <c r="X37" s="320">
        <f t="shared" si="12"/>
        <v>2.625</v>
      </c>
      <c r="Y37" s="342">
        <f t="shared" si="13"/>
        <v>639973246.81238627</v>
      </c>
    </row>
    <row r="38" spans="1:25" x14ac:dyDescent="0.6">
      <c r="A38" s="46">
        <f>A37+1</f>
        <v>32</v>
      </c>
      <c r="B38" s="44" t="s">
        <v>50</v>
      </c>
      <c r="C38" s="290">
        <v>13721</v>
      </c>
      <c r="D38" s="348">
        <f>C38*Assumptions!$C$48</f>
        <v>104136308.43958715</v>
      </c>
      <c r="E38" s="399">
        <f>Assumptions!$H$13</f>
        <v>0.30204900000000001</v>
      </c>
      <c r="F38" s="33">
        <f>Assumptions!$C$46</f>
        <v>7.5895567698846396</v>
      </c>
      <c r="G38" s="297">
        <f>Assumptions!$C$63</f>
        <v>27.295999999999999</v>
      </c>
      <c r="H38" s="293"/>
      <c r="I38" s="1439">
        <f>Assumptions!C104</f>
        <v>1.5</v>
      </c>
      <c r="J38" s="84"/>
      <c r="K38" s="306">
        <f t="shared" si="28"/>
        <v>0</v>
      </c>
      <c r="L38" s="322">
        <v>0.19</v>
      </c>
      <c r="M38" s="320">
        <f t="shared" si="7"/>
        <v>0.28500000000000003</v>
      </c>
      <c r="N38" s="320">
        <f t="shared" si="8"/>
        <v>0</v>
      </c>
      <c r="O38" s="320">
        <f t="shared" si="9"/>
        <v>0.28500000000000003</v>
      </c>
      <c r="P38" s="847">
        <f t="shared" si="10"/>
        <v>29678847.905282341</v>
      </c>
      <c r="Q38" s="1053">
        <f t="shared" si="1"/>
        <v>0.28500000000000003</v>
      </c>
      <c r="R38" s="1047">
        <f t="shared" si="2"/>
        <v>29678847.905282341</v>
      </c>
      <c r="S38" s="310">
        <f t="shared" si="11"/>
        <v>0</v>
      </c>
      <c r="T38" s="366">
        <f>D38*S38</f>
        <v>0</v>
      </c>
      <c r="U38" s="336">
        <f>-'OECD NG subsidies'!D346</f>
        <v>0</v>
      </c>
      <c r="V38" s="342">
        <f>U38*E38</f>
        <v>0</v>
      </c>
      <c r="W38" s="849">
        <f>T38+V38</f>
        <v>0</v>
      </c>
      <c r="X38" s="320">
        <f t="shared" si="12"/>
        <v>1.7849999999999999</v>
      </c>
      <c r="Y38" s="342">
        <f t="shared" si="13"/>
        <v>185883310.56466305</v>
      </c>
    </row>
    <row r="39" spans="1:25" ht="15.9" thickBot="1" x14ac:dyDescent="0.65">
      <c r="A39" s="15">
        <f>A38+1</f>
        <v>33</v>
      </c>
      <c r="B39" s="47" t="s">
        <v>51</v>
      </c>
      <c r="C39" s="291">
        <v>1969605</v>
      </c>
      <c r="D39" s="349">
        <f>C39*Assumptions!$C$48</f>
        <v>14948428961.748636</v>
      </c>
      <c r="E39" s="417">
        <f>Assumptions!$H$14</f>
        <v>1.7344999999999999E-2</v>
      </c>
      <c r="F39" s="36">
        <f>Assumptions!$C$46</f>
        <v>7.5895567698846396</v>
      </c>
      <c r="G39" s="299">
        <f>Assumptions!$C$63</f>
        <v>27.295999999999999</v>
      </c>
      <c r="H39" s="577">
        <v>22</v>
      </c>
      <c r="I39" s="976">
        <f>H39*E39</f>
        <v>0.38158999999999998</v>
      </c>
      <c r="J39" s="221"/>
      <c r="K39" s="309">
        <f>J39/Assumptions!$C$53*F39*E39</f>
        <v>0</v>
      </c>
      <c r="L39" s="359">
        <v>0.18</v>
      </c>
      <c r="M39" s="321">
        <f t="shared" si="7"/>
        <v>6.8686199999999989E-2</v>
      </c>
      <c r="N39" s="321">
        <f t="shared" si="8"/>
        <v>0</v>
      </c>
      <c r="O39" s="321">
        <f t="shared" si="9"/>
        <v>6.8686199999999989E-2</v>
      </c>
      <c r="P39" s="848">
        <f t="shared" si="10"/>
        <v>1026750781.352459</v>
      </c>
      <c r="Q39" s="1054">
        <f t="shared" si="1"/>
        <v>6.8686199999999989E-2</v>
      </c>
      <c r="R39" s="1048">
        <f t="shared" si="2"/>
        <v>1026750781.352459</v>
      </c>
      <c r="S39" s="312">
        <f t="shared" si="11"/>
        <v>0</v>
      </c>
      <c r="T39" s="368">
        <f>D39*S39</f>
        <v>0</v>
      </c>
      <c r="U39" s="340">
        <f>-'OECD NG subsidies'!D351</f>
        <v>0</v>
      </c>
      <c r="V39" s="344">
        <f>U39*E39</f>
        <v>0</v>
      </c>
      <c r="W39" s="851">
        <f>T39+V39</f>
        <v>0</v>
      </c>
      <c r="X39" s="321">
        <f t="shared" si="12"/>
        <v>0.45027619999999996</v>
      </c>
      <c r="Y39" s="344">
        <f t="shared" si="13"/>
        <v>6730921788.8661203</v>
      </c>
    </row>
    <row r="40" spans="1:25" ht="15.9" thickTop="1" x14ac:dyDescent="0.6">
      <c r="A40" s="48" t="s">
        <v>52</v>
      </c>
      <c r="B40" s="44"/>
      <c r="C40" s="290"/>
      <c r="D40" s="348"/>
      <c r="E40" s="391"/>
      <c r="F40" s="33"/>
      <c r="G40" s="297"/>
      <c r="H40" s="383"/>
      <c r="I40" s="973"/>
      <c r="J40" s="665"/>
      <c r="K40" s="978"/>
      <c r="L40" s="322"/>
      <c r="M40" s="320"/>
      <c r="N40" s="320"/>
      <c r="O40" s="320"/>
      <c r="P40" s="847"/>
      <c r="Q40" s="1046"/>
      <c r="R40" s="1047"/>
      <c r="S40" s="395"/>
      <c r="T40" s="396"/>
      <c r="U40" s="542"/>
      <c r="V40" s="543"/>
      <c r="W40" s="398"/>
      <c r="X40" s="547"/>
      <c r="Y40" s="548"/>
    </row>
    <row r="41" spans="1:25" x14ac:dyDescent="0.6">
      <c r="A41" s="46">
        <f>A39+1</f>
        <v>34</v>
      </c>
      <c r="B41" s="44" t="s">
        <v>48</v>
      </c>
      <c r="C41" s="290">
        <v>36118</v>
      </c>
      <c r="D41" s="348">
        <f>C41*Assumptions!$C$48</f>
        <v>274119611.41469342</v>
      </c>
      <c r="E41" s="399">
        <f>Assumptions!$H$25</f>
        <v>5.0333999999999997E-2</v>
      </c>
      <c r="F41" s="33">
        <f>Assumptions!$C$46</f>
        <v>7.5895567698846396</v>
      </c>
      <c r="G41" s="297">
        <f>Assumptions!$C$63</f>
        <v>27.295999999999999</v>
      </c>
      <c r="H41" s="389">
        <v>368.4</v>
      </c>
      <c r="I41" s="973">
        <f t="shared" ref="I41" si="33">H41/G41*E41</f>
        <v>0.6793319753810082</v>
      </c>
      <c r="J41" s="667"/>
      <c r="K41" s="978">
        <f t="shared" ref="K41:K65" si="34">J41*E41*F41</f>
        <v>0</v>
      </c>
      <c r="L41" s="322">
        <v>0.16</v>
      </c>
      <c r="M41" s="329">
        <f>L41*I41</f>
        <v>0.10869311606096131</v>
      </c>
      <c r="N41" s="320"/>
      <c r="O41" s="320">
        <f>N41+M41</f>
        <v>0.10869311606096131</v>
      </c>
      <c r="P41" s="314">
        <f>M41*D41</f>
        <v>29794914.738082886</v>
      </c>
      <c r="Q41" s="1053">
        <f t="shared" si="1"/>
        <v>0.10869311606096131</v>
      </c>
      <c r="R41" s="1047">
        <f t="shared" si="2"/>
        <v>29794914.738082886</v>
      </c>
      <c r="S41" s="395"/>
      <c r="T41" s="396">
        <f t="shared" ref="T41:T65" si="35">D41*S41</f>
        <v>0</v>
      </c>
      <c r="U41" s="336"/>
      <c r="V41" s="342"/>
      <c r="X41" s="549">
        <f t="shared" si="12"/>
        <v>0.78802509144196942</v>
      </c>
      <c r="Y41" s="342">
        <f>X41*D41</f>
        <v>216013131.85110089</v>
      </c>
    </row>
    <row r="42" spans="1:25" x14ac:dyDescent="0.6">
      <c r="A42" s="46">
        <f>A41+1</f>
        <v>35</v>
      </c>
      <c r="B42" s="44" t="s">
        <v>53</v>
      </c>
      <c r="C42" s="290">
        <v>312628</v>
      </c>
      <c r="D42" s="348">
        <f>C42*Assumptions!$C$48</f>
        <v>2372707953.855495</v>
      </c>
      <c r="E42" s="391"/>
      <c r="F42" s="33">
        <f>Assumptions!$C$46</f>
        <v>7.5895567698846396</v>
      </c>
      <c r="G42" s="297">
        <f>Assumptions!$C$63</f>
        <v>27.295999999999999</v>
      </c>
      <c r="H42" s="383"/>
      <c r="I42" s="1439">
        <f>Assumptions!$C$104</f>
        <v>1.5</v>
      </c>
      <c r="J42" s="667"/>
      <c r="K42" s="978">
        <f t="shared" si="34"/>
        <v>0</v>
      </c>
      <c r="L42" s="322">
        <f>Gasoline!K42</f>
        <v>0</v>
      </c>
      <c r="M42" s="329">
        <f>L42*I42</f>
        <v>0</v>
      </c>
      <c r="N42" s="320"/>
      <c r="O42" s="320">
        <f>N42+M42</f>
        <v>0</v>
      </c>
      <c r="P42" s="314">
        <f t="shared" ref="P42:P65" si="36">M42*D42</f>
        <v>0</v>
      </c>
      <c r="Q42" s="1046"/>
      <c r="R42" s="1047">
        <f t="shared" si="2"/>
        <v>0</v>
      </c>
      <c r="S42" s="395"/>
      <c r="T42" s="394">
        <f t="shared" si="35"/>
        <v>0</v>
      </c>
      <c r="U42" s="336"/>
      <c r="V42" s="342"/>
      <c r="X42" s="549">
        <f t="shared" si="12"/>
        <v>1.5</v>
      </c>
      <c r="Y42" s="342">
        <f t="shared" ref="Y42:Y65" si="37">X42*D42</f>
        <v>3559061930.7832422</v>
      </c>
    </row>
    <row r="43" spans="1:25" x14ac:dyDescent="0.6">
      <c r="A43" s="46">
        <f t="shared" ref="A43:A65" si="38">A42+1</f>
        <v>36</v>
      </c>
      <c r="B43" s="44" t="s">
        <v>54</v>
      </c>
      <c r="C43" s="290">
        <v>0</v>
      </c>
      <c r="D43" s="348">
        <f>C43*Assumptions!$C$48</f>
        <v>0</v>
      </c>
      <c r="E43" s="391"/>
      <c r="F43" s="33">
        <f>Assumptions!$C$46</f>
        <v>7.5895567698846396</v>
      </c>
      <c r="G43" s="297">
        <f>Assumptions!$C$63</f>
        <v>27.295999999999999</v>
      </c>
      <c r="H43" s="383"/>
      <c r="I43" s="1439">
        <f>Assumptions!$C$104</f>
        <v>1.5</v>
      </c>
      <c r="J43" s="667"/>
      <c r="K43" s="979">
        <f t="shared" si="34"/>
        <v>0</v>
      </c>
      <c r="L43" s="322">
        <f>Gasoline!K43</f>
        <v>0</v>
      </c>
      <c r="M43" s="329">
        <f t="shared" ref="M43:M65" si="39">L43*I43</f>
        <v>0</v>
      </c>
      <c r="N43" s="320"/>
      <c r="O43" s="320">
        <f t="shared" ref="O43:O65" si="40">N43+M43</f>
        <v>0</v>
      </c>
      <c r="P43" s="314">
        <f t="shared" si="36"/>
        <v>0</v>
      </c>
      <c r="Q43" s="1046"/>
      <c r="R43" s="1047">
        <f t="shared" si="2"/>
        <v>0</v>
      </c>
      <c r="S43" s="395"/>
      <c r="T43" s="396">
        <f t="shared" si="35"/>
        <v>0</v>
      </c>
      <c r="U43" s="336"/>
      <c r="V43" s="342"/>
      <c r="X43" s="549">
        <f t="shared" si="12"/>
        <v>1.5</v>
      </c>
      <c r="Y43" s="342">
        <f t="shared" si="37"/>
        <v>0</v>
      </c>
    </row>
    <row r="44" spans="1:25" x14ac:dyDescent="0.6">
      <c r="A44" s="46">
        <f t="shared" si="38"/>
        <v>37</v>
      </c>
      <c r="B44" s="44" t="s">
        <v>55</v>
      </c>
      <c r="C44" s="290">
        <v>107442</v>
      </c>
      <c r="D44" s="348">
        <f>C44*Assumptions!$C$48</f>
        <v>815437158.46994543</v>
      </c>
      <c r="E44" s="391"/>
      <c r="F44" s="33">
        <f>Assumptions!$C$46</f>
        <v>7.5895567698846396</v>
      </c>
      <c r="G44" s="297">
        <f>Assumptions!$C$63</f>
        <v>27.295999999999999</v>
      </c>
      <c r="H44" s="383"/>
      <c r="I44" s="1439">
        <f>Assumptions!$C$104</f>
        <v>1.5</v>
      </c>
      <c r="J44" s="667"/>
      <c r="K44" s="979">
        <f t="shared" si="34"/>
        <v>0</v>
      </c>
      <c r="L44" s="322">
        <f>Gasoline!K44</f>
        <v>0</v>
      </c>
      <c r="M44" s="329">
        <f t="shared" si="39"/>
        <v>0</v>
      </c>
      <c r="N44" s="320"/>
      <c r="O44" s="320">
        <f t="shared" si="40"/>
        <v>0</v>
      </c>
      <c r="P44" s="314">
        <f t="shared" si="36"/>
        <v>0</v>
      </c>
      <c r="Q44" s="1046"/>
      <c r="R44" s="1047">
        <f t="shared" si="2"/>
        <v>0</v>
      </c>
      <c r="S44" s="401"/>
      <c r="T44" s="396">
        <f t="shared" si="35"/>
        <v>0</v>
      </c>
      <c r="U44" s="336"/>
      <c r="V44" s="342"/>
      <c r="X44" s="549">
        <f t="shared" si="12"/>
        <v>1.5</v>
      </c>
      <c r="Y44" s="342">
        <f t="shared" si="37"/>
        <v>1223155737.7049181</v>
      </c>
    </row>
    <row r="45" spans="1:25" x14ac:dyDescent="0.6">
      <c r="A45" s="46">
        <f t="shared" si="38"/>
        <v>38</v>
      </c>
      <c r="B45" s="44" t="s">
        <v>56</v>
      </c>
      <c r="C45" s="290">
        <v>0</v>
      </c>
      <c r="D45" s="348">
        <f>C45*Assumptions!$C$48</f>
        <v>0</v>
      </c>
      <c r="E45" s="391"/>
      <c r="F45" s="33">
        <f>Assumptions!$C$46</f>
        <v>7.5895567698846396</v>
      </c>
      <c r="G45" s="297">
        <f>Assumptions!$C$63</f>
        <v>27.295999999999999</v>
      </c>
      <c r="H45" s="383"/>
      <c r="I45" s="1439">
        <f>Assumptions!$C$104</f>
        <v>1.5</v>
      </c>
      <c r="J45" s="667"/>
      <c r="K45" s="979">
        <f t="shared" si="34"/>
        <v>0</v>
      </c>
      <c r="L45" s="322">
        <f>Gasoline!K45</f>
        <v>0</v>
      </c>
      <c r="M45" s="329">
        <f t="shared" si="39"/>
        <v>0</v>
      </c>
      <c r="N45" s="320"/>
      <c r="O45" s="320">
        <f t="shared" si="40"/>
        <v>0</v>
      </c>
      <c r="P45" s="314">
        <f t="shared" si="36"/>
        <v>0</v>
      </c>
      <c r="Q45" s="1046"/>
      <c r="R45" s="1047">
        <f t="shared" si="2"/>
        <v>0</v>
      </c>
      <c r="S45" s="401"/>
      <c r="T45" s="396">
        <f t="shared" si="35"/>
        <v>0</v>
      </c>
      <c r="U45" s="336"/>
      <c r="V45" s="342"/>
      <c r="X45" s="549">
        <f t="shared" si="12"/>
        <v>1.5</v>
      </c>
      <c r="Y45" s="342">
        <f t="shared" si="37"/>
        <v>0</v>
      </c>
    </row>
    <row r="46" spans="1:25" x14ac:dyDescent="0.6">
      <c r="A46" s="46">
        <f t="shared" si="38"/>
        <v>39</v>
      </c>
      <c r="B46" s="44" t="s">
        <v>57</v>
      </c>
      <c r="C46" s="290">
        <v>736</v>
      </c>
      <c r="D46" s="348">
        <f>C46*Assumptions!$C$48</f>
        <v>5585913.7826350946</v>
      </c>
      <c r="E46" s="391"/>
      <c r="F46" s="33">
        <f>Assumptions!$C$46</f>
        <v>7.5895567698846396</v>
      </c>
      <c r="G46" s="297">
        <f>Assumptions!$C$63</f>
        <v>27.295999999999999</v>
      </c>
      <c r="H46" s="383"/>
      <c r="I46" s="1439">
        <f>Assumptions!$C$104</f>
        <v>1.5</v>
      </c>
      <c r="J46" s="667"/>
      <c r="K46" s="980">
        <f t="shared" si="34"/>
        <v>0</v>
      </c>
      <c r="L46" s="322">
        <f>Gasoline!K46</f>
        <v>0</v>
      </c>
      <c r="M46" s="329">
        <f t="shared" si="39"/>
        <v>0</v>
      </c>
      <c r="N46" s="320"/>
      <c r="O46" s="320">
        <f t="shared" si="40"/>
        <v>0</v>
      </c>
      <c r="P46" s="314">
        <f t="shared" si="36"/>
        <v>0</v>
      </c>
      <c r="Q46" s="1046"/>
      <c r="R46" s="1047">
        <f t="shared" si="2"/>
        <v>0</v>
      </c>
      <c r="S46" s="401"/>
      <c r="T46" s="396">
        <f t="shared" si="35"/>
        <v>0</v>
      </c>
      <c r="U46" s="336"/>
      <c r="V46" s="342"/>
      <c r="X46" s="549">
        <f t="shared" si="12"/>
        <v>1.5</v>
      </c>
      <c r="Y46" s="342">
        <f t="shared" si="37"/>
        <v>8378870.6739526419</v>
      </c>
    </row>
    <row r="47" spans="1:25" x14ac:dyDescent="0.6">
      <c r="A47" s="46">
        <f t="shared" si="38"/>
        <v>40</v>
      </c>
      <c r="B47" s="44" t="s">
        <v>58</v>
      </c>
      <c r="C47" s="290">
        <v>13</v>
      </c>
      <c r="D47" s="348">
        <f>C47*Assumptions!$C$48</f>
        <v>98664.238008500324</v>
      </c>
      <c r="E47" s="391"/>
      <c r="F47" s="33">
        <f>Assumptions!$C$46</f>
        <v>7.5895567698846396</v>
      </c>
      <c r="G47" s="297">
        <f>Assumptions!$C$63</f>
        <v>27.295999999999999</v>
      </c>
      <c r="H47" s="383"/>
      <c r="I47" s="1439">
        <f>Assumptions!$C$104</f>
        <v>1.5</v>
      </c>
      <c r="J47" s="667"/>
      <c r="K47" s="980">
        <f t="shared" si="34"/>
        <v>0</v>
      </c>
      <c r="L47" s="322">
        <f>Gasoline!K47</f>
        <v>0</v>
      </c>
      <c r="M47" s="329">
        <f t="shared" si="39"/>
        <v>0</v>
      </c>
      <c r="N47" s="320"/>
      <c r="O47" s="320">
        <f t="shared" si="40"/>
        <v>0</v>
      </c>
      <c r="P47" s="314">
        <f t="shared" si="36"/>
        <v>0</v>
      </c>
      <c r="Q47" s="1046"/>
      <c r="R47" s="1047">
        <f t="shared" si="2"/>
        <v>0</v>
      </c>
      <c r="S47" s="402"/>
      <c r="T47" s="403">
        <f t="shared" si="35"/>
        <v>0</v>
      </c>
      <c r="U47" s="336"/>
      <c r="V47" s="342"/>
      <c r="X47" s="549">
        <f t="shared" si="12"/>
        <v>1.5</v>
      </c>
      <c r="Y47" s="342">
        <f t="shared" si="37"/>
        <v>147996.35701275049</v>
      </c>
    </row>
    <row r="48" spans="1:25" x14ac:dyDescent="0.6">
      <c r="A48" s="46">
        <f t="shared" si="38"/>
        <v>41</v>
      </c>
      <c r="B48" s="44" t="s">
        <v>59</v>
      </c>
      <c r="C48" s="290">
        <v>71697</v>
      </c>
      <c r="D48" s="348">
        <f>C48*Assumptions!$C$48</f>
        <v>544148451.73041904</v>
      </c>
      <c r="E48" s="579">
        <f>Assumptions!$H$26</f>
        <v>0.13106999999999999</v>
      </c>
      <c r="F48" s="33">
        <f>Assumptions!$C$46</f>
        <v>7.5895567698846396</v>
      </c>
      <c r="G48" s="297">
        <f>Assumptions!$C$63</f>
        <v>27.295999999999999</v>
      </c>
      <c r="H48" s="383"/>
      <c r="I48" s="1439">
        <f>Assumptions!$C$104</f>
        <v>1.5</v>
      </c>
      <c r="J48" s="667"/>
      <c r="K48" s="980">
        <f t="shared" si="34"/>
        <v>0</v>
      </c>
      <c r="L48" s="322">
        <f>Gasoline!K48</f>
        <v>0</v>
      </c>
      <c r="M48" s="329">
        <f t="shared" si="39"/>
        <v>0</v>
      </c>
      <c r="N48" s="320"/>
      <c r="O48" s="320">
        <f t="shared" si="40"/>
        <v>0</v>
      </c>
      <c r="P48" s="314">
        <f t="shared" si="36"/>
        <v>0</v>
      </c>
      <c r="Q48" s="1046"/>
      <c r="R48" s="1047">
        <f t="shared" si="2"/>
        <v>0</v>
      </c>
      <c r="S48" s="402"/>
      <c r="T48" s="396">
        <f t="shared" si="35"/>
        <v>0</v>
      </c>
      <c r="U48" s="336"/>
      <c r="V48" s="342"/>
      <c r="X48" s="549">
        <f t="shared" si="12"/>
        <v>1.5</v>
      </c>
      <c r="Y48" s="342">
        <f t="shared" si="37"/>
        <v>816222677.5956285</v>
      </c>
    </row>
    <row r="49" spans="1:25" x14ac:dyDescent="0.6">
      <c r="A49" s="46">
        <f t="shared" si="38"/>
        <v>42</v>
      </c>
      <c r="B49" s="44" t="s">
        <v>60</v>
      </c>
      <c r="C49" s="290">
        <v>0</v>
      </c>
      <c r="D49" s="348">
        <f>C49*Assumptions!$C$48</f>
        <v>0</v>
      </c>
      <c r="E49" s="391"/>
      <c r="F49" s="33">
        <f>Assumptions!$C$46</f>
        <v>7.5895567698846396</v>
      </c>
      <c r="G49" s="297">
        <f>Assumptions!$C$63</f>
        <v>27.295999999999999</v>
      </c>
      <c r="H49" s="383"/>
      <c r="I49" s="1439">
        <f>Assumptions!$C$104</f>
        <v>1.5</v>
      </c>
      <c r="J49" s="667"/>
      <c r="K49" s="979">
        <f t="shared" si="34"/>
        <v>0</v>
      </c>
      <c r="L49" s="322">
        <f>Gasoline!K49</f>
        <v>0</v>
      </c>
      <c r="M49" s="329">
        <f t="shared" si="39"/>
        <v>0</v>
      </c>
      <c r="N49" s="320"/>
      <c r="O49" s="320">
        <f t="shared" si="40"/>
        <v>0</v>
      </c>
      <c r="P49" s="314">
        <f t="shared" si="36"/>
        <v>0</v>
      </c>
      <c r="Q49" s="1046"/>
      <c r="R49" s="1047">
        <f t="shared" si="2"/>
        <v>0</v>
      </c>
      <c r="S49" s="402"/>
      <c r="T49" s="396">
        <f t="shared" si="35"/>
        <v>0</v>
      </c>
      <c r="U49" s="336"/>
      <c r="V49" s="342"/>
      <c r="X49" s="549">
        <f t="shared" si="12"/>
        <v>1.5</v>
      </c>
      <c r="Y49" s="342">
        <f t="shared" si="37"/>
        <v>0</v>
      </c>
    </row>
    <row r="50" spans="1:25" x14ac:dyDescent="0.6">
      <c r="A50" s="46">
        <f t="shared" si="38"/>
        <v>43</v>
      </c>
      <c r="B50" s="44" t="s">
        <v>61</v>
      </c>
      <c r="C50" s="290">
        <v>743</v>
      </c>
      <c r="D50" s="348">
        <f>C50*Assumptions!$C$48</f>
        <v>5639040.6800242877</v>
      </c>
      <c r="E50" s="578">
        <f>Assumptions!$H$23</f>
        <v>7.3999999999999996E-5</v>
      </c>
      <c r="F50" s="33">
        <f>Assumptions!$C$46</f>
        <v>7.5895567698846396</v>
      </c>
      <c r="G50" s="297">
        <f>Assumptions!$C$63</f>
        <v>27.295999999999999</v>
      </c>
      <c r="H50" s="383"/>
      <c r="I50" s="1439">
        <f>Assumptions!$C$104</f>
        <v>1.5</v>
      </c>
      <c r="J50" s="667"/>
      <c r="K50" s="980">
        <f t="shared" si="34"/>
        <v>0</v>
      </c>
      <c r="L50" s="322">
        <f>Gasoline!K50</f>
        <v>0</v>
      </c>
      <c r="M50" s="329">
        <f t="shared" si="39"/>
        <v>0</v>
      </c>
      <c r="N50" s="320"/>
      <c r="O50" s="320">
        <f t="shared" si="40"/>
        <v>0</v>
      </c>
      <c r="P50" s="314">
        <f t="shared" si="36"/>
        <v>0</v>
      </c>
      <c r="Q50" s="1046"/>
      <c r="R50" s="1047">
        <f t="shared" si="2"/>
        <v>0</v>
      </c>
      <c r="S50" s="401"/>
      <c r="T50" s="396">
        <f t="shared" si="35"/>
        <v>0</v>
      </c>
      <c r="U50" s="336"/>
      <c r="V50" s="342"/>
      <c r="X50" s="549">
        <f t="shared" si="12"/>
        <v>1.5</v>
      </c>
      <c r="Y50" s="342">
        <f t="shared" si="37"/>
        <v>8458561.020036431</v>
      </c>
    </row>
    <row r="51" spans="1:25" x14ac:dyDescent="0.6">
      <c r="A51" s="46">
        <f t="shared" si="38"/>
        <v>44</v>
      </c>
      <c r="B51" s="44" t="s">
        <v>62</v>
      </c>
      <c r="C51" s="290">
        <v>0</v>
      </c>
      <c r="D51" s="348">
        <f>C51*Assumptions!$C$48</f>
        <v>0</v>
      </c>
      <c r="E51" s="391"/>
      <c r="F51" s="33">
        <f>Assumptions!$C$46</f>
        <v>7.5895567698846396</v>
      </c>
      <c r="G51" s="297">
        <f>Assumptions!$C$63</f>
        <v>27.295999999999999</v>
      </c>
      <c r="H51" s="383"/>
      <c r="I51" s="1439">
        <f>Assumptions!$C$104</f>
        <v>1.5</v>
      </c>
      <c r="J51" s="667"/>
      <c r="K51" s="980">
        <f t="shared" si="34"/>
        <v>0</v>
      </c>
      <c r="L51" s="322">
        <f>Gasoline!K51</f>
        <v>0</v>
      </c>
      <c r="M51" s="329">
        <f t="shared" si="39"/>
        <v>0</v>
      </c>
      <c r="N51" s="320"/>
      <c r="O51" s="320">
        <f t="shared" si="40"/>
        <v>0</v>
      </c>
      <c r="P51" s="314">
        <f t="shared" si="36"/>
        <v>0</v>
      </c>
      <c r="Q51" s="1046"/>
      <c r="R51" s="1047">
        <f t="shared" si="2"/>
        <v>0</v>
      </c>
      <c r="S51" s="402"/>
      <c r="T51" s="396">
        <f t="shared" si="35"/>
        <v>0</v>
      </c>
      <c r="U51" s="336"/>
      <c r="V51" s="342"/>
      <c r="X51" s="549">
        <f t="shared" si="12"/>
        <v>1.5</v>
      </c>
      <c r="Y51" s="342">
        <f t="shared" si="37"/>
        <v>0</v>
      </c>
    </row>
    <row r="52" spans="1:25" x14ac:dyDescent="0.6">
      <c r="A52" s="46">
        <f t="shared" si="38"/>
        <v>45</v>
      </c>
      <c r="B52" s="44" t="s">
        <v>63</v>
      </c>
      <c r="C52" s="290">
        <v>1832966</v>
      </c>
      <c r="D52" s="348">
        <f>C52*Assumptions!$C$48</f>
        <v>13911399514.26837</v>
      </c>
      <c r="E52" s="579">
        <f>Assumptions!$H$27</f>
        <v>2.8E-5</v>
      </c>
      <c r="F52" s="33">
        <f>Assumptions!$C$46</f>
        <v>7.5895567698846396</v>
      </c>
      <c r="G52" s="297">
        <f>Assumptions!$C$63</f>
        <v>27.295999999999999</v>
      </c>
      <c r="H52" s="383"/>
      <c r="I52" s="1439">
        <f>Assumptions!$C$104</f>
        <v>1.5</v>
      </c>
      <c r="J52" s="667"/>
      <c r="K52" s="980">
        <f t="shared" si="34"/>
        <v>0</v>
      </c>
      <c r="L52" s="322">
        <f>Gasoline!K52</f>
        <v>0</v>
      </c>
      <c r="M52" s="329">
        <f t="shared" si="39"/>
        <v>0</v>
      </c>
      <c r="N52" s="320"/>
      <c r="O52" s="320">
        <f t="shared" si="40"/>
        <v>0</v>
      </c>
      <c r="P52" s="314">
        <f t="shared" si="36"/>
        <v>0</v>
      </c>
      <c r="Q52" s="1046"/>
      <c r="R52" s="1047">
        <f t="shared" si="2"/>
        <v>0</v>
      </c>
      <c r="S52" s="402"/>
      <c r="T52" s="396">
        <f t="shared" si="35"/>
        <v>0</v>
      </c>
      <c r="U52" s="336"/>
      <c r="V52" s="342"/>
      <c r="X52" s="549">
        <f t="shared" si="12"/>
        <v>1.5</v>
      </c>
      <c r="Y52" s="342">
        <f t="shared" si="37"/>
        <v>20867099271.402554</v>
      </c>
    </row>
    <row r="53" spans="1:25" x14ac:dyDescent="0.6">
      <c r="A53" s="46">
        <f t="shared" si="38"/>
        <v>46</v>
      </c>
      <c r="B53" s="44" t="s">
        <v>64</v>
      </c>
      <c r="C53" s="290">
        <v>14545</v>
      </c>
      <c r="D53" s="348">
        <f>C53*Assumptions!$C$48</f>
        <v>110390103.21797208</v>
      </c>
      <c r="E53" s="391"/>
      <c r="F53" s="33">
        <f>Assumptions!$C$46</f>
        <v>7.5895567698846396</v>
      </c>
      <c r="G53" s="297">
        <f>Assumptions!$C$63</f>
        <v>27.295999999999999</v>
      </c>
      <c r="H53" s="383"/>
      <c r="I53" s="1439">
        <f>Assumptions!$C$104</f>
        <v>1.5</v>
      </c>
      <c r="J53" s="667"/>
      <c r="K53" s="980">
        <f t="shared" si="34"/>
        <v>0</v>
      </c>
      <c r="L53" s="322">
        <f>Gasoline!K53</f>
        <v>0</v>
      </c>
      <c r="M53" s="329">
        <f t="shared" si="39"/>
        <v>0</v>
      </c>
      <c r="N53" s="320"/>
      <c r="O53" s="320">
        <f t="shared" si="40"/>
        <v>0</v>
      </c>
      <c r="P53" s="314">
        <f t="shared" si="36"/>
        <v>0</v>
      </c>
      <c r="Q53" s="1046"/>
      <c r="R53" s="1047">
        <f t="shared" si="2"/>
        <v>0</v>
      </c>
      <c r="S53" s="402"/>
      <c r="T53" s="396">
        <f t="shared" si="35"/>
        <v>0</v>
      </c>
      <c r="U53" s="336"/>
      <c r="V53" s="342"/>
      <c r="X53" s="549">
        <f t="shared" si="12"/>
        <v>1.5</v>
      </c>
      <c r="Y53" s="342">
        <f t="shared" si="37"/>
        <v>165585154.82695812</v>
      </c>
    </row>
    <row r="54" spans="1:25" x14ac:dyDescent="0.6">
      <c r="A54" s="46">
        <f t="shared" si="38"/>
        <v>47</v>
      </c>
      <c r="B54" s="44" t="s">
        <v>65</v>
      </c>
      <c r="C54" s="290">
        <v>0</v>
      </c>
      <c r="D54" s="348">
        <f>C54*Assumptions!$C$48</f>
        <v>0</v>
      </c>
      <c r="E54" s="391"/>
      <c r="F54" s="33">
        <f>Assumptions!$C$46</f>
        <v>7.5895567698846396</v>
      </c>
      <c r="G54" s="297">
        <f>Assumptions!$C$63</f>
        <v>27.295999999999999</v>
      </c>
      <c r="H54" s="383"/>
      <c r="I54" s="1439">
        <f>Assumptions!$C$104</f>
        <v>1.5</v>
      </c>
      <c r="J54" s="667"/>
      <c r="K54" s="980">
        <f t="shared" si="34"/>
        <v>0</v>
      </c>
      <c r="L54" s="322">
        <f>Gasoline!K54</f>
        <v>0</v>
      </c>
      <c r="M54" s="329">
        <f t="shared" si="39"/>
        <v>0</v>
      </c>
      <c r="N54" s="320"/>
      <c r="O54" s="320">
        <f t="shared" si="40"/>
        <v>0</v>
      </c>
      <c r="P54" s="314">
        <f t="shared" si="36"/>
        <v>0</v>
      </c>
      <c r="Q54" s="1046"/>
      <c r="R54" s="1047">
        <f t="shared" si="2"/>
        <v>0</v>
      </c>
      <c r="S54" s="402"/>
      <c r="T54" s="396">
        <f t="shared" si="35"/>
        <v>0</v>
      </c>
      <c r="U54" s="336"/>
      <c r="V54" s="544"/>
      <c r="W54" s="83"/>
      <c r="X54" s="549">
        <f t="shared" si="12"/>
        <v>1.5</v>
      </c>
      <c r="Y54" s="342">
        <f t="shared" si="37"/>
        <v>0</v>
      </c>
    </row>
    <row r="55" spans="1:25" x14ac:dyDescent="0.6">
      <c r="A55" s="46">
        <f t="shared" si="38"/>
        <v>48</v>
      </c>
      <c r="B55" s="44" t="s">
        <v>66</v>
      </c>
      <c r="C55" s="290">
        <v>0</v>
      </c>
      <c r="D55" s="348">
        <f>C55*Assumptions!$C$48</f>
        <v>0</v>
      </c>
      <c r="E55" s="391"/>
      <c r="F55" s="33">
        <f>Assumptions!$C$46</f>
        <v>7.5895567698846396</v>
      </c>
      <c r="G55" s="297">
        <f>Assumptions!$C$63</f>
        <v>27.295999999999999</v>
      </c>
      <c r="H55" s="383"/>
      <c r="I55" s="1439">
        <f>Assumptions!$C$104</f>
        <v>1.5</v>
      </c>
      <c r="J55" s="667"/>
      <c r="K55" s="980">
        <f t="shared" si="34"/>
        <v>0</v>
      </c>
      <c r="L55" s="322">
        <f>Gasoline!K55</f>
        <v>0</v>
      </c>
      <c r="M55" s="329">
        <f t="shared" si="39"/>
        <v>0</v>
      </c>
      <c r="N55" s="320"/>
      <c r="O55" s="320">
        <f t="shared" si="40"/>
        <v>0</v>
      </c>
      <c r="P55" s="314">
        <f t="shared" si="36"/>
        <v>0</v>
      </c>
      <c r="Q55" s="1046"/>
      <c r="R55" s="1047">
        <f t="shared" si="2"/>
        <v>0</v>
      </c>
      <c r="S55" s="402"/>
      <c r="T55" s="396">
        <f t="shared" si="35"/>
        <v>0</v>
      </c>
      <c r="U55" s="336"/>
      <c r="V55" s="544"/>
      <c r="W55" s="83"/>
      <c r="X55" s="549">
        <f t="shared" si="12"/>
        <v>1.5</v>
      </c>
      <c r="Y55" s="342">
        <f t="shared" si="37"/>
        <v>0</v>
      </c>
    </row>
    <row r="56" spans="1:25" x14ac:dyDescent="0.6">
      <c r="A56" s="46">
        <f t="shared" si="38"/>
        <v>49</v>
      </c>
      <c r="B56" s="44" t="s">
        <v>67</v>
      </c>
      <c r="C56" s="290">
        <v>30</v>
      </c>
      <c r="D56" s="348">
        <f>C56*Assumptions!$C$48</f>
        <v>227686.70309653919</v>
      </c>
      <c r="E56" s="579">
        <f>Assumptions!$H$28</f>
        <v>0.244814</v>
      </c>
      <c r="F56" s="33">
        <f>Assumptions!$C$46</f>
        <v>7.5895567698846396</v>
      </c>
      <c r="G56" s="297">
        <f>Assumptions!$C$63</f>
        <v>27.295999999999999</v>
      </c>
      <c r="H56" s="383"/>
      <c r="I56" s="1439">
        <f>Assumptions!$C$104</f>
        <v>1.5</v>
      </c>
      <c r="J56" s="667"/>
      <c r="K56" s="980">
        <f t="shared" si="34"/>
        <v>0</v>
      </c>
      <c r="L56" s="322">
        <f>Gasoline!K56</f>
        <v>0</v>
      </c>
      <c r="M56" s="329">
        <f t="shared" si="39"/>
        <v>0</v>
      </c>
      <c r="N56" s="320"/>
      <c r="O56" s="320">
        <f t="shared" si="40"/>
        <v>0</v>
      </c>
      <c r="P56" s="314">
        <f t="shared" si="36"/>
        <v>0</v>
      </c>
      <c r="Q56" s="1046"/>
      <c r="R56" s="1047">
        <f t="shared" si="2"/>
        <v>0</v>
      </c>
      <c r="S56" s="402"/>
      <c r="T56" s="396">
        <f t="shared" si="35"/>
        <v>0</v>
      </c>
      <c r="U56" s="336"/>
      <c r="V56" s="544"/>
      <c r="W56" s="83"/>
      <c r="X56" s="549">
        <f t="shared" si="12"/>
        <v>1.5</v>
      </c>
      <c r="Y56" s="342">
        <f t="shared" si="37"/>
        <v>341530.05464480876</v>
      </c>
    </row>
    <row r="57" spans="1:25" x14ac:dyDescent="0.6">
      <c r="A57" s="46">
        <f t="shared" si="38"/>
        <v>50</v>
      </c>
      <c r="B57" s="44" t="s">
        <v>68</v>
      </c>
      <c r="C57" s="290">
        <v>0</v>
      </c>
      <c r="D57" s="348">
        <f>C57*Assumptions!$C$48</f>
        <v>0</v>
      </c>
      <c r="E57" s="391"/>
      <c r="F57" s="33">
        <f>Assumptions!$C$46</f>
        <v>7.5895567698846396</v>
      </c>
      <c r="G57" s="297">
        <f>Assumptions!$C$63</f>
        <v>27.295999999999999</v>
      </c>
      <c r="H57" s="383"/>
      <c r="I57" s="1439">
        <f>Assumptions!$C$104</f>
        <v>1.5</v>
      </c>
      <c r="J57" s="667"/>
      <c r="K57" s="980">
        <f t="shared" si="34"/>
        <v>0</v>
      </c>
      <c r="L57" s="322">
        <f>Gasoline!K57</f>
        <v>0</v>
      </c>
      <c r="M57" s="329">
        <f t="shared" si="39"/>
        <v>0</v>
      </c>
      <c r="N57" s="320"/>
      <c r="O57" s="320">
        <f t="shared" si="40"/>
        <v>0</v>
      </c>
      <c r="P57" s="314">
        <f t="shared" si="36"/>
        <v>0</v>
      </c>
      <c r="Q57" s="1046"/>
      <c r="R57" s="1047">
        <f t="shared" si="2"/>
        <v>0</v>
      </c>
      <c r="S57" s="402"/>
      <c r="T57" s="396">
        <f t="shared" si="35"/>
        <v>0</v>
      </c>
      <c r="U57" s="336"/>
      <c r="V57" s="544"/>
      <c r="W57" s="83"/>
      <c r="X57" s="549">
        <f t="shared" si="12"/>
        <v>1.5</v>
      </c>
      <c r="Y57" s="342">
        <f t="shared" si="37"/>
        <v>0</v>
      </c>
    </row>
    <row r="58" spans="1:25" x14ac:dyDescent="0.6">
      <c r="A58" s="46">
        <f t="shared" si="38"/>
        <v>51</v>
      </c>
      <c r="B58" s="44" t="s">
        <v>695</v>
      </c>
      <c r="C58" s="290">
        <v>0</v>
      </c>
      <c r="D58" s="348">
        <f>C58*Assumptions!$C$48</f>
        <v>0</v>
      </c>
      <c r="E58" s="391"/>
      <c r="F58" s="33">
        <f>Assumptions!$C$46</f>
        <v>7.5895567698846396</v>
      </c>
      <c r="G58" s="297">
        <f>Assumptions!$C$63</f>
        <v>27.295999999999999</v>
      </c>
      <c r="H58" s="383"/>
      <c r="I58" s="1439">
        <f>Assumptions!$C$104</f>
        <v>1.5</v>
      </c>
      <c r="J58" s="667"/>
      <c r="K58" s="980"/>
      <c r="L58" s="322">
        <f>Gasoline!K58</f>
        <v>0</v>
      </c>
      <c r="M58" s="329">
        <f t="shared" si="39"/>
        <v>0</v>
      </c>
      <c r="N58" s="320"/>
      <c r="O58" s="320">
        <f t="shared" si="40"/>
        <v>0</v>
      </c>
      <c r="P58" s="314">
        <f t="shared" si="36"/>
        <v>0</v>
      </c>
      <c r="Q58" s="1046"/>
      <c r="R58" s="1047">
        <f t="shared" si="2"/>
        <v>0</v>
      </c>
      <c r="S58" s="402"/>
      <c r="T58" s="396"/>
      <c r="U58" s="336"/>
      <c r="V58" s="544"/>
      <c r="W58" s="83"/>
      <c r="X58" s="549">
        <f t="shared" si="12"/>
        <v>1.5</v>
      </c>
      <c r="Y58" s="342">
        <f t="shared" si="37"/>
        <v>0</v>
      </c>
    </row>
    <row r="59" spans="1:25" x14ac:dyDescent="0.6">
      <c r="A59" s="46">
        <f t="shared" si="38"/>
        <v>52</v>
      </c>
      <c r="B59" s="44" t="s">
        <v>69</v>
      </c>
      <c r="C59" s="290">
        <v>0</v>
      </c>
      <c r="D59" s="348">
        <f>C59*Assumptions!$C$48</f>
        <v>0</v>
      </c>
      <c r="E59" s="391"/>
      <c r="F59" s="33">
        <f>Assumptions!$C$46</f>
        <v>7.5895567698846396</v>
      </c>
      <c r="G59" s="297">
        <f>Assumptions!$C$63</f>
        <v>27.295999999999999</v>
      </c>
      <c r="H59" s="383"/>
      <c r="I59" s="1439">
        <f>Assumptions!$C$104</f>
        <v>1.5</v>
      </c>
      <c r="J59" s="667"/>
      <c r="K59" s="980">
        <f t="shared" si="34"/>
        <v>0</v>
      </c>
      <c r="L59" s="322">
        <f>Gasoline!K59</f>
        <v>0</v>
      </c>
      <c r="M59" s="329">
        <f t="shared" si="39"/>
        <v>0</v>
      </c>
      <c r="N59" s="320"/>
      <c r="O59" s="320">
        <f t="shared" si="40"/>
        <v>0</v>
      </c>
      <c r="P59" s="314">
        <f t="shared" si="36"/>
        <v>0</v>
      </c>
      <c r="Q59" s="1046"/>
      <c r="R59" s="1047">
        <f t="shared" si="2"/>
        <v>0</v>
      </c>
      <c r="S59" s="402"/>
      <c r="T59" s="396">
        <f t="shared" si="35"/>
        <v>0</v>
      </c>
      <c r="U59" s="336"/>
      <c r="V59" s="544"/>
      <c r="W59" s="83"/>
      <c r="X59" s="549">
        <f t="shared" si="12"/>
        <v>1.5</v>
      </c>
      <c r="Y59" s="342">
        <f t="shared" si="37"/>
        <v>0</v>
      </c>
    </row>
    <row r="60" spans="1:25" x14ac:dyDescent="0.6">
      <c r="A60" s="46">
        <f t="shared" si="38"/>
        <v>53</v>
      </c>
      <c r="B60" s="44" t="s">
        <v>70</v>
      </c>
      <c r="C60" s="290">
        <v>0</v>
      </c>
      <c r="D60" s="348">
        <f>C60*Assumptions!$C$48</f>
        <v>0</v>
      </c>
      <c r="E60" s="579">
        <f>Assumptions!$H$24</f>
        <v>0.26666699999999999</v>
      </c>
      <c r="F60" s="33">
        <f>Assumptions!$C$46</f>
        <v>7.5895567698846396</v>
      </c>
      <c r="G60" s="297">
        <f>Assumptions!$C$63</f>
        <v>27.295999999999999</v>
      </c>
      <c r="H60" s="383"/>
      <c r="I60" s="1439">
        <f>Assumptions!$C$104</f>
        <v>1.5</v>
      </c>
      <c r="J60" s="667"/>
      <c r="K60" s="980">
        <f t="shared" si="34"/>
        <v>0</v>
      </c>
      <c r="L60" s="322">
        <f>Gasoline!K60</f>
        <v>0</v>
      </c>
      <c r="M60" s="329">
        <f t="shared" si="39"/>
        <v>0</v>
      </c>
      <c r="N60" s="320"/>
      <c r="O60" s="320">
        <f t="shared" si="40"/>
        <v>0</v>
      </c>
      <c r="P60" s="314">
        <f t="shared" si="36"/>
        <v>0</v>
      </c>
      <c r="Q60" s="1046"/>
      <c r="R60" s="1047">
        <f t="shared" si="2"/>
        <v>0</v>
      </c>
      <c r="S60" s="402"/>
      <c r="T60" s="396">
        <f t="shared" si="35"/>
        <v>0</v>
      </c>
      <c r="U60" s="336"/>
      <c r="V60" s="544"/>
      <c r="W60" s="83"/>
      <c r="X60" s="549">
        <f t="shared" si="12"/>
        <v>1.5</v>
      </c>
      <c r="Y60" s="342">
        <f t="shared" si="37"/>
        <v>0</v>
      </c>
    </row>
    <row r="61" spans="1:25" x14ac:dyDescent="0.6">
      <c r="A61" s="46">
        <f t="shared" si="38"/>
        <v>54</v>
      </c>
      <c r="B61" s="44" t="s">
        <v>71</v>
      </c>
      <c r="C61" s="290">
        <v>3622</v>
      </c>
      <c r="D61" s="348">
        <f>C61*Assumptions!$C$48</f>
        <v>27489374.620522164</v>
      </c>
      <c r="E61" s="391"/>
      <c r="F61" s="33">
        <f>Assumptions!$C$46</f>
        <v>7.5895567698846396</v>
      </c>
      <c r="G61" s="297">
        <f>Assumptions!$C$63</f>
        <v>27.295999999999999</v>
      </c>
      <c r="H61" s="383"/>
      <c r="I61" s="1439">
        <f>Assumptions!$C$104</f>
        <v>1.5</v>
      </c>
      <c r="J61" s="667"/>
      <c r="K61" s="980">
        <f t="shared" si="34"/>
        <v>0</v>
      </c>
      <c r="L61" s="322">
        <f>Gasoline!K61</f>
        <v>0</v>
      </c>
      <c r="M61" s="329">
        <f t="shared" si="39"/>
        <v>0</v>
      </c>
      <c r="N61" s="320"/>
      <c r="O61" s="320">
        <f t="shared" si="40"/>
        <v>0</v>
      </c>
      <c r="P61" s="314">
        <f t="shared" si="36"/>
        <v>0</v>
      </c>
      <c r="Q61" s="1046"/>
      <c r="R61" s="1047">
        <f t="shared" si="2"/>
        <v>0</v>
      </c>
      <c r="S61" s="402"/>
      <c r="T61" s="396">
        <f t="shared" si="35"/>
        <v>0</v>
      </c>
      <c r="U61" s="336"/>
      <c r="V61" s="544"/>
      <c r="W61" s="83"/>
      <c r="X61" s="549">
        <f t="shared" si="12"/>
        <v>1.5</v>
      </c>
      <c r="Y61" s="342">
        <f t="shared" si="37"/>
        <v>41234061.930783242</v>
      </c>
    </row>
    <row r="62" spans="1:25" x14ac:dyDescent="0.6">
      <c r="A62" s="46">
        <f t="shared" si="38"/>
        <v>55</v>
      </c>
      <c r="B62" s="44" t="s">
        <v>72</v>
      </c>
      <c r="C62" s="290">
        <v>0</v>
      </c>
      <c r="D62" s="348">
        <f>C62*Assumptions!$C$48</f>
        <v>0</v>
      </c>
      <c r="E62" s="391"/>
      <c r="F62" s="33">
        <f>Assumptions!$C$46</f>
        <v>7.5895567698846396</v>
      </c>
      <c r="G62" s="297">
        <f>Assumptions!$C$63</f>
        <v>27.295999999999999</v>
      </c>
      <c r="H62" s="383"/>
      <c r="I62" s="1439">
        <f>Assumptions!$C$104</f>
        <v>1.5</v>
      </c>
      <c r="J62" s="667"/>
      <c r="K62" s="980">
        <f t="shared" si="34"/>
        <v>0</v>
      </c>
      <c r="L62" s="322">
        <f>Gasoline!K62</f>
        <v>0</v>
      </c>
      <c r="M62" s="329">
        <f t="shared" si="39"/>
        <v>0</v>
      </c>
      <c r="N62" s="320"/>
      <c r="O62" s="320">
        <f t="shared" si="40"/>
        <v>0</v>
      </c>
      <c r="P62" s="314">
        <f t="shared" si="36"/>
        <v>0</v>
      </c>
      <c r="Q62" s="1046"/>
      <c r="R62" s="1047">
        <f t="shared" si="2"/>
        <v>0</v>
      </c>
      <c r="S62" s="402"/>
      <c r="T62" s="396">
        <f t="shared" si="35"/>
        <v>0</v>
      </c>
      <c r="U62" s="336"/>
      <c r="V62" s="544"/>
      <c r="W62" s="83"/>
      <c r="X62" s="549">
        <f t="shared" si="12"/>
        <v>1.5</v>
      </c>
      <c r="Y62" s="342">
        <f t="shared" si="37"/>
        <v>0</v>
      </c>
    </row>
    <row r="63" spans="1:25" x14ac:dyDescent="0.6">
      <c r="A63" s="46">
        <f t="shared" si="38"/>
        <v>56</v>
      </c>
      <c r="B63" s="44" t="s">
        <v>73</v>
      </c>
      <c r="C63" s="290">
        <v>0</v>
      </c>
      <c r="D63" s="348">
        <f>C63*Assumptions!$C$48</f>
        <v>0</v>
      </c>
      <c r="E63" s="579">
        <f>Assumptions!$H$29</f>
        <v>0.27229399999999998</v>
      </c>
      <c r="F63" s="33">
        <f>Assumptions!$C$46</f>
        <v>7.5895567698846396</v>
      </c>
      <c r="G63" s="297">
        <f>Assumptions!$C$63</f>
        <v>27.295999999999999</v>
      </c>
      <c r="H63" s="383"/>
      <c r="I63" s="1439">
        <f>Assumptions!$C$104</f>
        <v>1.5</v>
      </c>
      <c r="J63" s="667"/>
      <c r="K63" s="980">
        <f t="shared" si="34"/>
        <v>0</v>
      </c>
      <c r="L63" s="322">
        <f>Gasoline!K63</f>
        <v>0</v>
      </c>
      <c r="M63" s="329">
        <f t="shared" si="39"/>
        <v>0</v>
      </c>
      <c r="N63" s="320"/>
      <c r="O63" s="320">
        <f t="shared" si="40"/>
        <v>0</v>
      </c>
      <c r="P63" s="314">
        <f t="shared" si="36"/>
        <v>0</v>
      </c>
      <c r="Q63" s="1046"/>
      <c r="R63" s="1047">
        <f t="shared" si="2"/>
        <v>0</v>
      </c>
      <c r="S63" s="402"/>
      <c r="T63" s="396">
        <f t="shared" si="35"/>
        <v>0</v>
      </c>
      <c r="U63" s="336"/>
      <c r="V63" s="544"/>
      <c r="W63" s="83"/>
      <c r="X63" s="549">
        <f t="shared" si="12"/>
        <v>1.5</v>
      </c>
      <c r="Y63" s="342">
        <f t="shared" si="37"/>
        <v>0</v>
      </c>
    </row>
    <row r="64" spans="1:25" x14ac:dyDescent="0.6">
      <c r="A64" s="46">
        <f t="shared" si="38"/>
        <v>57</v>
      </c>
      <c r="B64" s="44" t="s">
        <v>74</v>
      </c>
      <c r="C64" s="290">
        <v>503118</v>
      </c>
      <c r="D64" s="348">
        <f>C64*Assumptions!$C$48</f>
        <v>3818442622.9508204</v>
      </c>
      <c r="E64" s="391"/>
      <c r="F64" s="33">
        <f>Assumptions!$C$46</f>
        <v>7.5895567698846396</v>
      </c>
      <c r="G64" s="297">
        <f>Assumptions!$C$63</f>
        <v>27.295999999999999</v>
      </c>
      <c r="H64" s="383"/>
      <c r="I64" s="1439">
        <f>Assumptions!$C$104</f>
        <v>1.5</v>
      </c>
      <c r="J64" s="667"/>
      <c r="K64" s="980">
        <f t="shared" si="34"/>
        <v>0</v>
      </c>
      <c r="L64" s="322">
        <f>Gasoline!K64</f>
        <v>0</v>
      </c>
      <c r="M64" s="329">
        <f t="shared" si="39"/>
        <v>0</v>
      </c>
      <c r="N64" s="320"/>
      <c r="O64" s="320">
        <f t="shared" si="40"/>
        <v>0</v>
      </c>
      <c r="P64" s="314">
        <f t="shared" si="36"/>
        <v>0</v>
      </c>
      <c r="Q64" s="1046"/>
      <c r="R64" s="1047">
        <f t="shared" si="2"/>
        <v>0</v>
      </c>
      <c r="S64" s="402"/>
      <c r="T64" s="396">
        <f t="shared" si="35"/>
        <v>0</v>
      </c>
      <c r="U64" s="336"/>
      <c r="V64" s="544"/>
      <c r="W64" s="83"/>
      <c r="X64" s="549">
        <f t="shared" si="12"/>
        <v>1.5</v>
      </c>
      <c r="Y64" s="342">
        <f t="shared" si="37"/>
        <v>5727663934.4262304</v>
      </c>
    </row>
    <row r="65" spans="1:25" x14ac:dyDescent="0.6">
      <c r="A65" s="51">
        <f t="shared" si="38"/>
        <v>58</v>
      </c>
      <c r="B65" s="52" t="s">
        <v>75</v>
      </c>
      <c r="C65" s="292">
        <v>43621</v>
      </c>
      <c r="D65" s="350">
        <f>C65*Assumptions!$C$48</f>
        <v>331064055.85913789</v>
      </c>
      <c r="E65" s="405"/>
      <c r="F65" s="45">
        <f>Assumptions!$C$46</f>
        <v>7.5895567698846396</v>
      </c>
      <c r="G65" s="300">
        <f>Assumptions!$C$63</f>
        <v>27.295999999999999</v>
      </c>
      <c r="H65" s="972"/>
      <c r="I65" s="1461">
        <f>Assumptions!$C$104</f>
        <v>1.5</v>
      </c>
      <c r="J65" s="672"/>
      <c r="K65" s="981">
        <f t="shared" si="34"/>
        <v>0</v>
      </c>
      <c r="L65" s="1022">
        <f>Gasoline!K65</f>
        <v>0</v>
      </c>
      <c r="M65" s="335">
        <f t="shared" si="39"/>
        <v>0</v>
      </c>
      <c r="N65" s="1014"/>
      <c r="O65" s="1014">
        <f t="shared" si="40"/>
        <v>0</v>
      </c>
      <c r="P65" s="328">
        <f t="shared" si="36"/>
        <v>0</v>
      </c>
      <c r="Q65" s="1049"/>
      <c r="R65" s="1050">
        <f t="shared" si="2"/>
        <v>0</v>
      </c>
      <c r="S65" s="408"/>
      <c r="T65" s="409">
        <f t="shared" si="35"/>
        <v>0</v>
      </c>
      <c r="U65" s="545"/>
      <c r="V65" s="546"/>
      <c r="W65" s="585"/>
      <c r="X65" s="550">
        <f t="shared" si="12"/>
        <v>1.5</v>
      </c>
      <c r="Y65" s="551">
        <f t="shared" si="37"/>
        <v>496596083.78870684</v>
      </c>
    </row>
    <row r="66" spans="1:25" x14ac:dyDescent="0.6">
      <c r="B66" s="1" t="s">
        <v>42</v>
      </c>
      <c r="C66" s="13">
        <v>19535627</v>
      </c>
      <c r="D66" s="13">
        <f>SUM(D4:D65)</f>
        <v>132597389192.47121</v>
      </c>
      <c r="E66" s="398"/>
      <c r="Q66" s="414"/>
      <c r="R66" s="414"/>
      <c r="W66" s="586"/>
      <c r="X66" s="535"/>
      <c r="Y66" s="1"/>
    </row>
    <row r="67" spans="1:25" x14ac:dyDescent="0.6">
      <c r="B67" s="1" t="s">
        <v>596</v>
      </c>
      <c r="D67" s="13">
        <f>C66*Assumptions!C48</f>
        <v>148266750151.79117</v>
      </c>
      <c r="E67" s="398"/>
      <c r="Q67" s="414"/>
      <c r="R67" s="414"/>
      <c r="W67" s="586"/>
      <c r="X67" s="535"/>
      <c r="Y67" s="1"/>
    </row>
    <row r="68" spans="1:25" x14ac:dyDescent="0.6">
      <c r="D68" s="28">
        <f>D66/D67</f>
        <v>0.8943164199439313</v>
      </c>
      <c r="E68" s="398"/>
      <c r="Q68" s="414"/>
      <c r="R68" s="414"/>
      <c r="W68" s="586"/>
      <c r="X68" s="535"/>
      <c r="Y68" s="1"/>
    </row>
    <row r="69" spans="1:25" x14ac:dyDescent="0.6">
      <c r="E69" s="398"/>
      <c r="H69" s="27">
        <v>3641</v>
      </c>
      <c r="I69" s="226" t="s">
        <v>1494</v>
      </c>
      <c r="Q69" s="414"/>
      <c r="R69" s="414"/>
      <c r="Y69" s="1"/>
    </row>
    <row r="70" spans="1:25" x14ac:dyDescent="0.6">
      <c r="E70" s="398"/>
      <c r="H70" s="27">
        <f>Assumptions!C55</f>
        <v>35.314700000000002</v>
      </c>
      <c r="I70" s="226" t="s">
        <v>1497</v>
      </c>
      <c r="Q70" s="414"/>
      <c r="R70" s="414"/>
      <c r="Y70" s="1"/>
    </row>
    <row r="71" spans="1:25" x14ac:dyDescent="0.6">
      <c r="E71" s="398"/>
      <c r="H71" s="27">
        <f>H69/H70</f>
        <v>103.10154128450758</v>
      </c>
      <c r="I71" s="226" t="s">
        <v>1499</v>
      </c>
      <c r="K71" s="3"/>
      <c r="Q71" s="414"/>
      <c r="R71" s="414"/>
      <c r="Y71" s="1"/>
    </row>
    <row r="72" spans="1:25" ht="22" customHeight="1" x14ac:dyDescent="0.6">
      <c r="E72" s="398"/>
      <c r="H72" s="27">
        <f>H71/1000</f>
        <v>0.10310154128450758</v>
      </c>
      <c r="I72" s="226" t="s">
        <v>1498</v>
      </c>
      <c r="K72" s="3"/>
      <c r="Q72" s="414"/>
      <c r="R72" s="414"/>
      <c r="Y72" s="1"/>
    </row>
    <row r="73" spans="1:25" ht="15" customHeight="1" x14ac:dyDescent="0.6">
      <c r="E73" s="398"/>
      <c r="H73" s="27">
        <f>H72/1000</f>
        <v>1.0310154128450757E-4</v>
      </c>
      <c r="I73" s="226" t="s">
        <v>1500</v>
      </c>
      <c r="K73" s="4"/>
      <c r="Q73" s="414"/>
      <c r="R73" s="414"/>
      <c r="Y73" s="1"/>
    </row>
    <row r="74" spans="1:25" x14ac:dyDescent="0.6">
      <c r="E74" s="398"/>
      <c r="H74" s="27">
        <f>H73*125000</f>
        <v>12.887692660563447</v>
      </c>
      <c r="I74" s="226" t="s">
        <v>1501</v>
      </c>
      <c r="K74" s="3"/>
      <c r="Q74" s="414"/>
      <c r="R74" s="414"/>
      <c r="Y74" s="1"/>
    </row>
    <row r="75" spans="1:25" x14ac:dyDescent="0.6">
      <c r="A75" s="1"/>
      <c r="C75" s="85"/>
      <c r="D75" s="1"/>
      <c r="E75" s="398"/>
      <c r="F75" s="1"/>
      <c r="G75" s="1"/>
      <c r="H75" s="9"/>
      <c r="I75" s="10"/>
      <c r="J75" s="1"/>
      <c r="L75" s="1"/>
      <c r="M75" s="1"/>
      <c r="N75" s="1"/>
      <c r="O75" s="1"/>
      <c r="Q75" s="414"/>
      <c r="R75" s="414"/>
      <c r="T75" s="85"/>
      <c r="U75" s="1"/>
      <c r="V75" s="1"/>
      <c r="W75" s="83"/>
      <c r="Y75" s="1"/>
    </row>
    <row r="76" spans="1:25" x14ac:dyDescent="0.6">
      <c r="E76" s="398"/>
      <c r="Q76" s="414"/>
      <c r="R76" s="414"/>
      <c r="Y76" s="1"/>
    </row>
    <row r="77" spans="1:25" x14ac:dyDescent="0.6">
      <c r="E77" s="398"/>
      <c r="H77" s="55" t="s">
        <v>1632</v>
      </c>
      <c r="I77" s="7"/>
      <c r="J77" s="4"/>
      <c r="Q77" s="414"/>
      <c r="R77" s="414"/>
      <c r="Y77" s="1"/>
    </row>
    <row r="78" spans="1:25" x14ac:dyDescent="0.6">
      <c r="E78" s="398"/>
      <c r="H78" s="55"/>
      <c r="I78" s="27">
        <v>0.67</v>
      </c>
      <c r="J78" s="4" t="s">
        <v>1633</v>
      </c>
      <c r="Q78" s="414"/>
      <c r="R78" s="414"/>
      <c r="Y78" s="1"/>
    </row>
    <row r="79" spans="1:25" x14ac:dyDescent="0.6">
      <c r="E79" s="398"/>
      <c r="H79" s="55"/>
      <c r="I79" s="12">
        <f>Assumptions!$C$55</f>
        <v>35.314700000000002</v>
      </c>
      <c r="J79" s="4" t="s">
        <v>1634</v>
      </c>
      <c r="Q79" s="414"/>
      <c r="R79" s="414"/>
      <c r="Y79" s="1"/>
    </row>
    <row r="80" spans="1:25" x14ac:dyDescent="0.6">
      <c r="H80" s="55"/>
      <c r="I80" s="3">
        <f>I78/I79*1000</f>
        <v>18.972269338264237</v>
      </c>
      <c r="J80" s="4" t="s">
        <v>1635</v>
      </c>
    </row>
    <row r="81" spans="8:10" x14ac:dyDescent="0.6">
      <c r="H81" s="55"/>
      <c r="I81" s="13">
        <f>Assumptions!$C$56</f>
        <v>1037</v>
      </c>
      <c r="J81" s="4" t="s">
        <v>1636</v>
      </c>
    </row>
    <row r="82" spans="8:10" x14ac:dyDescent="0.6">
      <c r="H82" s="55"/>
      <c r="I82" s="13">
        <f>I81*I79</f>
        <v>36621.3439</v>
      </c>
      <c r="J82" s="4" t="s">
        <v>1637</v>
      </c>
    </row>
    <row r="83" spans="8:10" x14ac:dyDescent="0.6">
      <c r="H83" s="55"/>
      <c r="I83" s="7">
        <f>I82/Assumptions!$C$8</f>
        <v>0.29297075119999999</v>
      </c>
      <c r="J83" s="4" t="s">
        <v>1638</v>
      </c>
    </row>
    <row r="84" spans="8:10" x14ac:dyDescent="0.6">
      <c r="H84" s="55"/>
      <c r="I84" s="4">
        <f>I83*I78</f>
        <v>0.19629040330399999</v>
      </c>
      <c r="J84" s="4" t="s">
        <v>1639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T11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8.5" style="85" customWidth="1"/>
    <col min="3" max="3" width="34.59765625" style="55" bestFit="1" customWidth="1"/>
    <col min="4" max="4" width="11.34765625" style="96" customWidth="1"/>
    <col min="5" max="5" width="11.34765625" style="55" customWidth="1"/>
    <col min="6" max="6" width="8.84765625" style="96" bestFit="1" customWidth="1"/>
    <col min="7" max="7" width="17.59765625" style="1" bestFit="1" customWidth="1"/>
    <col min="8" max="8" width="17.34765625" style="1" bestFit="1" customWidth="1"/>
    <col min="9" max="9" width="8.5" style="278" bestFit="1" customWidth="1"/>
    <col min="10" max="11" width="9.5" style="54" customWidth="1"/>
    <col min="12" max="12" width="8.59765625" style="54" customWidth="1"/>
    <col min="13" max="13" width="9.59765625" style="54" bestFit="1" customWidth="1"/>
    <col min="14" max="14" width="9.09765625" style="54" customWidth="1"/>
    <col min="15" max="15" width="16" style="17" bestFit="1" customWidth="1"/>
    <col min="16" max="16" width="17.5" style="70" bestFit="1" customWidth="1"/>
    <col min="17" max="17" width="17.5" style="17" bestFit="1" customWidth="1"/>
    <col min="18" max="18" width="17.5" style="1" bestFit="1" customWidth="1"/>
    <col min="19" max="19" width="14.59765625" style="1" customWidth="1"/>
    <col min="20" max="20" width="14" style="17" bestFit="1" customWidth="1"/>
    <col min="21" max="16384" width="10.84765625" style="1"/>
  </cols>
  <sheetData>
    <row r="1" spans="1:20" x14ac:dyDescent="0.6">
      <c r="A1" s="78" t="s">
        <v>1510</v>
      </c>
      <c r="D1" s="174"/>
      <c r="E1" s="89"/>
      <c r="G1" s="13"/>
      <c r="H1" s="13"/>
      <c r="I1" s="1441"/>
      <c r="M1" s="17"/>
      <c r="N1" s="17"/>
      <c r="O1" s="98"/>
      <c r="Q1" s="98"/>
      <c r="R1" s="880"/>
    </row>
    <row r="2" spans="1:20" s="2" customFormat="1" x14ac:dyDescent="0.6">
      <c r="A2" s="24" t="s">
        <v>879</v>
      </c>
      <c r="B2" s="60"/>
      <c r="C2" s="56"/>
      <c r="D2" s="97" t="s">
        <v>857</v>
      </c>
      <c r="E2" s="56" t="s">
        <v>857</v>
      </c>
      <c r="F2" s="97" t="s">
        <v>189</v>
      </c>
      <c r="G2" s="60" t="s">
        <v>24</v>
      </c>
      <c r="H2" s="60" t="s">
        <v>24</v>
      </c>
      <c r="I2" s="370" t="s">
        <v>1506</v>
      </c>
      <c r="J2" s="95" t="s">
        <v>1506</v>
      </c>
      <c r="K2" s="95"/>
      <c r="L2" s="95" t="s">
        <v>396</v>
      </c>
      <c r="M2" s="95" t="s">
        <v>397</v>
      </c>
      <c r="N2" s="95" t="s">
        <v>42</v>
      </c>
      <c r="O2" s="18" t="s">
        <v>193</v>
      </c>
      <c r="P2" s="114" t="s">
        <v>396</v>
      </c>
      <c r="Q2" s="18" t="s">
        <v>397</v>
      </c>
      <c r="R2" s="2" t="s">
        <v>398</v>
      </c>
      <c r="T2" s="18"/>
    </row>
    <row r="3" spans="1:20" s="2" customFormat="1" x14ac:dyDescent="0.6">
      <c r="A3" s="24"/>
      <c r="B3" s="60"/>
      <c r="C3" s="56" t="s">
        <v>197</v>
      </c>
      <c r="D3" s="97" t="s">
        <v>1507</v>
      </c>
      <c r="E3" s="56" t="s">
        <v>1508</v>
      </c>
      <c r="F3" s="97" t="s">
        <v>79</v>
      </c>
      <c r="G3" s="2" t="s">
        <v>1504</v>
      </c>
      <c r="H3" s="2" t="s">
        <v>400</v>
      </c>
      <c r="I3" s="370" t="s">
        <v>1505</v>
      </c>
      <c r="J3" s="95" t="s">
        <v>674</v>
      </c>
      <c r="K3" s="95" t="s">
        <v>79</v>
      </c>
      <c r="L3" s="95" t="s">
        <v>190</v>
      </c>
      <c r="M3" s="95" t="s">
        <v>190</v>
      </c>
      <c r="N3" s="95" t="s">
        <v>79</v>
      </c>
      <c r="O3" s="18" t="s">
        <v>192</v>
      </c>
      <c r="P3" s="114" t="s">
        <v>192</v>
      </c>
      <c r="Q3" s="18" t="s">
        <v>192</v>
      </c>
      <c r="R3" s="2" t="s">
        <v>198</v>
      </c>
      <c r="T3" s="18"/>
    </row>
    <row r="4" spans="1:20" s="85" customFormat="1" x14ac:dyDescent="0.6">
      <c r="A4" s="60">
        <v>1</v>
      </c>
      <c r="B4" s="85" t="s">
        <v>178</v>
      </c>
      <c r="C4" s="89" t="s">
        <v>1502</v>
      </c>
      <c r="D4" s="174">
        <v>0.04</v>
      </c>
      <c r="E4" s="89"/>
      <c r="F4" s="959">
        <f>'State gasoline'!K4</f>
        <v>8.9099999999999999E-2</v>
      </c>
      <c r="G4" s="897">
        <v>32750000000</v>
      </c>
      <c r="H4" s="897">
        <f>G4*Assumptions!$C$56/Assumptions!$C$8</f>
        <v>271694000</v>
      </c>
      <c r="I4" s="1442">
        <v>14.13</v>
      </c>
      <c r="J4" s="156">
        <f>(I4/1000*G4)/H4</f>
        <v>1.7032304725168756</v>
      </c>
      <c r="K4" s="156">
        <f>J4-L4</f>
        <v>6.5508864327572303E-2</v>
      </c>
      <c r="L4" s="156">
        <f>J4/(1+D4)</f>
        <v>1.6377216081893033</v>
      </c>
      <c r="M4" s="156">
        <f t="shared" ref="M4:M36" si="0">L4*(1+F4)</f>
        <v>1.7836426034789703</v>
      </c>
      <c r="N4" s="952">
        <f>J4-L4</f>
        <v>6.5508864327572303E-2</v>
      </c>
      <c r="O4" s="70">
        <f t="shared" ref="O4:O54" si="1">J4*H4</f>
        <v>462757500</v>
      </c>
      <c r="P4" s="70">
        <f t="shared" ref="P4:P54" si="2">L4*H4</f>
        <v>444959134.61538458</v>
      </c>
      <c r="Q4" s="70">
        <f t="shared" ref="Q4:Q54" si="3">M4*H4</f>
        <v>484604993.50961536</v>
      </c>
      <c r="R4" s="70">
        <f t="shared" ref="R4:R54" si="4">O4-Q4</f>
        <v>-21847493.509615362</v>
      </c>
      <c r="S4" s="70">
        <f>IF(R4&gt;=0,R4,0)</f>
        <v>0</v>
      </c>
      <c r="T4" s="70">
        <f>IF(R4&lt;0,R4,0)</f>
        <v>-21847493.509615362</v>
      </c>
    </row>
    <row r="5" spans="1:20" s="85" customFormat="1" x14ac:dyDescent="0.6">
      <c r="A5" s="60">
        <f t="shared" ref="A5:A54" si="5">A4+1</f>
        <v>2</v>
      </c>
      <c r="B5" s="85" t="s">
        <v>188</v>
      </c>
      <c r="C5" s="89" t="s">
        <v>1509</v>
      </c>
      <c r="D5" s="174"/>
      <c r="E5" s="89"/>
      <c r="F5" s="959"/>
      <c r="G5" s="897">
        <v>18574000000</v>
      </c>
      <c r="H5" s="897">
        <f>G5*Assumptions!$C$56/Assumptions!$C$8</f>
        <v>154089904</v>
      </c>
      <c r="I5" s="1442">
        <v>9.64</v>
      </c>
      <c r="J5" s="156">
        <f t="shared" ref="J5:J54" si="6">(I5/1000*G5)/H5</f>
        <v>1.1620057859209258</v>
      </c>
      <c r="K5" s="156">
        <f t="shared" ref="K5:K54" si="7">J5-L5</f>
        <v>0</v>
      </c>
      <c r="L5" s="156">
        <f>J5</f>
        <v>1.1620057859209258</v>
      </c>
      <c r="M5" s="156">
        <f t="shared" si="0"/>
        <v>1.1620057859209258</v>
      </c>
      <c r="N5" s="952">
        <f t="shared" ref="N5:N54" si="8">J5-L5</f>
        <v>0</v>
      </c>
      <c r="O5" s="70">
        <f t="shared" si="1"/>
        <v>179053360.00000003</v>
      </c>
      <c r="P5" s="70">
        <f t="shared" si="2"/>
        <v>179053360.00000003</v>
      </c>
      <c r="Q5" s="70">
        <f t="shared" si="3"/>
        <v>179053360.00000003</v>
      </c>
      <c r="R5" s="70">
        <f t="shared" si="4"/>
        <v>0</v>
      </c>
      <c r="S5" s="70">
        <f t="shared" ref="S5:S55" si="9">IF(R5&gt;=0,R5,0)</f>
        <v>0</v>
      </c>
      <c r="T5" s="70">
        <f t="shared" ref="T5:T53" si="10">IF(R5&lt;0,R5,0)</f>
        <v>0</v>
      </c>
    </row>
    <row r="6" spans="1:20" s="85" customFormat="1" x14ac:dyDescent="0.6">
      <c r="A6" s="60">
        <f t="shared" si="5"/>
        <v>3</v>
      </c>
      <c r="B6" s="85" t="s">
        <v>181</v>
      </c>
      <c r="C6" s="89" t="s">
        <v>1537</v>
      </c>
      <c r="D6" s="174">
        <v>0.1414</v>
      </c>
      <c r="E6" s="89"/>
      <c r="F6" s="959">
        <v>8.1699999999999995E-2</v>
      </c>
      <c r="G6" s="897">
        <v>34516000000</v>
      </c>
      <c r="H6" s="897">
        <f>G6*Assumptions!$C$56/Assumptions!$C$8</f>
        <v>286344736</v>
      </c>
      <c r="I6" s="1442">
        <v>17.04</v>
      </c>
      <c r="J6" s="156">
        <f t="shared" si="6"/>
        <v>2.0540019286403086</v>
      </c>
      <c r="K6" s="156">
        <f t="shared" si="7"/>
        <v>0.25445581979125609</v>
      </c>
      <c r="L6" s="156">
        <f>J6/(1+D6)</f>
        <v>1.7995461088490525</v>
      </c>
      <c r="M6" s="156">
        <f t="shared" si="0"/>
        <v>1.9465690259420203</v>
      </c>
      <c r="N6" s="952">
        <f t="shared" si="8"/>
        <v>0.25445581979125609</v>
      </c>
      <c r="O6" s="70">
        <f t="shared" si="1"/>
        <v>588152640</v>
      </c>
      <c r="P6" s="70">
        <f t="shared" si="2"/>
        <v>515290555.45820922</v>
      </c>
      <c r="Q6" s="70">
        <f t="shared" si="3"/>
        <v>557389793.83914495</v>
      </c>
      <c r="R6" s="70">
        <f t="shared" si="4"/>
        <v>30762846.160855055</v>
      </c>
      <c r="S6" s="70">
        <f t="shared" si="9"/>
        <v>30762846.160855055</v>
      </c>
      <c r="T6" s="70">
        <f t="shared" si="10"/>
        <v>0</v>
      </c>
    </row>
    <row r="7" spans="1:20" s="85" customFormat="1" x14ac:dyDescent="0.6">
      <c r="A7" s="60">
        <f t="shared" si="5"/>
        <v>4</v>
      </c>
      <c r="B7" s="85" t="s">
        <v>176</v>
      </c>
      <c r="C7" s="89" t="s">
        <v>1512</v>
      </c>
      <c r="D7" s="174"/>
      <c r="E7" s="1446"/>
      <c r="F7" s="959">
        <f>'State gasoline'!K7</f>
        <v>9.2600000000000002E-2</v>
      </c>
      <c r="G7" s="897">
        <v>33049000000</v>
      </c>
      <c r="H7" s="897">
        <f>G7*Assumptions!$C$56/Assumptions!$C$8</f>
        <v>274174504</v>
      </c>
      <c r="I7" s="1442">
        <v>11.58</v>
      </c>
      <c r="J7" s="156">
        <f t="shared" si="6"/>
        <v>1.3958534233365478</v>
      </c>
      <c r="K7" s="156">
        <f t="shared" si="7"/>
        <v>0.11830132436478524</v>
      </c>
      <c r="L7" s="156">
        <f>J7/(1+F7)</f>
        <v>1.2775520989717626</v>
      </c>
      <c r="M7" s="156">
        <f t="shared" si="0"/>
        <v>1.3958534233365478</v>
      </c>
      <c r="N7" s="952">
        <f t="shared" si="8"/>
        <v>0.11830132436478524</v>
      </c>
      <c r="O7" s="70">
        <f t="shared" si="1"/>
        <v>382707420</v>
      </c>
      <c r="P7" s="70">
        <f t="shared" si="2"/>
        <v>350272213.0697419</v>
      </c>
      <c r="Q7" s="70">
        <f t="shared" si="3"/>
        <v>382707420</v>
      </c>
      <c r="R7" s="70">
        <f t="shared" si="4"/>
        <v>0</v>
      </c>
      <c r="S7" s="70">
        <f t="shared" si="9"/>
        <v>0</v>
      </c>
      <c r="T7" s="70">
        <f t="shared" si="10"/>
        <v>0</v>
      </c>
    </row>
    <row r="8" spans="1:20" s="85" customFormat="1" x14ac:dyDescent="0.6">
      <c r="A8" s="60">
        <f t="shared" si="5"/>
        <v>5</v>
      </c>
      <c r="B8" s="85" t="s">
        <v>142</v>
      </c>
      <c r="C8" s="89" t="s">
        <v>1511</v>
      </c>
      <c r="D8" s="174"/>
      <c r="E8" s="1446">
        <f>0.00068+0.06098</f>
        <v>6.166E-2</v>
      </c>
      <c r="F8" s="959">
        <f>'State gasoline'!K8</f>
        <v>8.4400000000000003E-2</v>
      </c>
      <c r="G8" s="897">
        <v>401172000000</v>
      </c>
      <c r="H8" s="897">
        <f>G8*Assumptions!$C$56/Assumptions!$C$8</f>
        <v>3328122912</v>
      </c>
      <c r="I8" s="1442">
        <v>11.39</v>
      </c>
      <c r="J8" s="156">
        <f t="shared" si="6"/>
        <v>1.3729508196721312</v>
      </c>
      <c r="K8" s="156">
        <f t="shared" si="7"/>
        <v>6.1660000000000048E-2</v>
      </c>
      <c r="L8" s="156">
        <f>J8-E8</f>
        <v>1.3112908196721311</v>
      </c>
      <c r="M8" s="156">
        <f t="shared" si="0"/>
        <v>1.421963764852459</v>
      </c>
      <c r="N8" s="952">
        <f t="shared" si="8"/>
        <v>6.1660000000000048E-2</v>
      </c>
      <c r="O8" s="70">
        <f t="shared" si="1"/>
        <v>4569349080</v>
      </c>
      <c r="P8" s="70">
        <f t="shared" si="2"/>
        <v>4364137021.2460804</v>
      </c>
      <c r="Q8" s="70">
        <f t="shared" si="3"/>
        <v>4732470185.8392496</v>
      </c>
      <c r="R8" s="70">
        <f t="shared" si="4"/>
        <v>-163121105.83924961</v>
      </c>
      <c r="S8" s="70">
        <f t="shared" si="9"/>
        <v>0</v>
      </c>
      <c r="T8" s="70">
        <f t="shared" si="10"/>
        <v>-163121105.83924961</v>
      </c>
    </row>
    <row r="9" spans="1:20" s="85" customFormat="1" x14ac:dyDescent="0.6">
      <c r="A9" s="60">
        <f t="shared" si="5"/>
        <v>6</v>
      </c>
      <c r="B9" s="85" t="s">
        <v>175</v>
      </c>
      <c r="C9" s="89" t="s">
        <v>1513</v>
      </c>
      <c r="D9" s="174">
        <f>F9+0.03</f>
        <v>0.10439999999999999</v>
      </c>
      <c r="E9" s="89"/>
      <c r="F9" s="959">
        <f>'State gasoline'!K9</f>
        <v>7.4399999999999994E-2</v>
      </c>
      <c r="G9" s="897">
        <v>122364000000</v>
      </c>
      <c r="H9" s="897">
        <f>G9*Assumptions!$C$56/Assumptions!$C$8</f>
        <v>1015131744</v>
      </c>
      <c r="I9" s="1442">
        <v>8.27</v>
      </c>
      <c r="J9" s="156">
        <f t="shared" si="6"/>
        <v>0.9968659594985535</v>
      </c>
      <c r="K9" s="156">
        <f t="shared" si="7"/>
        <v>9.4234703161580113E-2</v>
      </c>
      <c r="L9" s="156">
        <f>J9/(1+D9)</f>
        <v>0.90263125633697339</v>
      </c>
      <c r="M9" s="156">
        <f t="shared" si="0"/>
        <v>0.96978702180844423</v>
      </c>
      <c r="N9" s="952">
        <f t="shared" si="8"/>
        <v>9.4234703161580113E-2</v>
      </c>
      <c r="O9" s="70">
        <f t="shared" si="1"/>
        <v>1011950280</v>
      </c>
      <c r="P9" s="70">
        <f t="shared" si="2"/>
        <v>916289641.43426287</v>
      </c>
      <c r="Q9" s="70">
        <f t="shared" si="3"/>
        <v>984461590.75697207</v>
      </c>
      <c r="R9" s="70">
        <f t="shared" si="4"/>
        <v>27488689.243027925</v>
      </c>
      <c r="S9" s="70">
        <f t="shared" si="9"/>
        <v>27488689.243027925</v>
      </c>
      <c r="T9" s="70">
        <f t="shared" si="10"/>
        <v>0</v>
      </c>
    </row>
    <row r="10" spans="1:20" s="85" customFormat="1" x14ac:dyDescent="0.6">
      <c r="A10" s="60">
        <f t="shared" si="5"/>
        <v>7</v>
      </c>
      <c r="B10" s="85" t="s">
        <v>143</v>
      </c>
      <c r="C10" s="89" t="s">
        <v>1514</v>
      </c>
      <c r="D10" s="174"/>
      <c r="E10" s="89"/>
      <c r="F10" s="959">
        <f>'State gasoline'!K10</f>
        <v>6.3500000000000001E-2</v>
      </c>
      <c r="G10" s="897">
        <v>50975000000</v>
      </c>
      <c r="H10" s="897">
        <f>G10*Assumptions!$C$56/Assumptions!$C$8</f>
        <v>422888600</v>
      </c>
      <c r="I10" s="1442">
        <v>12.5</v>
      </c>
      <c r="J10" s="156">
        <f t="shared" si="6"/>
        <v>1.5067502410800386</v>
      </c>
      <c r="K10" s="156">
        <f t="shared" si="7"/>
        <v>0</v>
      </c>
      <c r="L10" s="156">
        <f>J10</f>
        <v>1.5067502410800386</v>
      </c>
      <c r="M10" s="156">
        <f t="shared" si="0"/>
        <v>1.6024288813886209</v>
      </c>
      <c r="N10" s="952">
        <f t="shared" si="8"/>
        <v>0</v>
      </c>
      <c r="O10" s="70">
        <f t="shared" si="1"/>
        <v>637187500</v>
      </c>
      <c r="P10" s="70">
        <f t="shared" si="2"/>
        <v>637187500</v>
      </c>
      <c r="Q10" s="70">
        <f t="shared" si="3"/>
        <v>677648906.25</v>
      </c>
      <c r="R10" s="70">
        <f t="shared" si="4"/>
        <v>-40461406.25</v>
      </c>
      <c r="S10" s="70">
        <f t="shared" si="9"/>
        <v>0</v>
      </c>
      <c r="T10" s="70">
        <f t="shared" si="10"/>
        <v>-40461406.25</v>
      </c>
    </row>
    <row r="11" spans="1:20" s="85" customFormat="1" x14ac:dyDescent="0.6">
      <c r="A11" s="60">
        <f t="shared" si="5"/>
        <v>8</v>
      </c>
      <c r="B11" s="85" t="s">
        <v>172</v>
      </c>
      <c r="C11" s="89" t="s">
        <v>1515</v>
      </c>
      <c r="D11" s="174"/>
      <c r="E11" s="89"/>
      <c r="F11" s="959">
        <f>'State gasoline'!K11</f>
        <v>0</v>
      </c>
      <c r="G11" s="897">
        <v>11260000000</v>
      </c>
      <c r="H11" s="897">
        <f>G11*Assumptions!$C$56/Assumptions!$C$8</f>
        <v>93412960</v>
      </c>
      <c r="I11" s="1442">
        <v>12.62</v>
      </c>
      <c r="J11" s="156">
        <f t="shared" si="6"/>
        <v>1.5212150433944069</v>
      </c>
      <c r="K11" s="156">
        <f t="shared" si="7"/>
        <v>0</v>
      </c>
      <c r="L11" s="156">
        <f>J11</f>
        <v>1.5212150433944069</v>
      </c>
      <c r="M11" s="156">
        <f t="shared" si="0"/>
        <v>1.5212150433944069</v>
      </c>
      <c r="N11" s="952">
        <f t="shared" si="8"/>
        <v>0</v>
      </c>
      <c r="O11" s="70">
        <f t="shared" si="1"/>
        <v>142101200</v>
      </c>
      <c r="P11" s="70">
        <f t="shared" si="2"/>
        <v>142101200</v>
      </c>
      <c r="Q11" s="70">
        <f t="shared" si="3"/>
        <v>142101200</v>
      </c>
      <c r="R11" s="70">
        <f t="shared" si="4"/>
        <v>0</v>
      </c>
      <c r="S11" s="70">
        <f t="shared" si="9"/>
        <v>0</v>
      </c>
      <c r="T11" s="70">
        <f t="shared" si="10"/>
        <v>0</v>
      </c>
    </row>
    <row r="12" spans="1:20" s="85" customFormat="1" x14ac:dyDescent="0.6">
      <c r="A12" s="60">
        <f t="shared" si="5"/>
        <v>9</v>
      </c>
      <c r="B12" s="85" t="s">
        <v>171</v>
      </c>
      <c r="C12" s="89" t="s">
        <v>1516</v>
      </c>
      <c r="D12" s="174">
        <v>8.7999999999999995E-2</v>
      </c>
      <c r="E12" s="89"/>
      <c r="F12" s="959">
        <f>'State gasoline'!K12</f>
        <v>5.7500000000000002E-2</v>
      </c>
      <c r="G12" s="897">
        <v>13494000000</v>
      </c>
      <c r="H12" s="897">
        <f>G12*Assumptions!$C$56/Assumptions!$C$8</f>
        <v>111946224</v>
      </c>
      <c r="I12" s="1442">
        <v>11.98</v>
      </c>
      <c r="J12" s="156">
        <f t="shared" si="6"/>
        <v>1.4440694310511091</v>
      </c>
      <c r="K12" s="156">
        <f t="shared" si="7"/>
        <v>0.11679973339383976</v>
      </c>
      <c r="L12" s="156">
        <f>J12/(1+D12)</f>
        <v>1.3272696976572693</v>
      </c>
      <c r="M12" s="156">
        <f t="shared" si="0"/>
        <v>1.4035877052725625</v>
      </c>
      <c r="N12" s="952">
        <f t="shared" si="8"/>
        <v>0.11679973339383976</v>
      </c>
      <c r="O12" s="70">
        <f t="shared" si="1"/>
        <v>161658120</v>
      </c>
      <c r="P12" s="70">
        <f t="shared" si="2"/>
        <v>148582830.88235295</v>
      </c>
      <c r="Q12" s="70">
        <f t="shared" si="3"/>
        <v>157126343.65808827</v>
      </c>
      <c r="R12" s="70">
        <f t="shared" si="4"/>
        <v>4531776.3419117332</v>
      </c>
      <c r="S12" s="70">
        <f t="shared" si="9"/>
        <v>4531776.3419117332</v>
      </c>
      <c r="T12" s="70">
        <f t="shared" si="10"/>
        <v>0</v>
      </c>
    </row>
    <row r="13" spans="1:20" s="85" customFormat="1" x14ac:dyDescent="0.6">
      <c r="A13" s="60">
        <f t="shared" si="5"/>
        <v>10</v>
      </c>
      <c r="B13" s="85" t="s">
        <v>144</v>
      </c>
      <c r="C13" s="89" t="s">
        <v>1517</v>
      </c>
      <c r="D13" s="174"/>
      <c r="E13" s="89"/>
      <c r="F13" s="959">
        <f>'State gasoline'!K13</f>
        <v>6.6500000000000004E-2</v>
      </c>
      <c r="G13" s="897">
        <v>15407000000</v>
      </c>
      <c r="H13" s="897">
        <f>G13*Assumptions!$C$56/Assumptions!$C$8</f>
        <v>127816472</v>
      </c>
      <c r="I13" s="1442">
        <v>19.34</v>
      </c>
      <c r="J13" s="156">
        <f t="shared" si="6"/>
        <v>2.3312439729990357</v>
      </c>
      <c r="K13" s="156">
        <f t="shared" si="7"/>
        <v>0</v>
      </c>
      <c r="L13" s="156">
        <f t="shared" ref="L13:L16" si="11">J13/(1+D13)</f>
        <v>2.3312439729990357</v>
      </c>
      <c r="M13" s="156">
        <f t="shared" si="0"/>
        <v>2.4862716972034717</v>
      </c>
      <c r="N13" s="952">
        <f t="shared" si="8"/>
        <v>0</v>
      </c>
      <c r="O13" s="70">
        <f t="shared" si="1"/>
        <v>297971380</v>
      </c>
      <c r="P13" s="70">
        <f t="shared" si="2"/>
        <v>297971380</v>
      </c>
      <c r="Q13" s="70">
        <f t="shared" si="3"/>
        <v>317786476.77000004</v>
      </c>
      <c r="R13" s="70">
        <f t="shared" si="4"/>
        <v>-19815096.770000041</v>
      </c>
      <c r="S13" s="70">
        <f t="shared" si="9"/>
        <v>0</v>
      </c>
      <c r="T13" s="70">
        <f t="shared" si="10"/>
        <v>-19815096.770000041</v>
      </c>
    </row>
    <row r="14" spans="1:20" s="85" customFormat="1" x14ac:dyDescent="0.6">
      <c r="A14" s="60">
        <f t="shared" si="5"/>
        <v>11</v>
      </c>
      <c r="B14" s="85" t="s">
        <v>154</v>
      </c>
      <c r="C14" s="89" t="s">
        <v>1518</v>
      </c>
      <c r="D14" s="174">
        <f>F14</f>
        <v>6.9599999999999995E-2</v>
      </c>
      <c r="E14" s="89"/>
      <c r="F14" s="959">
        <f>'State gasoline'!K14</f>
        <v>6.9599999999999995E-2</v>
      </c>
      <c r="G14" s="897">
        <v>118028000000</v>
      </c>
      <c r="H14" s="897">
        <f>G14*Assumptions!$C$56/Assumptions!$C$8</f>
        <v>979160288</v>
      </c>
      <c r="I14" s="1442">
        <v>14.62</v>
      </c>
      <c r="J14" s="156">
        <f t="shared" si="6"/>
        <v>1.7622950819672132</v>
      </c>
      <c r="K14" s="156">
        <f t="shared" si="7"/>
        <v>0.11467439949973612</v>
      </c>
      <c r="L14" s="156">
        <f t="shared" si="11"/>
        <v>1.6476206824674771</v>
      </c>
      <c r="M14" s="156">
        <f t="shared" si="0"/>
        <v>1.7622950819672132</v>
      </c>
      <c r="N14" s="952">
        <f t="shared" si="8"/>
        <v>0.11467439949973612</v>
      </c>
      <c r="O14" s="70">
        <f t="shared" si="1"/>
        <v>1725569360</v>
      </c>
      <c r="P14" s="70">
        <f t="shared" si="2"/>
        <v>1613284741.9596114</v>
      </c>
      <c r="Q14" s="70">
        <f t="shared" si="3"/>
        <v>1725569360</v>
      </c>
      <c r="R14" s="70">
        <f t="shared" si="4"/>
        <v>0</v>
      </c>
      <c r="S14" s="70">
        <f t="shared" si="9"/>
        <v>0</v>
      </c>
      <c r="T14" s="70">
        <f t="shared" si="10"/>
        <v>0</v>
      </c>
    </row>
    <row r="15" spans="1:20" s="85" customFormat="1" x14ac:dyDescent="0.6">
      <c r="A15" s="60">
        <f t="shared" si="5"/>
        <v>12</v>
      </c>
      <c r="B15" s="85" t="s">
        <v>141</v>
      </c>
      <c r="C15" s="89" t="s">
        <v>1519</v>
      </c>
      <c r="D15" s="1447">
        <v>4.1660000000000003E-2</v>
      </c>
      <c r="E15" s="89"/>
      <c r="F15" s="959">
        <f>'State gasoline'!K15</f>
        <v>4.3499999999999997E-2</v>
      </c>
      <c r="G15" s="897">
        <v>572000000</v>
      </c>
      <c r="H15" s="897">
        <f>G15*Assumptions!$C$56/Assumptions!$C$8</f>
        <v>4745312</v>
      </c>
      <c r="I15" s="1442">
        <v>40.08</v>
      </c>
      <c r="J15" s="156">
        <f t="shared" si="6"/>
        <v>4.8312439729990357</v>
      </c>
      <c r="K15" s="156">
        <f t="shared" si="7"/>
        <v>0.1932200755670177</v>
      </c>
      <c r="L15" s="156">
        <f t="shared" si="11"/>
        <v>4.638023897432018</v>
      </c>
      <c r="M15" s="156">
        <f t="shared" si="0"/>
        <v>4.8397779369703109</v>
      </c>
      <c r="N15" s="952">
        <f t="shared" si="8"/>
        <v>0.1932200755670177</v>
      </c>
      <c r="O15" s="70">
        <f t="shared" si="1"/>
        <v>22925760</v>
      </c>
      <c r="P15" s="70">
        <f t="shared" si="2"/>
        <v>22008870.456770923</v>
      </c>
      <c r="Q15" s="70">
        <f t="shared" si="3"/>
        <v>22966256.321640462</v>
      </c>
      <c r="R15" s="70">
        <f t="shared" si="4"/>
        <v>-40496.321640461683</v>
      </c>
      <c r="S15" s="70">
        <f t="shared" si="9"/>
        <v>0</v>
      </c>
      <c r="T15" s="70">
        <f t="shared" si="10"/>
        <v>-40496.321640461683</v>
      </c>
    </row>
    <row r="16" spans="1:20" s="85" customFormat="1" x14ac:dyDescent="0.6">
      <c r="A16" s="60">
        <f t="shared" si="5"/>
        <v>13</v>
      </c>
      <c r="B16" s="85" t="s">
        <v>152</v>
      </c>
      <c r="C16" s="89" t="s">
        <v>1520</v>
      </c>
      <c r="D16" s="174">
        <v>0.03</v>
      </c>
      <c r="E16" s="89"/>
      <c r="F16" s="959">
        <f>'State gasoline'!K16</f>
        <v>6.0100000000000001E-2</v>
      </c>
      <c r="G16" s="897">
        <v>23482000000</v>
      </c>
      <c r="H16" s="897">
        <f>G16*Assumptions!$C$56/Assumptions!$C$8</f>
        <v>194806672</v>
      </c>
      <c r="I16" s="1442">
        <v>8.59</v>
      </c>
      <c r="J16" s="156">
        <f t="shared" si="6"/>
        <v>1.0354387656702024</v>
      </c>
      <c r="K16" s="156">
        <f t="shared" si="7"/>
        <v>3.0158410650588552E-2</v>
      </c>
      <c r="L16" s="156">
        <f t="shared" si="11"/>
        <v>1.0052803550196139</v>
      </c>
      <c r="M16" s="156">
        <f t="shared" si="0"/>
        <v>1.0656977043562927</v>
      </c>
      <c r="N16" s="952">
        <f t="shared" si="8"/>
        <v>3.0158410650588552E-2</v>
      </c>
      <c r="O16" s="70">
        <f t="shared" si="1"/>
        <v>201710380</v>
      </c>
      <c r="P16" s="70">
        <f t="shared" si="2"/>
        <v>195835320.38834947</v>
      </c>
      <c r="Q16" s="70">
        <f t="shared" si="3"/>
        <v>207605023.1436893</v>
      </c>
      <c r="R16" s="70">
        <f t="shared" si="4"/>
        <v>-5894643.1436893046</v>
      </c>
      <c r="S16" s="70">
        <f t="shared" si="9"/>
        <v>0</v>
      </c>
      <c r="T16" s="70">
        <f t="shared" si="10"/>
        <v>-5894643.1436893046</v>
      </c>
    </row>
    <row r="17" spans="1:20" s="85" customFormat="1" x14ac:dyDescent="0.6">
      <c r="A17" s="60">
        <f t="shared" si="5"/>
        <v>14</v>
      </c>
      <c r="B17" s="85" t="s">
        <v>157</v>
      </c>
      <c r="C17" s="89" t="s">
        <v>1517</v>
      </c>
      <c r="D17" s="174">
        <f>0.0824+0.001</f>
        <v>8.3400000000000002E-2</v>
      </c>
      <c r="E17" s="506">
        <f>0.24/8</f>
        <v>0.03</v>
      </c>
      <c r="F17" s="959">
        <f>'State gasoline'!K17</f>
        <v>8.1900000000000001E-2</v>
      </c>
      <c r="G17" s="897">
        <v>400876000000</v>
      </c>
      <c r="H17" s="897">
        <f>G17*Assumptions!$C$56/Assumptions!$C$8</f>
        <v>3325667296</v>
      </c>
      <c r="I17" s="1442">
        <v>7.97</v>
      </c>
      <c r="J17" s="156">
        <f t="shared" si="6"/>
        <v>0.96070395371263262</v>
      </c>
      <c r="K17" s="156">
        <f t="shared" si="7"/>
        <v>0.10164547696107951</v>
      </c>
      <c r="L17" s="156">
        <f>(J17-E17)/(1+D17)</f>
        <v>0.85905847675155311</v>
      </c>
      <c r="M17" s="156">
        <f t="shared" si="0"/>
        <v>0.9294153659975054</v>
      </c>
      <c r="N17" s="952">
        <f t="shared" si="8"/>
        <v>0.10164547696107951</v>
      </c>
      <c r="O17" s="70">
        <f t="shared" si="1"/>
        <v>3194981720</v>
      </c>
      <c r="P17" s="70">
        <f t="shared" si="2"/>
        <v>2856942681.4842167</v>
      </c>
      <c r="Q17" s="70">
        <f t="shared" si="3"/>
        <v>3090926287.097774</v>
      </c>
      <c r="R17" s="70">
        <f t="shared" si="4"/>
        <v>104055432.90222597</v>
      </c>
      <c r="S17" s="70">
        <f t="shared" si="9"/>
        <v>104055432.90222597</v>
      </c>
      <c r="T17" s="70">
        <f t="shared" si="10"/>
        <v>0</v>
      </c>
    </row>
    <row r="18" spans="1:20" s="85" customFormat="1" x14ac:dyDescent="0.6">
      <c r="A18" s="60">
        <f t="shared" si="5"/>
        <v>15</v>
      </c>
      <c r="B18" s="85" t="s">
        <v>160</v>
      </c>
      <c r="C18" s="89" t="s">
        <v>1521</v>
      </c>
      <c r="D18" s="174">
        <f>1.4%+0.07</f>
        <v>8.4000000000000005E-2</v>
      </c>
      <c r="E18" s="89"/>
      <c r="F18" s="959">
        <f>'State gasoline'!K18</f>
        <v>7.0000000000000007E-2</v>
      </c>
      <c r="G18" s="897">
        <v>133045000000</v>
      </c>
      <c r="H18" s="897">
        <f>G18*Assumptions!$C$56/Assumptions!$C$8</f>
        <v>1103741320</v>
      </c>
      <c r="I18" s="1442">
        <v>8.92</v>
      </c>
      <c r="J18" s="156">
        <f t="shared" si="6"/>
        <v>1.0752169720347156</v>
      </c>
      <c r="K18" s="156">
        <f t="shared" si="7"/>
        <v>8.331939635693375E-2</v>
      </c>
      <c r="L18" s="156">
        <f>J18/(1+D18)</f>
        <v>0.99189757567778181</v>
      </c>
      <c r="M18" s="156">
        <f t="shared" si="0"/>
        <v>1.0613304059752267</v>
      </c>
      <c r="N18" s="952">
        <f t="shared" si="8"/>
        <v>8.331939635693375E-2</v>
      </c>
      <c r="O18" s="70">
        <f t="shared" si="1"/>
        <v>1186761400</v>
      </c>
      <c r="P18" s="70">
        <f t="shared" si="2"/>
        <v>1094798339.4833949</v>
      </c>
      <c r="Q18" s="70">
        <f t="shared" si="3"/>
        <v>1171434223.2472324</v>
      </c>
      <c r="R18" s="70">
        <f t="shared" si="4"/>
        <v>15327176.752767563</v>
      </c>
      <c r="S18" s="70">
        <f t="shared" si="9"/>
        <v>15327176.752767563</v>
      </c>
      <c r="T18" s="70">
        <f t="shared" si="10"/>
        <v>0</v>
      </c>
    </row>
    <row r="19" spans="1:20" s="85" customFormat="1" x14ac:dyDescent="0.6">
      <c r="A19" s="60">
        <f t="shared" si="5"/>
        <v>16</v>
      </c>
      <c r="B19" s="85" t="s">
        <v>151</v>
      </c>
      <c r="C19" s="89" t="s">
        <v>1523</v>
      </c>
      <c r="D19" s="174">
        <f>5%+F19</f>
        <v>0.1178</v>
      </c>
      <c r="E19" s="89"/>
      <c r="F19" s="959">
        <f>'State gasoline'!K19</f>
        <v>6.7799999999999999E-2</v>
      </c>
      <c r="G19" s="897">
        <v>62735000000</v>
      </c>
      <c r="H19" s="897">
        <f>G19*Assumptions!$C$56/Assumptions!$C$8</f>
        <v>520449560</v>
      </c>
      <c r="I19" s="1442">
        <v>8.51</v>
      </c>
      <c r="J19" s="156">
        <f t="shared" si="6"/>
        <v>1.0257955641272902</v>
      </c>
      <c r="K19" s="156">
        <f t="shared" si="7"/>
        <v>0.1081040592719581</v>
      </c>
      <c r="L19" s="156">
        <f>J19/(1+D19)</f>
        <v>0.91769150485533213</v>
      </c>
      <c r="M19" s="156">
        <f t="shared" si="0"/>
        <v>0.97991098888452377</v>
      </c>
      <c r="N19" s="952">
        <f t="shared" si="8"/>
        <v>0.1081040592719581</v>
      </c>
      <c r="O19" s="70">
        <f t="shared" si="1"/>
        <v>533874850</v>
      </c>
      <c r="P19" s="70">
        <f t="shared" si="2"/>
        <v>477612139.91769546</v>
      </c>
      <c r="Q19" s="70">
        <f t="shared" si="3"/>
        <v>509994243.00411528</v>
      </c>
      <c r="R19" s="70">
        <f t="shared" si="4"/>
        <v>23880606.995884717</v>
      </c>
      <c r="S19" s="70">
        <f t="shared" si="9"/>
        <v>23880606.995884717</v>
      </c>
      <c r="T19" s="70">
        <f t="shared" si="10"/>
        <v>0</v>
      </c>
    </row>
    <row r="20" spans="1:20" s="85" customFormat="1" x14ac:dyDescent="0.6">
      <c r="A20" s="60">
        <f t="shared" si="5"/>
        <v>17</v>
      </c>
      <c r="B20" s="85" t="s">
        <v>168</v>
      </c>
      <c r="C20" s="89" t="s">
        <v>1524</v>
      </c>
      <c r="D20" s="174">
        <v>7.0000000000000007E-2</v>
      </c>
      <c r="E20" s="89"/>
      <c r="F20" s="959">
        <f>'State gasoline'!K20</f>
        <v>8.2000000000000003E-2</v>
      </c>
      <c r="G20" s="897">
        <v>58384000000</v>
      </c>
      <c r="H20" s="897">
        <f>G20*Assumptions!$C$56/Assumptions!$C$8</f>
        <v>484353664</v>
      </c>
      <c r="I20" s="1442">
        <v>10.17</v>
      </c>
      <c r="J20" s="156">
        <f t="shared" si="6"/>
        <v>1.2258919961427195</v>
      </c>
      <c r="K20" s="156">
        <f t="shared" si="7"/>
        <v>8.0198541803729428E-2</v>
      </c>
      <c r="L20" s="156">
        <f>J20/(1+D20)</f>
        <v>1.1456934543389901</v>
      </c>
      <c r="M20" s="156">
        <f t="shared" si="0"/>
        <v>1.2396403175947874</v>
      </c>
      <c r="N20" s="952">
        <f t="shared" si="8"/>
        <v>8.0198541803729428E-2</v>
      </c>
      <c r="O20" s="70">
        <f t="shared" si="1"/>
        <v>593765280</v>
      </c>
      <c r="P20" s="70">
        <f t="shared" si="2"/>
        <v>554920822.42990649</v>
      </c>
      <c r="Q20" s="70">
        <f t="shared" si="3"/>
        <v>600424329.86915898</v>
      </c>
      <c r="R20" s="70">
        <f t="shared" si="4"/>
        <v>-6659049.8691589832</v>
      </c>
      <c r="S20" s="70">
        <f t="shared" si="9"/>
        <v>0</v>
      </c>
      <c r="T20" s="70">
        <f t="shared" si="10"/>
        <v>-6659049.8691589832</v>
      </c>
    </row>
    <row r="21" spans="1:20" s="85" customFormat="1" x14ac:dyDescent="0.6">
      <c r="A21" s="60">
        <f t="shared" si="5"/>
        <v>18</v>
      </c>
      <c r="B21" s="85" t="s">
        <v>167</v>
      </c>
      <c r="C21" s="89" t="s">
        <v>1525</v>
      </c>
      <c r="D21" s="174"/>
      <c r="E21" s="89"/>
      <c r="F21" s="959">
        <f>'State gasoline'!K21</f>
        <v>0.06</v>
      </c>
      <c r="G21" s="897">
        <v>49426000000</v>
      </c>
      <c r="H21" s="897">
        <f>G21*Assumptions!$C$56/Assumptions!$C$8</f>
        <v>410038096</v>
      </c>
      <c r="I21" s="1442">
        <v>10.87</v>
      </c>
      <c r="J21" s="156">
        <f t="shared" si="6"/>
        <v>1.3102700096432016</v>
      </c>
      <c r="K21" s="156">
        <f t="shared" si="7"/>
        <v>0</v>
      </c>
      <c r="L21" s="156">
        <f>J21</f>
        <v>1.3102700096432016</v>
      </c>
      <c r="M21" s="156">
        <f t="shared" si="0"/>
        <v>1.3888862102217938</v>
      </c>
      <c r="N21" s="952">
        <f t="shared" si="8"/>
        <v>0</v>
      </c>
      <c r="O21" s="70">
        <f t="shared" si="1"/>
        <v>537260620</v>
      </c>
      <c r="P21" s="70">
        <f t="shared" si="2"/>
        <v>537260620</v>
      </c>
      <c r="Q21" s="70">
        <f t="shared" si="3"/>
        <v>569496257.20000005</v>
      </c>
      <c r="R21" s="70">
        <f t="shared" si="4"/>
        <v>-32235637.200000048</v>
      </c>
      <c r="S21" s="70">
        <f t="shared" si="9"/>
        <v>0</v>
      </c>
      <c r="T21" s="70">
        <f t="shared" si="10"/>
        <v>-32235637.200000048</v>
      </c>
    </row>
    <row r="22" spans="1:20" s="85" customFormat="1" x14ac:dyDescent="0.6">
      <c r="A22" s="60">
        <f t="shared" si="5"/>
        <v>19</v>
      </c>
      <c r="B22" s="85" t="s">
        <v>179</v>
      </c>
      <c r="C22" s="89" t="s">
        <v>1526</v>
      </c>
      <c r="D22" s="174">
        <v>0.02</v>
      </c>
      <c r="E22" s="89"/>
      <c r="F22" s="959">
        <f>'State gasoline'!K22</f>
        <v>8.9099999999999999E-2</v>
      </c>
      <c r="G22" s="897">
        <v>36858000000</v>
      </c>
      <c r="H22" s="897">
        <f>G22*Assumptions!$C$56/Assumptions!$C$8</f>
        <v>305773968</v>
      </c>
      <c r="I22" s="1442">
        <v>10.77</v>
      </c>
      <c r="J22" s="156">
        <f t="shared" si="6"/>
        <v>1.2982160077145612</v>
      </c>
      <c r="K22" s="156">
        <f t="shared" si="7"/>
        <v>2.5455215837540512E-2</v>
      </c>
      <c r="L22" s="156">
        <f>J22/(1+D22)</f>
        <v>1.2727607918770207</v>
      </c>
      <c r="M22" s="156">
        <f t="shared" si="0"/>
        <v>1.3861637784332632</v>
      </c>
      <c r="N22" s="952">
        <f t="shared" si="8"/>
        <v>2.5455215837540512E-2</v>
      </c>
      <c r="O22" s="70">
        <f t="shared" si="1"/>
        <v>396960660</v>
      </c>
      <c r="P22" s="70">
        <f t="shared" si="2"/>
        <v>389177117.64705878</v>
      </c>
      <c r="Q22" s="70">
        <f t="shared" si="3"/>
        <v>423852798.82941175</v>
      </c>
      <c r="R22" s="70">
        <f t="shared" si="4"/>
        <v>-26892138.829411745</v>
      </c>
      <c r="S22" s="70">
        <f t="shared" si="9"/>
        <v>0</v>
      </c>
      <c r="T22" s="70">
        <f t="shared" si="10"/>
        <v>-26892138.829411745</v>
      </c>
    </row>
    <row r="23" spans="1:20" s="85" customFormat="1" x14ac:dyDescent="0.6">
      <c r="A23" s="60">
        <f t="shared" si="5"/>
        <v>20</v>
      </c>
      <c r="B23" s="85" t="s">
        <v>158</v>
      </c>
      <c r="C23" s="89" t="s">
        <v>1527</v>
      </c>
      <c r="D23" s="174">
        <f>F23</f>
        <v>5.5E-2</v>
      </c>
      <c r="E23" s="89"/>
      <c r="F23" s="959">
        <f>'State gasoline'!K23</f>
        <v>5.5E-2</v>
      </c>
      <c r="G23" s="897">
        <v>2700000000</v>
      </c>
      <c r="H23" s="897">
        <f>G23*Assumptions!$C$56/Assumptions!$C$8</f>
        <v>22399200</v>
      </c>
      <c r="I23" s="1442">
        <v>16.79</v>
      </c>
      <c r="J23" s="156">
        <f t="shared" si="6"/>
        <v>2.0238669238187077</v>
      </c>
      <c r="K23" s="156">
        <f t="shared" si="7"/>
        <v>0.10550965005689927</v>
      </c>
      <c r="L23" s="156">
        <f>J23/(1+D23)</f>
        <v>1.9183572737618084</v>
      </c>
      <c r="M23" s="156">
        <f t="shared" si="0"/>
        <v>2.0238669238187077</v>
      </c>
      <c r="N23" s="952">
        <f t="shared" si="8"/>
        <v>0.10550965005689927</v>
      </c>
      <c r="O23" s="70">
        <f t="shared" si="1"/>
        <v>45333000</v>
      </c>
      <c r="P23" s="70">
        <f t="shared" si="2"/>
        <v>42969668.246445499</v>
      </c>
      <c r="Q23" s="70">
        <f t="shared" si="3"/>
        <v>45333000</v>
      </c>
      <c r="R23" s="70">
        <f t="shared" si="4"/>
        <v>0</v>
      </c>
      <c r="S23" s="70">
        <f t="shared" si="9"/>
        <v>0</v>
      </c>
      <c r="T23" s="70">
        <f t="shared" si="10"/>
        <v>0</v>
      </c>
    </row>
    <row r="24" spans="1:20" s="85" customFormat="1" x14ac:dyDescent="0.6">
      <c r="A24" s="60">
        <f t="shared" si="5"/>
        <v>21</v>
      </c>
      <c r="B24" s="85" t="s">
        <v>150</v>
      </c>
      <c r="C24" s="89" t="s">
        <v>1528</v>
      </c>
      <c r="D24" s="174">
        <f>F24</f>
        <v>0.06</v>
      </c>
      <c r="E24" s="89">
        <f>0.0402/8</f>
        <v>5.025E-3</v>
      </c>
      <c r="F24" s="959">
        <f>'State gasoline'!K24</f>
        <v>0.06</v>
      </c>
      <c r="G24" s="897">
        <v>82858000000</v>
      </c>
      <c r="H24" s="897">
        <f>G24*Assumptions!$C$56/Assumptions!$C$8</f>
        <v>687389968</v>
      </c>
      <c r="I24" s="1442">
        <v>12.03</v>
      </c>
      <c r="J24" s="156">
        <f t="shared" si="6"/>
        <v>1.450096432015429</v>
      </c>
      <c r="K24" s="156">
        <f t="shared" si="7"/>
        <v>8.6821496151816779E-2</v>
      </c>
      <c r="L24" s="156">
        <f>(J24-E24)/(1+D24)</f>
        <v>1.3632749358636123</v>
      </c>
      <c r="M24" s="156">
        <f t="shared" si="0"/>
        <v>1.445071432015429</v>
      </c>
      <c r="N24" s="952">
        <f t="shared" si="8"/>
        <v>8.6821496151816779E-2</v>
      </c>
      <c r="O24" s="70">
        <f t="shared" si="1"/>
        <v>996781740</v>
      </c>
      <c r="P24" s="70">
        <f t="shared" si="2"/>
        <v>937101514.53849053</v>
      </c>
      <c r="Q24" s="70">
        <f t="shared" si="3"/>
        <v>993327605.41079986</v>
      </c>
      <c r="R24" s="70">
        <f t="shared" si="4"/>
        <v>3454134.589200139</v>
      </c>
      <c r="S24" s="70">
        <f t="shared" si="9"/>
        <v>3454134.589200139</v>
      </c>
      <c r="T24" s="70">
        <f t="shared" si="10"/>
        <v>0</v>
      </c>
    </row>
    <row r="25" spans="1:20" s="85" customFormat="1" x14ac:dyDescent="0.6">
      <c r="A25" s="60">
        <f t="shared" si="5"/>
        <v>22</v>
      </c>
      <c r="B25" s="85" t="s">
        <v>166</v>
      </c>
      <c r="C25" s="89" t="s">
        <v>1531</v>
      </c>
      <c r="D25" s="174"/>
      <c r="E25" s="89"/>
      <c r="F25" s="959">
        <f>'State gasoline'!K25</f>
        <v>6.25E-2</v>
      </c>
      <c r="G25" s="897">
        <v>126662000000</v>
      </c>
      <c r="H25" s="897">
        <f>G25*Assumptions!$C$56/Assumptions!$C$8</f>
        <v>1050787952</v>
      </c>
      <c r="I25" s="1442">
        <v>13.02</v>
      </c>
      <c r="J25" s="156">
        <f t="shared" si="6"/>
        <v>1.5694310511089682</v>
      </c>
      <c r="K25" s="156">
        <f t="shared" si="7"/>
        <v>0</v>
      </c>
      <c r="L25" s="156">
        <f>J25</f>
        <v>1.5694310511089682</v>
      </c>
      <c r="M25" s="156">
        <f t="shared" si="0"/>
        <v>1.6675204918032787</v>
      </c>
      <c r="N25" s="952">
        <f t="shared" si="8"/>
        <v>0</v>
      </c>
      <c r="O25" s="70">
        <f t="shared" si="1"/>
        <v>1649139240</v>
      </c>
      <c r="P25" s="70">
        <f t="shared" si="2"/>
        <v>1649139240</v>
      </c>
      <c r="Q25" s="70">
        <f t="shared" si="3"/>
        <v>1752210442.5</v>
      </c>
      <c r="R25" s="70">
        <f t="shared" si="4"/>
        <v>-103071202.5</v>
      </c>
      <c r="S25" s="70">
        <f t="shared" si="9"/>
        <v>0</v>
      </c>
      <c r="T25" s="70">
        <f t="shared" si="10"/>
        <v>-103071202.5</v>
      </c>
    </row>
    <row r="26" spans="1:20" s="85" customFormat="1" x14ac:dyDescent="0.6">
      <c r="A26" s="60">
        <f t="shared" si="5"/>
        <v>23</v>
      </c>
      <c r="B26" s="85" t="s">
        <v>155</v>
      </c>
      <c r="C26" s="89" t="s">
        <v>1532</v>
      </c>
      <c r="D26" s="174">
        <v>0.04</v>
      </c>
      <c r="E26" s="89"/>
      <c r="F26" s="959">
        <f>'State gasoline'!K26</f>
        <v>0.06</v>
      </c>
      <c r="G26" s="897">
        <v>312098000000</v>
      </c>
      <c r="H26" s="897">
        <f>G26*Assumptions!$C$56/Assumptions!$C$8</f>
        <v>2589165008</v>
      </c>
      <c r="I26" s="1442">
        <v>8.81</v>
      </c>
      <c r="J26" s="156">
        <f t="shared" si="6"/>
        <v>1.0619575699132111</v>
      </c>
      <c r="K26" s="156">
        <f t="shared" si="7"/>
        <v>4.0844521919738863E-2</v>
      </c>
      <c r="L26" s="156">
        <f>J26/(1+D26)</f>
        <v>1.0211130479934722</v>
      </c>
      <c r="M26" s="156">
        <f t="shared" si="0"/>
        <v>1.0823798308730805</v>
      </c>
      <c r="N26" s="952">
        <f t="shared" si="8"/>
        <v>4.0844521919738863E-2</v>
      </c>
      <c r="O26" s="70">
        <f t="shared" si="1"/>
        <v>2749583380</v>
      </c>
      <c r="P26" s="70">
        <f t="shared" si="2"/>
        <v>2643830173.0769229</v>
      </c>
      <c r="Q26" s="70">
        <f t="shared" si="3"/>
        <v>2802459983.4615383</v>
      </c>
      <c r="R26" s="70">
        <f t="shared" si="4"/>
        <v>-52876603.461538315</v>
      </c>
      <c r="S26" s="70">
        <f t="shared" si="9"/>
        <v>0</v>
      </c>
      <c r="T26" s="70">
        <f t="shared" si="10"/>
        <v>-52876603.461538315</v>
      </c>
    </row>
    <row r="27" spans="1:20" s="85" customFormat="1" x14ac:dyDescent="0.6">
      <c r="A27" s="60">
        <f t="shared" si="5"/>
        <v>24</v>
      </c>
      <c r="B27" s="85" t="s">
        <v>162</v>
      </c>
      <c r="C27" s="89" t="s">
        <v>1512</v>
      </c>
      <c r="D27" s="174">
        <f>0.045+(0.15*F27)</f>
        <v>5.5799999999999995E-2</v>
      </c>
      <c r="E27" s="89"/>
      <c r="F27" s="959">
        <f>'State gasoline'!K27</f>
        <v>7.1999999999999995E-2</v>
      </c>
      <c r="G27" s="897">
        <v>117588000000</v>
      </c>
      <c r="H27" s="897">
        <f>G27*Assumptions!$C$56/Assumptions!$C$8</f>
        <v>975510048</v>
      </c>
      <c r="I27" s="1442">
        <v>8.7899999999999991</v>
      </c>
      <c r="J27" s="156">
        <f t="shared" si="6"/>
        <v>1.0595467695274829</v>
      </c>
      <c r="K27" s="156">
        <f t="shared" si="7"/>
        <v>5.5998020211814437E-2</v>
      </c>
      <c r="L27" s="156">
        <f>J27/(1+D27)</f>
        <v>1.0035487493156685</v>
      </c>
      <c r="M27" s="156">
        <f t="shared" si="0"/>
        <v>1.0758042592663968</v>
      </c>
      <c r="N27" s="952">
        <f t="shared" si="8"/>
        <v>5.5998020211814437E-2</v>
      </c>
      <c r="O27" s="70">
        <f t="shared" si="1"/>
        <v>1033598519.9999999</v>
      </c>
      <c r="P27" s="70">
        <f t="shared" si="2"/>
        <v>978971888.61526775</v>
      </c>
      <c r="Q27" s="70">
        <f t="shared" si="3"/>
        <v>1049457864.5955671</v>
      </c>
      <c r="R27" s="70">
        <f t="shared" si="4"/>
        <v>-15859344.595567226</v>
      </c>
      <c r="S27" s="70">
        <f t="shared" si="9"/>
        <v>0</v>
      </c>
      <c r="T27" s="70">
        <f t="shared" si="10"/>
        <v>-15859344.595567226</v>
      </c>
    </row>
    <row r="28" spans="1:20" s="85" customFormat="1" x14ac:dyDescent="0.6">
      <c r="A28" s="60">
        <f t="shared" si="5"/>
        <v>25</v>
      </c>
      <c r="B28" s="85" t="s">
        <v>183</v>
      </c>
      <c r="C28" s="89" t="s">
        <v>1533</v>
      </c>
      <c r="D28" s="174"/>
      <c r="E28" s="89"/>
      <c r="F28" s="959">
        <f>'State gasoline'!K28</f>
        <v>7.0699999999999999E-2</v>
      </c>
      <c r="G28" s="897">
        <v>23248000000</v>
      </c>
      <c r="H28" s="897">
        <f>G28*Assumptions!$C$56/Assumptions!$C$8</f>
        <v>192865408</v>
      </c>
      <c r="I28" s="1442">
        <v>9.6999999999999993</v>
      </c>
      <c r="J28" s="156">
        <f t="shared" si="6"/>
        <v>1.1692381870781097</v>
      </c>
      <c r="K28" s="156">
        <f t="shared" si="7"/>
        <v>0</v>
      </c>
      <c r="L28" s="156">
        <f>J28</f>
        <v>1.1692381870781097</v>
      </c>
      <c r="M28" s="156">
        <f t="shared" si="0"/>
        <v>1.2519033269045321</v>
      </c>
      <c r="N28" s="952">
        <f t="shared" si="8"/>
        <v>0</v>
      </c>
      <c r="O28" s="70">
        <f t="shared" si="1"/>
        <v>225505599.99999994</v>
      </c>
      <c r="P28" s="70">
        <f t="shared" si="2"/>
        <v>225505599.99999994</v>
      </c>
      <c r="Q28" s="70">
        <f t="shared" si="3"/>
        <v>241448845.91999996</v>
      </c>
      <c r="R28" s="70">
        <f t="shared" si="4"/>
        <v>-15943245.920000017</v>
      </c>
      <c r="S28" s="70">
        <f t="shared" si="9"/>
        <v>0</v>
      </c>
      <c r="T28" s="70">
        <f t="shared" si="10"/>
        <v>-15943245.920000017</v>
      </c>
    </row>
    <row r="29" spans="1:20" s="85" customFormat="1" x14ac:dyDescent="0.6">
      <c r="A29" s="60">
        <f t="shared" si="5"/>
        <v>26</v>
      </c>
      <c r="B29" s="85" t="s">
        <v>184</v>
      </c>
      <c r="C29" s="89" t="s">
        <v>1534</v>
      </c>
      <c r="D29" s="174">
        <v>0.06</v>
      </c>
      <c r="E29" s="89"/>
      <c r="F29" s="959">
        <f>'State gasoline'!K29</f>
        <v>7.8100000000000003E-2</v>
      </c>
      <c r="G29" s="897">
        <v>95503000000</v>
      </c>
      <c r="H29" s="897">
        <f>G29*Assumptions!$C$56/Assumptions!$C$8</f>
        <v>792292888</v>
      </c>
      <c r="I29" s="1442">
        <v>11.6</v>
      </c>
      <c r="J29" s="156">
        <f t="shared" si="6"/>
        <v>1.3982642237222758</v>
      </c>
      <c r="K29" s="156">
        <f t="shared" si="7"/>
        <v>7.914703153144953E-2</v>
      </c>
      <c r="L29" s="156">
        <f>J29/(1+D29)</f>
        <v>1.3191171921908262</v>
      </c>
      <c r="M29" s="156">
        <f t="shared" si="0"/>
        <v>1.4221402449009299</v>
      </c>
      <c r="N29" s="952">
        <f t="shared" si="8"/>
        <v>7.914703153144953E-2</v>
      </c>
      <c r="O29" s="70">
        <f t="shared" si="1"/>
        <v>1107834800</v>
      </c>
      <c r="P29" s="70">
        <f t="shared" si="2"/>
        <v>1045127169.8113208</v>
      </c>
      <c r="Q29" s="70">
        <f t="shared" si="3"/>
        <v>1126751601.7735851</v>
      </c>
      <c r="R29" s="70">
        <f t="shared" si="4"/>
        <v>-18916801.773585081</v>
      </c>
      <c r="S29" s="70">
        <f t="shared" si="9"/>
        <v>0</v>
      </c>
      <c r="T29" s="70">
        <f t="shared" si="10"/>
        <v>-18916801.773585081</v>
      </c>
    </row>
    <row r="30" spans="1:20" s="85" customFormat="1" x14ac:dyDescent="0.6">
      <c r="A30" s="60">
        <f t="shared" si="5"/>
        <v>27</v>
      </c>
      <c r="B30" s="85" t="s">
        <v>164</v>
      </c>
      <c r="C30" s="89" t="s">
        <v>1535</v>
      </c>
      <c r="D30" s="174"/>
      <c r="E30" s="89"/>
      <c r="F30" s="959">
        <f>'State gasoline'!K30</f>
        <v>0</v>
      </c>
      <c r="G30" s="897">
        <v>18912000000</v>
      </c>
      <c r="H30" s="897">
        <f>G30*Assumptions!$C$56/Assumptions!$C$8</f>
        <v>156893952</v>
      </c>
      <c r="I30" s="1442">
        <v>8.2100000000000009</v>
      </c>
      <c r="J30" s="156">
        <f t="shared" si="6"/>
        <v>0.98963355834136935</v>
      </c>
      <c r="K30" s="156">
        <f t="shared" si="7"/>
        <v>0</v>
      </c>
      <c r="L30" s="156">
        <f>J30</f>
        <v>0.98963355834136935</v>
      </c>
      <c r="M30" s="156">
        <f t="shared" si="0"/>
        <v>0.98963355834136935</v>
      </c>
      <c r="N30" s="952">
        <f t="shared" si="8"/>
        <v>0</v>
      </c>
      <c r="O30" s="70">
        <f t="shared" si="1"/>
        <v>155267520</v>
      </c>
      <c r="P30" s="70">
        <f t="shared" si="2"/>
        <v>155267520</v>
      </c>
      <c r="Q30" s="70">
        <f t="shared" si="3"/>
        <v>155267520</v>
      </c>
      <c r="R30" s="70">
        <f t="shared" si="4"/>
        <v>0</v>
      </c>
      <c r="S30" s="70">
        <f t="shared" si="9"/>
        <v>0</v>
      </c>
      <c r="T30" s="70">
        <f t="shared" si="10"/>
        <v>0</v>
      </c>
    </row>
    <row r="31" spans="1:20" s="85" customFormat="1" x14ac:dyDescent="0.6">
      <c r="A31" s="60">
        <f t="shared" si="5"/>
        <v>28</v>
      </c>
      <c r="B31" s="85" t="s">
        <v>165</v>
      </c>
      <c r="C31" s="89" t="s">
        <v>1536</v>
      </c>
      <c r="D31" s="174">
        <f>F31</f>
        <v>6.8000000000000005E-2</v>
      </c>
      <c r="E31" s="89"/>
      <c r="F31" s="959">
        <f>'State gasoline'!K31</f>
        <v>6.8000000000000005E-2</v>
      </c>
      <c r="G31" s="897">
        <v>34663000000</v>
      </c>
      <c r="H31" s="897">
        <f>G31*Assumptions!$C$56/Assumptions!$C$8</f>
        <v>287564248</v>
      </c>
      <c r="I31" s="1442">
        <v>8.86</v>
      </c>
      <c r="J31" s="156">
        <f t="shared" si="6"/>
        <v>1.0679845708775313</v>
      </c>
      <c r="K31" s="156">
        <f t="shared" si="7"/>
        <v>6.7999017621415914E-2</v>
      </c>
      <c r="L31" s="156">
        <f t="shared" ref="L31:L54" si="12">J31/(1+D31)</f>
        <v>0.99998555325611538</v>
      </c>
      <c r="M31" s="156">
        <f t="shared" si="0"/>
        <v>1.0679845708775313</v>
      </c>
      <c r="N31" s="952">
        <f t="shared" si="8"/>
        <v>6.7999017621415914E-2</v>
      </c>
      <c r="O31" s="70">
        <f t="shared" si="1"/>
        <v>307114180</v>
      </c>
      <c r="P31" s="70">
        <f t="shared" si="2"/>
        <v>287560093.63295877</v>
      </c>
      <c r="Q31" s="70">
        <f t="shared" si="3"/>
        <v>307114180</v>
      </c>
      <c r="R31" s="70">
        <f t="shared" si="4"/>
        <v>0</v>
      </c>
      <c r="S31" s="70">
        <f t="shared" si="9"/>
        <v>0</v>
      </c>
      <c r="T31" s="70">
        <f t="shared" si="10"/>
        <v>0</v>
      </c>
    </row>
    <row r="32" spans="1:20" s="85" customFormat="1" x14ac:dyDescent="0.6">
      <c r="A32" s="60">
        <f t="shared" si="5"/>
        <v>29</v>
      </c>
      <c r="B32" s="85" t="s">
        <v>147</v>
      </c>
      <c r="C32" s="89" t="s">
        <v>1537</v>
      </c>
      <c r="D32" s="1447">
        <v>5.1360000000000003E-2</v>
      </c>
      <c r="E32" s="89"/>
      <c r="F32" s="959">
        <f>'State gasoline'!K32</f>
        <v>7.9399999999999998E-2</v>
      </c>
      <c r="G32" s="897">
        <v>37029000000</v>
      </c>
      <c r="H32" s="897">
        <f>G32*Assumptions!$C$56/Assumptions!$C$8</f>
        <v>307192584</v>
      </c>
      <c r="I32" s="1442">
        <v>11.82</v>
      </c>
      <c r="J32" s="156">
        <f t="shared" si="6"/>
        <v>1.4247830279652844</v>
      </c>
      <c r="K32" s="156">
        <f t="shared" si="7"/>
        <v>6.9602092828619178E-2</v>
      </c>
      <c r="L32" s="156">
        <f t="shared" si="12"/>
        <v>1.3551809351366653</v>
      </c>
      <c r="M32" s="156">
        <f t="shared" si="0"/>
        <v>1.4627823013865164</v>
      </c>
      <c r="N32" s="952">
        <f t="shared" si="8"/>
        <v>6.9602092828619178E-2</v>
      </c>
      <c r="O32" s="70">
        <f t="shared" si="1"/>
        <v>437682780</v>
      </c>
      <c r="P32" s="70">
        <f t="shared" si="2"/>
        <v>416301533.2521686</v>
      </c>
      <c r="Q32" s="70">
        <f t="shared" si="3"/>
        <v>449355874.99239075</v>
      </c>
      <c r="R32" s="70">
        <f t="shared" si="4"/>
        <v>-11673094.992390752</v>
      </c>
      <c r="S32" s="70">
        <f t="shared" si="9"/>
        <v>0</v>
      </c>
      <c r="T32" s="70">
        <f t="shared" si="10"/>
        <v>-11673094.992390752</v>
      </c>
    </row>
    <row r="33" spans="1:20" s="85" customFormat="1" x14ac:dyDescent="0.6">
      <c r="A33" s="60">
        <f t="shared" si="5"/>
        <v>30</v>
      </c>
      <c r="B33" s="85" t="s">
        <v>170</v>
      </c>
      <c r="C33" s="89" t="s">
        <v>1538</v>
      </c>
      <c r="D33" s="174"/>
      <c r="E33" s="89"/>
      <c r="F33" s="959">
        <f>'State gasoline'!K33</f>
        <v>0</v>
      </c>
      <c r="G33" s="897">
        <v>7842000000</v>
      </c>
      <c r="H33" s="897">
        <f>G33*Assumptions!$C$56/Assumptions!$C$8</f>
        <v>65057232</v>
      </c>
      <c r="I33" s="1442">
        <v>16.18</v>
      </c>
      <c r="J33" s="156">
        <f t="shared" si="6"/>
        <v>1.9503375120540019</v>
      </c>
      <c r="K33" s="156">
        <f t="shared" si="7"/>
        <v>0</v>
      </c>
      <c r="L33" s="156">
        <f t="shared" si="12"/>
        <v>1.9503375120540019</v>
      </c>
      <c r="M33" s="156">
        <f t="shared" si="0"/>
        <v>1.9503375120540019</v>
      </c>
      <c r="N33" s="952">
        <f t="shared" si="8"/>
        <v>0</v>
      </c>
      <c r="O33" s="70">
        <f t="shared" si="1"/>
        <v>126883560</v>
      </c>
      <c r="P33" s="70">
        <f t="shared" si="2"/>
        <v>126883560</v>
      </c>
      <c r="Q33" s="70">
        <f t="shared" si="3"/>
        <v>126883560</v>
      </c>
      <c r="R33" s="70">
        <f t="shared" si="4"/>
        <v>0</v>
      </c>
      <c r="S33" s="70">
        <f t="shared" si="9"/>
        <v>0</v>
      </c>
      <c r="T33" s="70">
        <f t="shared" si="10"/>
        <v>0</v>
      </c>
    </row>
    <row r="34" spans="1:20" s="85" customFormat="1" x14ac:dyDescent="0.6">
      <c r="A34" s="60">
        <f t="shared" si="5"/>
        <v>31</v>
      </c>
      <c r="B34" s="85" t="s">
        <v>187</v>
      </c>
      <c r="C34" s="89" t="s">
        <v>1539</v>
      </c>
      <c r="D34" s="174">
        <f>F34</f>
        <v>6.9699999999999998E-2</v>
      </c>
      <c r="E34" s="89"/>
      <c r="F34" s="959">
        <f>'State gasoline'!K34</f>
        <v>6.9699999999999998E-2</v>
      </c>
      <c r="G34" s="897">
        <v>237104000000</v>
      </c>
      <c r="H34" s="897">
        <f>G34*Assumptions!$C$56/Assumptions!$C$8</f>
        <v>1967014784</v>
      </c>
      <c r="I34" s="1442">
        <v>8.32</v>
      </c>
      <c r="J34" s="156">
        <f t="shared" si="6"/>
        <v>1.0028929604628738</v>
      </c>
      <c r="K34" s="156">
        <f t="shared" si="7"/>
        <v>6.5346956477762341E-2</v>
      </c>
      <c r="L34" s="156">
        <f t="shared" si="12"/>
        <v>0.93754600398511145</v>
      </c>
      <c r="M34" s="156">
        <f t="shared" si="0"/>
        <v>1.0028929604628738</v>
      </c>
      <c r="N34" s="952">
        <f t="shared" si="8"/>
        <v>6.5346956477762341E-2</v>
      </c>
      <c r="O34" s="70">
        <f t="shared" si="1"/>
        <v>1972705280.0000002</v>
      </c>
      <c r="P34" s="70">
        <f t="shared" si="2"/>
        <v>1844166850.5188372</v>
      </c>
      <c r="Q34" s="70">
        <f t="shared" si="3"/>
        <v>1972705280.0000002</v>
      </c>
      <c r="R34" s="70">
        <f t="shared" si="4"/>
        <v>0</v>
      </c>
      <c r="S34" s="70">
        <f t="shared" si="9"/>
        <v>0</v>
      </c>
      <c r="T34" s="70">
        <f t="shared" si="10"/>
        <v>0</v>
      </c>
    </row>
    <row r="35" spans="1:20" s="85" customFormat="1" x14ac:dyDescent="0.6">
      <c r="A35" s="60">
        <f t="shared" si="5"/>
        <v>32</v>
      </c>
      <c r="B35" s="85" t="s">
        <v>182</v>
      </c>
      <c r="C35" s="89" t="s">
        <v>1540</v>
      </c>
      <c r="D35" s="174">
        <f>1.02*1.07-1</f>
        <v>9.1400000000000148E-2</v>
      </c>
      <c r="E35" s="89"/>
      <c r="F35" s="959">
        <f>'State gasoline'!K35</f>
        <v>7.3499999999999996E-2</v>
      </c>
      <c r="G35" s="897">
        <v>33130000000</v>
      </c>
      <c r="H35" s="897">
        <f>G35*Assumptions!$C$56/Assumptions!$C$8</f>
        <v>274846480</v>
      </c>
      <c r="I35" s="1442">
        <v>8.6300000000000008</v>
      </c>
      <c r="J35" s="156">
        <f t="shared" si="6"/>
        <v>1.0402603664416585</v>
      </c>
      <c r="K35" s="156">
        <f t="shared" si="7"/>
        <v>8.7117278259820186E-2</v>
      </c>
      <c r="L35" s="156">
        <f t="shared" si="12"/>
        <v>0.95314308818183835</v>
      </c>
      <c r="M35" s="156">
        <f t="shared" si="0"/>
        <v>1.0231991051632034</v>
      </c>
      <c r="N35" s="952">
        <f t="shared" si="8"/>
        <v>8.7117278259820186E-2</v>
      </c>
      <c r="O35" s="70">
        <f t="shared" si="1"/>
        <v>285911900</v>
      </c>
      <c r="P35" s="70">
        <f t="shared" si="2"/>
        <v>261968022.72310787</v>
      </c>
      <c r="Q35" s="70">
        <f t="shared" si="3"/>
        <v>281222672.39325631</v>
      </c>
      <c r="R35" s="70">
        <f t="shared" si="4"/>
        <v>4689227.6067436934</v>
      </c>
      <c r="S35" s="70">
        <f t="shared" si="9"/>
        <v>4689227.6067436934</v>
      </c>
      <c r="T35" s="70">
        <f t="shared" si="10"/>
        <v>0</v>
      </c>
    </row>
    <row r="36" spans="1:20" s="85" customFormat="1" x14ac:dyDescent="0.6">
      <c r="A36" s="60">
        <f t="shared" si="5"/>
        <v>33</v>
      </c>
      <c r="B36" s="85" t="s">
        <v>140</v>
      </c>
      <c r="C36" s="89" t="s">
        <v>1531</v>
      </c>
      <c r="D36" s="174">
        <f>(1.05*1.045)-1</f>
        <v>9.7250000000000059E-2</v>
      </c>
      <c r="E36" s="89"/>
      <c r="F36" s="959">
        <f>'State gasoline'!K36</f>
        <v>8.48E-2</v>
      </c>
      <c r="G36" s="897">
        <v>452166000000</v>
      </c>
      <c r="H36" s="897">
        <f>G36*Assumptions!$C$56/Assumptions!$C$8</f>
        <v>3751169136</v>
      </c>
      <c r="I36" s="1442">
        <v>11.2</v>
      </c>
      <c r="J36" s="156">
        <f t="shared" si="6"/>
        <v>1.3500482160077145</v>
      </c>
      <c r="K36" s="156">
        <f t="shared" si="7"/>
        <v>0.11965567464730031</v>
      </c>
      <c r="L36" s="156">
        <f t="shared" si="12"/>
        <v>1.2303925413604142</v>
      </c>
      <c r="M36" s="156">
        <f t="shared" si="0"/>
        <v>1.3347298288677774</v>
      </c>
      <c r="N36" s="952">
        <f t="shared" si="8"/>
        <v>0.11965567464730031</v>
      </c>
      <c r="O36" s="70">
        <f t="shared" si="1"/>
        <v>5064259200</v>
      </c>
      <c r="P36" s="70">
        <f t="shared" si="2"/>
        <v>4615410526.3157892</v>
      </c>
      <c r="Q36" s="70">
        <f t="shared" si="3"/>
        <v>5006797338.9473686</v>
      </c>
      <c r="R36" s="70">
        <f t="shared" si="4"/>
        <v>57461861.052631378</v>
      </c>
      <c r="S36" s="70">
        <f t="shared" si="9"/>
        <v>57461861.052631378</v>
      </c>
      <c r="T36" s="70">
        <f t="shared" si="10"/>
        <v>0</v>
      </c>
    </row>
    <row r="37" spans="1:20" s="85" customFormat="1" x14ac:dyDescent="0.6">
      <c r="A37" s="60">
        <f t="shared" si="5"/>
        <v>34</v>
      </c>
      <c r="B37" s="85" t="s">
        <v>145</v>
      </c>
      <c r="C37" s="89" t="s">
        <v>1541</v>
      </c>
      <c r="D37" s="174">
        <f>F37</f>
        <v>6.9000000000000006E-2</v>
      </c>
      <c r="E37" s="89"/>
      <c r="F37" s="959">
        <f>'State gasoline'!K37</f>
        <v>6.9000000000000006E-2</v>
      </c>
      <c r="G37" s="897">
        <v>64523000000</v>
      </c>
      <c r="H37" s="897">
        <f>G37*Assumptions!$C$56/Assumptions!$C$8</f>
        <v>535282808</v>
      </c>
      <c r="I37" s="1442">
        <v>11.57</v>
      </c>
      <c r="J37" s="156">
        <f t="shared" si="6"/>
        <v>1.3946480231436837</v>
      </c>
      <c r="K37" s="156">
        <f t="shared" si="7"/>
        <v>9.0019376610770863E-2</v>
      </c>
      <c r="L37" s="156">
        <f t="shared" si="12"/>
        <v>1.3046286465329129</v>
      </c>
      <c r="M37" s="156">
        <f t="shared" ref="M37:M54" si="13">L37*(1+F37)</f>
        <v>1.3946480231436837</v>
      </c>
      <c r="N37" s="952">
        <f t="shared" si="8"/>
        <v>9.0019376610770863E-2</v>
      </c>
      <c r="O37" s="70">
        <f t="shared" si="1"/>
        <v>746531110</v>
      </c>
      <c r="P37" s="70">
        <f t="shared" si="2"/>
        <v>698345285.31337702</v>
      </c>
      <c r="Q37" s="70">
        <f t="shared" si="3"/>
        <v>746531110</v>
      </c>
      <c r="R37" s="70">
        <f t="shared" si="4"/>
        <v>0</v>
      </c>
      <c r="S37" s="70">
        <f t="shared" si="9"/>
        <v>0</v>
      </c>
      <c r="T37" s="70">
        <f t="shared" si="10"/>
        <v>0</v>
      </c>
    </row>
    <row r="38" spans="1:20" s="85" customFormat="1" x14ac:dyDescent="0.6">
      <c r="A38" s="60">
        <f t="shared" si="5"/>
        <v>35</v>
      </c>
      <c r="B38" s="85" t="s">
        <v>173</v>
      </c>
      <c r="C38" s="89" t="s">
        <v>1542</v>
      </c>
      <c r="D38" s="174">
        <f>F38</f>
        <v>6.5600000000000006E-2</v>
      </c>
      <c r="E38" s="89"/>
      <c r="F38" s="959">
        <f>'State gasoline'!K38</f>
        <v>6.5600000000000006E-2</v>
      </c>
      <c r="G38" s="897">
        <v>10552000000</v>
      </c>
      <c r="H38" s="897">
        <f>G38*Assumptions!$C$56/Assumptions!$C$8</f>
        <v>87539392</v>
      </c>
      <c r="I38" s="1442">
        <v>8.15</v>
      </c>
      <c r="J38" s="156">
        <f t="shared" si="6"/>
        <v>0.9824011571841853</v>
      </c>
      <c r="K38" s="156">
        <f t="shared" si="7"/>
        <v>6.0478149316143592E-2</v>
      </c>
      <c r="L38" s="156">
        <f t="shared" si="12"/>
        <v>0.92192300786804171</v>
      </c>
      <c r="M38" s="156">
        <f t="shared" si="13"/>
        <v>0.9824011571841853</v>
      </c>
      <c r="N38" s="952">
        <f t="shared" si="8"/>
        <v>6.0478149316143592E-2</v>
      </c>
      <c r="O38" s="70">
        <f t="shared" si="1"/>
        <v>85998800.000000015</v>
      </c>
      <c r="P38" s="70">
        <f t="shared" si="2"/>
        <v>80704579.579579592</v>
      </c>
      <c r="Q38" s="70">
        <f t="shared" si="3"/>
        <v>85998800.000000015</v>
      </c>
      <c r="R38" s="70">
        <f t="shared" si="4"/>
        <v>0</v>
      </c>
      <c r="S38" s="70">
        <f t="shared" si="9"/>
        <v>0</v>
      </c>
      <c r="T38" s="70">
        <f t="shared" si="10"/>
        <v>0</v>
      </c>
    </row>
    <row r="39" spans="1:20" s="85" customFormat="1" x14ac:dyDescent="0.6">
      <c r="A39" s="60">
        <f t="shared" si="5"/>
        <v>36</v>
      </c>
      <c r="B39" s="85" t="s">
        <v>163</v>
      </c>
      <c r="C39" s="89" t="s">
        <v>1543</v>
      </c>
      <c r="D39" s="174"/>
      <c r="E39" s="89"/>
      <c r="F39" s="959">
        <f>'State gasoline'!K39</f>
        <v>7.0999999999999994E-2</v>
      </c>
      <c r="G39" s="897">
        <v>285306000000</v>
      </c>
      <c r="H39" s="897">
        <f>G39*Assumptions!$C$56/Assumptions!$C$8</f>
        <v>2366898576</v>
      </c>
      <c r="I39" s="1442">
        <v>9.51</v>
      </c>
      <c r="J39" s="156">
        <f t="shared" si="6"/>
        <v>1.1463355834136932</v>
      </c>
      <c r="K39" s="156">
        <f t="shared" si="7"/>
        <v>0</v>
      </c>
      <c r="L39" s="156">
        <f t="shared" si="12"/>
        <v>1.1463355834136932</v>
      </c>
      <c r="M39" s="156">
        <f t="shared" si="13"/>
        <v>1.2277254098360655</v>
      </c>
      <c r="N39" s="952">
        <f t="shared" si="8"/>
        <v>0</v>
      </c>
      <c r="O39" s="70">
        <f t="shared" si="1"/>
        <v>2713260059.9999995</v>
      </c>
      <c r="P39" s="70">
        <f t="shared" si="2"/>
        <v>2713260059.9999995</v>
      </c>
      <c r="Q39" s="70">
        <f t="shared" si="3"/>
        <v>2905901524.2599998</v>
      </c>
      <c r="R39" s="70">
        <f t="shared" si="4"/>
        <v>-192641464.26000023</v>
      </c>
      <c r="S39" s="70">
        <f t="shared" si="9"/>
        <v>0</v>
      </c>
      <c r="T39" s="70">
        <f t="shared" si="10"/>
        <v>-192641464.26000023</v>
      </c>
    </row>
    <row r="40" spans="1:20" s="85" customFormat="1" x14ac:dyDescent="0.6">
      <c r="A40" s="60">
        <f t="shared" si="5"/>
        <v>37</v>
      </c>
      <c r="B40" s="85" t="s">
        <v>185</v>
      </c>
      <c r="C40" s="89" t="s">
        <v>1545</v>
      </c>
      <c r="D40" s="174">
        <v>0.04</v>
      </c>
      <c r="E40" s="89"/>
      <c r="F40" s="959">
        <f>'State gasoline'!K40</f>
        <v>8.77E-2</v>
      </c>
      <c r="G40" s="897">
        <v>59399000000</v>
      </c>
      <c r="H40" s="897">
        <f>G40*Assumptions!$C$56/Assumptions!$C$8</f>
        <v>492774104</v>
      </c>
      <c r="I40" s="1442">
        <v>10.24</v>
      </c>
      <c r="J40" s="156">
        <f t="shared" si="6"/>
        <v>1.2343297974927676</v>
      </c>
      <c r="K40" s="156">
        <f t="shared" si="7"/>
        <v>4.7474222980491199E-2</v>
      </c>
      <c r="L40" s="156">
        <f t="shared" si="12"/>
        <v>1.1868555745122764</v>
      </c>
      <c r="M40" s="156">
        <f t="shared" si="13"/>
        <v>1.2909428083970029</v>
      </c>
      <c r="N40" s="952">
        <f t="shared" si="8"/>
        <v>4.7474222980491199E-2</v>
      </c>
      <c r="O40" s="70">
        <f t="shared" si="1"/>
        <v>608245760</v>
      </c>
      <c r="P40" s="70">
        <f t="shared" si="2"/>
        <v>584851692.30769229</v>
      </c>
      <c r="Q40" s="70">
        <f t="shared" si="3"/>
        <v>636143185.72307682</v>
      </c>
      <c r="R40" s="70">
        <f t="shared" si="4"/>
        <v>-27897425.72307682</v>
      </c>
      <c r="S40" s="70">
        <f t="shared" si="9"/>
        <v>0</v>
      </c>
      <c r="T40" s="70">
        <f t="shared" si="10"/>
        <v>-27897425.72307682</v>
      </c>
    </row>
    <row r="41" spans="1:20" s="85" customFormat="1" x14ac:dyDescent="0.6">
      <c r="A41" s="60">
        <f t="shared" si="5"/>
        <v>38</v>
      </c>
      <c r="B41" s="85" t="s">
        <v>153</v>
      </c>
      <c r="C41" s="89" t="s">
        <v>1546</v>
      </c>
      <c r="D41" s="174"/>
      <c r="E41" s="89"/>
      <c r="F41" s="959">
        <f>'State gasoline'!K41</f>
        <v>0</v>
      </c>
      <c r="G41" s="897">
        <v>37070000000</v>
      </c>
      <c r="H41" s="897">
        <f>G41*Assumptions!$C$56/Assumptions!$C$8</f>
        <v>307532720</v>
      </c>
      <c r="I41" s="1442">
        <v>12.49</v>
      </c>
      <c r="J41" s="156">
        <f t="shared" si="6"/>
        <v>1.5055448408871746</v>
      </c>
      <c r="K41" s="156">
        <f t="shared" si="7"/>
        <v>0</v>
      </c>
      <c r="L41" s="156">
        <f t="shared" si="12"/>
        <v>1.5055448408871746</v>
      </c>
      <c r="M41" s="156">
        <f t="shared" si="13"/>
        <v>1.5055448408871746</v>
      </c>
      <c r="N41" s="952">
        <f t="shared" si="8"/>
        <v>0</v>
      </c>
      <c r="O41" s="70">
        <f t="shared" si="1"/>
        <v>463004300</v>
      </c>
      <c r="P41" s="70">
        <f t="shared" si="2"/>
        <v>463004300</v>
      </c>
      <c r="Q41" s="70">
        <f t="shared" si="3"/>
        <v>463004300</v>
      </c>
      <c r="R41" s="70">
        <f t="shared" si="4"/>
        <v>0</v>
      </c>
      <c r="S41" s="70">
        <f t="shared" si="9"/>
        <v>0</v>
      </c>
      <c r="T41" s="70">
        <f t="shared" si="10"/>
        <v>0</v>
      </c>
    </row>
    <row r="42" spans="1:20" s="85" customFormat="1" x14ac:dyDescent="0.6">
      <c r="A42" s="60">
        <f t="shared" si="5"/>
        <v>39</v>
      </c>
      <c r="B42" s="85" t="s">
        <v>138</v>
      </c>
      <c r="C42" s="89" t="s">
        <v>1547</v>
      </c>
      <c r="D42" s="174"/>
      <c r="E42" s="89"/>
      <c r="F42" s="959">
        <f>'State gasoline'!K42</f>
        <v>6.3399999999999998E-2</v>
      </c>
      <c r="G42" s="897">
        <v>235669000000</v>
      </c>
      <c r="H42" s="897">
        <f>G42*Assumptions!$C$56/Assumptions!$C$8</f>
        <v>1955110024</v>
      </c>
      <c r="I42" s="1442">
        <v>11.04</v>
      </c>
      <c r="J42" s="156">
        <f t="shared" si="6"/>
        <v>1.3307618129218901</v>
      </c>
      <c r="K42" s="156">
        <f t="shared" si="7"/>
        <v>0</v>
      </c>
      <c r="L42" s="156">
        <f t="shared" si="12"/>
        <v>1.3307618129218901</v>
      </c>
      <c r="M42" s="156">
        <f t="shared" si="13"/>
        <v>1.4151321118611377</v>
      </c>
      <c r="N42" s="952">
        <f t="shared" si="8"/>
        <v>0</v>
      </c>
      <c r="O42" s="70">
        <f t="shared" si="1"/>
        <v>2601785760</v>
      </c>
      <c r="P42" s="70">
        <f t="shared" si="2"/>
        <v>2601785760</v>
      </c>
      <c r="Q42" s="70">
        <f t="shared" si="3"/>
        <v>2766738977.1839995</v>
      </c>
      <c r="R42" s="70">
        <f t="shared" si="4"/>
        <v>-164953217.18399954</v>
      </c>
      <c r="S42" s="70">
        <f t="shared" si="9"/>
        <v>0</v>
      </c>
      <c r="T42" s="70">
        <f t="shared" si="10"/>
        <v>-164953217.18399954</v>
      </c>
    </row>
    <row r="43" spans="1:20" s="85" customFormat="1" x14ac:dyDescent="0.6">
      <c r="A43" s="60">
        <f t="shared" si="5"/>
        <v>40</v>
      </c>
      <c r="B43" s="85" t="s">
        <v>146</v>
      </c>
      <c r="C43" s="89" t="s">
        <v>1531</v>
      </c>
      <c r="D43" s="174"/>
      <c r="E43" s="89"/>
      <c r="F43" s="959">
        <f>'State gasoline'!K43</f>
        <v>7.0000000000000007E-2</v>
      </c>
      <c r="G43" s="897">
        <v>20042000000</v>
      </c>
      <c r="H43" s="897">
        <f>G43*Assumptions!$C$56/Assumptions!$C$8</f>
        <v>166268432</v>
      </c>
      <c r="I43" s="1442">
        <v>14.24</v>
      </c>
      <c r="J43" s="156">
        <f t="shared" si="6"/>
        <v>1.7164898746383799</v>
      </c>
      <c r="K43" s="156">
        <f t="shared" si="7"/>
        <v>0</v>
      </c>
      <c r="L43" s="156">
        <f t="shared" si="12"/>
        <v>1.7164898746383799</v>
      </c>
      <c r="M43" s="156">
        <f t="shared" si="13"/>
        <v>1.8366441658630666</v>
      </c>
      <c r="N43" s="952">
        <f t="shared" si="8"/>
        <v>0</v>
      </c>
      <c r="O43" s="70">
        <f t="shared" si="1"/>
        <v>285398080</v>
      </c>
      <c r="P43" s="70">
        <f t="shared" si="2"/>
        <v>285398080</v>
      </c>
      <c r="Q43" s="70">
        <f t="shared" si="3"/>
        <v>305375945.60000002</v>
      </c>
      <c r="R43" s="70">
        <f t="shared" si="4"/>
        <v>-19977865.600000024</v>
      </c>
      <c r="S43" s="70">
        <f t="shared" si="9"/>
        <v>0</v>
      </c>
      <c r="T43" s="70">
        <f t="shared" si="10"/>
        <v>-19977865.600000024</v>
      </c>
    </row>
    <row r="44" spans="1:20" s="85" customFormat="1" x14ac:dyDescent="0.6">
      <c r="A44" s="60">
        <f t="shared" si="5"/>
        <v>41</v>
      </c>
      <c r="B44" s="85" t="s">
        <v>186</v>
      </c>
      <c r="C44" s="89" t="s">
        <v>1548</v>
      </c>
      <c r="D44" s="174"/>
      <c r="E44" s="89"/>
      <c r="F44" s="959">
        <f>'State gasoline'!K44</f>
        <v>7.1300000000000002E-2</v>
      </c>
      <c r="G44" s="897">
        <v>28414000000</v>
      </c>
      <c r="H44" s="897">
        <f>G44*Assumptions!$C$56/Assumptions!$C$8</f>
        <v>235722544</v>
      </c>
      <c r="I44" s="1442">
        <v>12.62</v>
      </c>
      <c r="J44" s="156">
        <f t="shared" si="6"/>
        <v>1.5212150433944069</v>
      </c>
      <c r="K44" s="156">
        <f t="shared" si="7"/>
        <v>0</v>
      </c>
      <c r="L44" s="156">
        <f t="shared" si="12"/>
        <v>1.5212150433944069</v>
      </c>
      <c r="M44" s="156">
        <f t="shared" si="13"/>
        <v>1.6296776759884279</v>
      </c>
      <c r="N44" s="952">
        <f t="shared" si="8"/>
        <v>0</v>
      </c>
      <c r="O44" s="70">
        <f t="shared" si="1"/>
        <v>358584680</v>
      </c>
      <c r="P44" s="70">
        <f t="shared" si="2"/>
        <v>358584680</v>
      </c>
      <c r="Q44" s="70">
        <f t="shared" si="3"/>
        <v>384151767.68399996</v>
      </c>
      <c r="R44" s="70">
        <f t="shared" si="4"/>
        <v>-25567087.683999956</v>
      </c>
      <c r="S44" s="70">
        <f t="shared" si="9"/>
        <v>0</v>
      </c>
      <c r="T44" s="70">
        <f t="shared" si="10"/>
        <v>-25567087.683999956</v>
      </c>
    </row>
    <row r="45" spans="1:20" s="85" customFormat="1" x14ac:dyDescent="0.6">
      <c r="A45" s="60">
        <f t="shared" si="5"/>
        <v>42</v>
      </c>
      <c r="B45" s="85" t="s">
        <v>159</v>
      </c>
      <c r="C45" s="89" t="s">
        <v>1549</v>
      </c>
      <c r="D45" s="174">
        <f>F45</f>
        <v>5.8299999999999998E-2</v>
      </c>
      <c r="E45" s="89"/>
      <c r="F45" s="959">
        <f>'State gasoline'!K45</f>
        <v>5.8299999999999998E-2</v>
      </c>
      <c r="G45" s="897">
        <v>11751000000</v>
      </c>
      <c r="H45" s="897">
        <f>G45*Assumptions!$C$56/Assumptions!$C$8</f>
        <v>97486296</v>
      </c>
      <c r="I45" s="1442">
        <v>8.3000000000000007</v>
      </c>
      <c r="J45" s="156">
        <f t="shared" si="6"/>
        <v>1.0004821600771456</v>
      </c>
      <c r="K45" s="156">
        <f t="shared" si="7"/>
        <v>5.5114910642065196E-2</v>
      </c>
      <c r="L45" s="156">
        <f t="shared" si="12"/>
        <v>0.94536724943508044</v>
      </c>
      <c r="M45" s="156">
        <f t="shared" si="13"/>
        <v>1.0004821600771456</v>
      </c>
      <c r="N45" s="952">
        <f t="shared" si="8"/>
        <v>5.5114910642065196E-2</v>
      </c>
      <c r="O45" s="70">
        <f t="shared" si="1"/>
        <v>97533300</v>
      </c>
      <c r="P45" s="70">
        <f t="shared" si="2"/>
        <v>92160351.50713408</v>
      </c>
      <c r="Q45" s="70">
        <f t="shared" si="3"/>
        <v>97533300</v>
      </c>
      <c r="R45" s="70">
        <f t="shared" si="4"/>
        <v>0</v>
      </c>
      <c r="S45" s="70">
        <f t="shared" si="9"/>
        <v>0</v>
      </c>
      <c r="T45" s="70">
        <f t="shared" si="10"/>
        <v>0</v>
      </c>
    </row>
    <row r="46" spans="1:20" s="85" customFormat="1" x14ac:dyDescent="0.6">
      <c r="A46" s="60">
        <f t="shared" si="5"/>
        <v>43</v>
      </c>
      <c r="B46" s="85" t="s">
        <v>177</v>
      </c>
      <c r="C46" s="89" t="s">
        <v>1550</v>
      </c>
      <c r="D46" s="174"/>
      <c r="E46" s="89"/>
      <c r="F46" s="959">
        <f>'State gasoline'!K46</f>
        <v>9.4500000000000001E-2</v>
      </c>
      <c r="G46" s="897">
        <v>67312000000</v>
      </c>
      <c r="H46" s="897">
        <f>G46*Assumptions!$C$56/Assumptions!$C$8</f>
        <v>558420352</v>
      </c>
      <c r="I46" s="1442">
        <v>9.6199999999999992</v>
      </c>
      <c r="J46" s="156">
        <f t="shared" si="6"/>
        <v>1.1595949855351977</v>
      </c>
      <c r="K46" s="156">
        <f t="shared" si="7"/>
        <v>0</v>
      </c>
      <c r="L46" s="156">
        <f t="shared" si="12"/>
        <v>1.1595949855351977</v>
      </c>
      <c r="M46" s="156">
        <f t="shared" si="13"/>
        <v>1.2691767116682739</v>
      </c>
      <c r="N46" s="952">
        <f t="shared" si="8"/>
        <v>0</v>
      </c>
      <c r="O46" s="70">
        <f t="shared" si="1"/>
        <v>647541440</v>
      </c>
      <c r="P46" s="70">
        <f t="shared" si="2"/>
        <v>647541440</v>
      </c>
      <c r="Q46" s="70">
        <f t="shared" si="3"/>
        <v>708734106.08000004</v>
      </c>
      <c r="R46" s="70">
        <f t="shared" si="4"/>
        <v>-61192666.080000043</v>
      </c>
      <c r="S46" s="70">
        <f t="shared" si="9"/>
        <v>0</v>
      </c>
      <c r="T46" s="70">
        <f t="shared" si="10"/>
        <v>-61192666.080000043</v>
      </c>
    </row>
    <row r="47" spans="1:20" s="85" customFormat="1" x14ac:dyDescent="0.6">
      <c r="A47" s="60">
        <f t="shared" si="5"/>
        <v>44</v>
      </c>
      <c r="B47" s="85" t="s">
        <v>180</v>
      </c>
      <c r="C47" s="89" t="s">
        <v>1551</v>
      </c>
      <c r="D47" s="174">
        <v>6.25E-2</v>
      </c>
      <c r="E47" s="89"/>
      <c r="F47" s="959">
        <f>'State gasoline'!K47</f>
        <v>8.0500000000000002E-2</v>
      </c>
      <c r="G47" s="897">
        <v>211379000000</v>
      </c>
      <c r="H47" s="897">
        <f>G47*Assumptions!$C$56/Assumptions!$C$8</f>
        <v>1753600184</v>
      </c>
      <c r="I47" s="1442">
        <v>10.64</v>
      </c>
      <c r="J47" s="156">
        <f t="shared" si="6"/>
        <v>1.2825458052073289</v>
      </c>
      <c r="K47" s="156">
        <f t="shared" si="7"/>
        <v>7.5443870894548848E-2</v>
      </c>
      <c r="L47" s="156">
        <f t="shared" si="12"/>
        <v>1.20710193431278</v>
      </c>
      <c r="M47" s="156">
        <f t="shared" si="13"/>
        <v>1.3042736400249588</v>
      </c>
      <c r="N47" s="952">
        <f t="shared" si="8"/>
        <v>7.5443870894548848E-2</v>
      </c>
      <c r="O47" s="70">
        <f t="shared" si="1"/>
        <v>2249072560</v>
      </c>
      <c r="P47" s="70">
        <f t="shared" si="2"/>
        <v>2116774174.1176469</v>
      </c>
      <c r="Q47" s="70">
        <f t="shared" si="3"/>
        <v>2287174495.1341176</v>
      </c>
      <c r="R47" s="70">
        <f t="shared" si="4"/>
        <v>-38101935.134117603</v>
      </c>
      <c r="S47" s="70">
        <f t="shared" si="9"/>
        <v>0</v>
      </c>
      <c r="T47" s="70">
        <f t="shared" si="10"/>
        <v>-38101935.134117603</v>
      </c>
    </row>
    <row r="48" spans="1:20" s="85" customFormat="1" x14ac:dyDescent="0.6">
      <c r="A48" s="60">
        <f t="shared" si="5"/>
        <v>45</v>
      </c>
      <c r="B48" s="85" t="s">
        <v>161</v>
      </c>
      <c r="C48" s="89" t="s">
        <v>1552</v>
      </c>
      <c r="D48" s="174">
        <f>1.0415*1.06-1</f>
        <v>0.10399000000000025</v>
      </c>
      <c r="E48" s="89"/>
      <c r="F48" s="959">
        <f>'State gasoline'!K48</f>
        <v>6.6799999999999998E-2</v>
      </c>
      <c r="G48" s="897">
        <v>58562000000</v>
      </c>
      <c r="H48" s="897">
        <f>G48*Assumptions!$C$56/Assumptions!$C$8</f>
        <v>485830352</v>
      </c>
      <c r="I48" s="1442">
        <v>9.7200000000000006</v>
      </c>
      <c r="J48" s="156">
        <f t="shared" si="6"/>
        <v>1.1716489874638383</v>
      </c>
      <c r="K48" s="156">
        <f t="shared" si="7"/>
        <v>0.11036311760646811</v>
      </c>
      <c r="L48" s="156">
        <f t="shared" si="12"/>
        <v>1.0612858698573702</v>
      </c>
      <c r="M48" s="156">
        <f t="shared" si="13"/>
        <v>1.1321797659638424</v>
      </c>
      <c r="N48" s="952">
        <f t="shared" si="8"/>
        <v>0.11036311760646811</v>
      </c>
      <c r="O48" s="70">
        <f t="shared" si="1"/>
        <v>569222640.00000012</v>
      </c>
      <c r="P48" s="70">
        <f t="shared" si="2"/>
        <v>515604887.72543234</v>
      </c>
      <c r="Q48" s="70">
        <f t="shared" si="3"/>
        <v>550047294.22549117</v>
      </c>
      <c r="R48" s="70">
        <f t="shared" si="4"/>
        <v>19175345.774508953</v>
      </c>
      <c r="S48" s="70">
        <f t="shared" si="9"/>
        <v>19175345.774508953</v>
      </c>
      <c r="T48" s="70">
        <f t="shared" si="10"/>
        <v>0</v>
      </c>
    </row>
    <row r="49" spans="1:20" s="85" customFormat="1" x14ac:dyDescent="0.6">
      <c r="A49" s="60">
        <f t="shared" si="5"/>
        <v>46</v>
      </c>
      <c r="B49" s="85" t="s">
        <v>156</v>
      </c>
      <c r="C49" s="89" t="s">
        <v>1553</v>
      </c>
      <c r="D49" s="174">
        <v>7.4999999999999997E-3</v>
      </c>
      <c r="E49" s="89"/>
      <c r="F49" s="959">
        <f>'State gasoline'!K49</f>
        <v>6.1400000000000003E-2</v>
      </c>
      <c r="G49" s="897">
        <v>3833000000</v>
      </c>
      <c r="H49" s="897">
        <f>G49*Assumptions!$C$56/Assumptions!$C$8</f>
        <v>31798568</v>
      </c>
      <c r="I49" s="1442">
        <v>14.56</v>
      </c>
      <c r="J49" s="156">
        <f t="shared" si="6"/>
        <v>1.7550626808100289</v>
      </c>
      <c r="K49" s="156">
        <f t="shared" si="7"/>
        <v>1.3064982735558672E-2</v>
      </c>
      <c r="L49" s="156">
        <f t="shared" si="12"/>
        <v>1.7419976980744702</v>
      </c>
      <c r="M49" s="156">
        <f t="shared" si="13"/>
        <v>1.8489563567362426</v>
      </c>
      <c r="N49" s="952">
        <f t="shared" si="8"/>
        <v>1.3064982735558672E-2</v>
      </c>
      <c r="O49" s="70">
        <f t="shared" si="1"/>
        <v>55808480</v>
      </c>
      <c r="P49" s="70">
        <f t="shared" si="2"/>
        <v>55393032.258064508</v>
      </c>
      <c r="Q49" s="70">
        <f t="shared" si="3"/>
        <v>58794164.438709669</v>
      </c>
      <c r="R49" s="70">
        <f t="shared" si="4"/>
        <v>-2985684.4387096688</v>
      </c>
      <c r="S49" s="70">
        <f t="shared" si="9"/>
        <v>0</v>
      </c>
      <c r="T49" s="70">
        <f t="shared" si="10"/>
        <v>-2985684.4387096688</v>
      </c>
    </row>
    <row r="50" spans="1:20" s="85" customFormat="1" x14ac:dyDescent="0.6">
      <c r="A50" s="60">
        <f t="shared" si="5"/>
        <v>47</v>
      </c>
      <c r="B50" s="85" t="s">
        <v>174</v>
      </c>
      <c r="C50" s="89" t="s">
        <v>1554</v>
      </c>
      <c r="D50" s="174">
        <v>0.01</v>
      </c>
      <c r="E50" s="89"/>
      <c r="F50" s="959">
        <f>'State gasoline'!K50</f>
        <v>5.6300000000000003E-2</v>
      </c>
      <c r="G50" s="897">
        <v>85464000000</v>
      </c>
      <c r="H50" s="897">
        <f>G50*Assumptions!$C$56/Assumptions!$C$8</f>
        <v>709009344</v>
      </c>
      <c r="I50" s="1442">
        <v>11.64</v>
      </c>
      <c r="J50" s="156">
        <f t="shared" si="6"/>
        <v>1.4030858244937321</v>
      </c>
      <c r="K50" s="156">
        <f t="shared" si="7"/>
        <v>1.3891938856373631E-2</v>
      </c>
      <c r="L50" s="156">
        <f t="shared" si="12"/>
        <v>1.3891938856373585</v>
      </c>
      <c r="M50" s="156">
        <f t="shared" si="13"/>
        <v>1.4674055013987417</v>
      </c>
      <c r="N50" s="952">
        <f t="shared" si="8"/>
        <v>1.3891938856373631E-2</v>
      </c>
      <c r="O50" s="70">
        <f t="shared" si="1"/>
        <v>994800960.00000012</v>
      </c>
      <c r="P50" s="70">
        <f t="shared" si="2"/>
        <v>984951445.54455459</v>
      </c>
      <c r="Q50" s="70">
        <f t="shared" si="3"/>
        <v>1040404211.928713</v>
      </c>
      <c r="R50" s="70">
        <f t="shared" si="4"/>
        <v>-45603251.928712845</v>
      </c>
      <c r="S50" s="70">
        <f t="shared" si="9"/>
        <v>0</v>
      </c>
      <c r="T50" s="70">
        <f t="shared" si="10"/>
        <v>-45603251.928712845</v>
      </c>
    </row>
    <row r="51" spans="1:20" s="85" customFormat="1" x14ac:dyDescent="0.6">
      <c r="A51" s="60">
        <f t="shared" si="5"/>
        <v>48</v>
      </c>
      <c r="B51" s="85" t="s">
        <v>139</v>
      </c>
      <c r="C51" s="89" t="s">
        <v>1555</v>
      </c>
      <c r="D51" s="174">
        <v>0.06</v>
      </c>
      <c r="E51" s="89"/>
      <c r="F51" s="959">
        <f>'State gasoline'!K51</f>
        <v>8.8900000000000007E-2</v>
      </c>
      <c r="G51" s="897">
        <v>71907000000</v>
      </c>
      <c r="H51" s="897">
        <f>G51*Assumptions!$C$56/Assumptions!$C$8</f>
        <v>596540472</v>
      </c>
      <c r="I51" s="1442">
        <v>11.81</v>
      </c>
      <c r="J51" s="156">
        <f t="shared" si="6"/>
        <v>1.4235776277724206</v>
      </c>
      <c r="K51" s="156">
        <f t="shared" si="7"/>
        <v>8.057986572296727E-2</v>
      </c>
      <c r="L51" s="156">
        <f t="shared" si="12"/>
        <v>1.3429977620494533</v>
      </c>
      <c r="M51" s="156">
        <f t="shared" si="13"/>
        <v>1.4623902630956498</v>
      </c>
      <c r="N51" s="952">
        <f t="shared" si="8"/>
        <v>8.057986572296727E-2</v>
      </c>
      <c r="O51" s="70">
        <f t="shared" si="1"/>
        <v>849221670.00000012</v>
      </c>
      <c r="P51" s="70">
        <f t="shared" si="2"/>
        <v>801152518.86792457</v>
      </c>
      <c r="Q51" s="70">
        <f t="shared" si="3"/>
        <v>872374977.79528308</v>
      </c>
      <c r="R51" s="70">
        <f t="shared" si="4"/>
        <v>-23153307.79528296</v>
      </c>
      <c r="S51" s="70">
        <f t="shared" si="9"/>
        <v>0</v>
      </c>
      <c r="T51" s="70">
        <f t="shared" si="10"/>
        <v>-23153307.79528296</v>
      </c>
    </row>
    <row r="52" spans="1:20" s="85" customFormat="1" x14ac:dyDescent="0.6">
      <c r="A52" s="60">
        <f t="shared" si="5"/>
        <v>49</v>
      </c>
      <c r="B52" s="85" t="s">
        <v>148</v>
      </c>
      <c r="C52" s="89" t="s">
        <v>1556</v>
      </c>
      <c r="D52" s="174">
        <f>0.03236+0.02</f>
        <v>5.2360000000000004E-2</v>
      </c>
      <c r="E52" s="89"/>
      <c r="F52" s="959">
        <f>'State gasoline'!K52</f>
        <v>6.0699999999999997E-2</v>
      </c>
      <c r="G52" s="897">
        <v>24807000000</v>
      </c>
      <c r="H52" s="897">
        <f>G52*Assumptions!$C$56/Assumptions!$C$8</f>
        <v>205798872</v>
      </c>
      <c r="I52" s="1442">
        <v>10.48</v>
      </c>
      <c r="J52" s="156">
        <f t="shared" si="6"/>
        <v>1.2632594021215044</v>
      </c>
      <c r="K52" s="156">
        <f t="shared" si="7"/>
        <v>6.2853265322781127E-2</v>
      </c>
      <c r="L52" s="156">
        <f t="shared" si="12"/>
        <v>1.2004061367987233</v>
      </c>
      <c r="M52" s="156">
        <f t="shared" si="13"/>
        <v>1.2732707893024058</v>
      </c>
      <c r="N52" s="952">
        <f t="shared" si="8"/>
        <v>6.2853265322781127E-2</v>
      </c>
      <c r="O52" s="70">
        <f t="shared" si="1"/>
        <v>259977360.00000003</v>
      </c>
      <c r="P52" s="70">
        <f t="shared" si="2"/>
        <v>247042228.89505494</v>
      </c>
      <c r="Q52" s="70">
        <f t="shared" si="3"/>
        <v>262037692.18898478</v>
      </c>
      <c r="R52" s="70">
        <f t="shared" si="4"/>
        <v>-2060332.1889847517</v>
      </c>
      <c r="S52" s="70">
        <f t="shared" si="9"/>
        <v>0</v>
      </c>
      <c r="T52" s="70">
        <f t="shared" si="10"/>
        <v>-2060332.1889847517</v>
      </c>
    </row>
    <row r="53" spans="1:20" s="85" customFormat="1" x14ac:dyDescent="0.6">
      <c r="A53" s="60">
        <f t="shared" si="5"/>
        <v>50</v>
      </c>
      <c r="B53" s="85" t="s">
        <v>149</v>
      </c>
      <c r="C53" s="89" t="s">
        <v>1557</v>
      </c>
      <c r="D53" s="174">
        <f>0.0097+(0.15*F53)</f>
        <v>1.7845E-2</v>
      </c>
      <c r="E53" s="89"/>
      <c r="F53" s="959">
        <f>'State gasoline'!K53</f>
        <v>5.4300000000000001E-2</v>
      </c>
      <c r="G53" s="897">
        <v>126854000000</v>
      </c>
      <c r="H53" s="897">
        <f>G53*Assumptions!$C$56/Assumptions!$C$8</f>
        <v>1052380784</v>
      </c>
      <c r="I53" s="1442">
        <v>8.5399999999999991</v>
      </c>
      <c r="J53" s="156">
        <f t="shared" si="6"/>
        <v>1.029411764705882</v>
      </c>
      <c r="K53" s="156">
        <f t="shared" si="7"/>
        <v>1.8047790126371366E-2</v>
      </c>
      <c r="L53" s="156">
        <f t="shared" si="12"/>
        <v>1.0113639745795107</v>
      </c>
      <c r="M53" s="156">
        <f t="shared" si="13"/>
        <v>1.0662810383991781</v>
      </c>
      <c r="N53" s="952">
        <f t="shared" si="8"/>
        <v>1.8047790126371366E-2</v>
      </c>
      <c r="O53" s="70">
        <f t="shared" si="1"/>
        <v>1083333159.9999998</v>
      </c>
      <c r="P53" s="70">
        <f t="shared" si="2"/>
        <v>1064340012.4773415</v>
      </c>
      <c r="Q53" s="70">
        <f t="shared" si="3"/>
        <v>1122133675.1548612</v>
      </c>
      <c r="R53" s="70">
        <f t="shared" si="4"/>
        <v>-38800515.15486145</v>
      </c>
      <c r="S53" s="70">
        <f t="shared" si="9"/>
        <v>0</v>
      </c>
      <c r="T53" s="70">
        <f t="shared" si="10"/>
        <v>-38800515.15486145</v>
      </c>
    </row>
    <row r="54" spans="1:20" s="85" customFormat="1" x14ac:dyDescent="0.6">
      <c r="A54" s="60">
        <f t="shared" si="5"/>
        <v>51</v>
      </c>
      <c r="B54" s="85" t="s">
        <v>169</v>
      </c>
      <c r="C54" s="89" t="s">
        <v>1558</v>
      </c>
      <c r="D54" s="174">
        <f>F54</f>
        <v>5.4699999999999999E-2</v>
      </c>
      <c r="E54" s="89"/>
      <c r="F54" s="959">
        <f>'State gasoline'!K54</f>
        <v>5.4699999999999999E-2</v>
      </c>
      <c r="G54" s="897">
        <v>11576000000</v>
      </c>
      <c r="H54" s="897">
        <f>G54*Assumptions!$C$56/Assumptions!$C$8</f>
        <v>96034496</v>
      </c>
      <c r="I54" s="1442">
        <v>9.33</v>
      </c>
      <c r="J54" s="156">
        <f t="shared" si="6"/>
        <v>1.1246383799421409</v>
      </c>
      <c r="K54" s="156">
        <f t="shared" si="7"/>
        <v>5.8327220425557158E-2</v>
      </c>
      <c r="L54" s="156">
        <f t="shared" si="12"/>
        <v>1.0663111595165837</v>
      </c>
      <c r="M54" s="156">
        <f t="shared" si="13"/>
        <v>1.1246383799421409</v>
      </c>
      <c r="N54" s="952">
        <f t="shared" si="8"/>
        <v>5.8327220425557158E-2</v>
      </c>
      <c r="O54" s="70">
        <f t="shared" si="1"/>
        <v>108004080.00000001</v>
      </c>
      <c r="P54" s="70">
        <f t="shared" si="2"/>
        <v>102402654.78335072</v>
      </c>
      <c r="Q54" s="70">
        <f t="shared" si="3"/>
        <v>108004080.00000001</v>
      </c>
      <c r="R54" s="70">
        <f t="shared" si="4"/>
        <v>0</v>
      </c>
      <c r="S54" s="70">
        <f t="shared" si="9"/>
        <v>0</v>
      </c>
      <c r="T54" s="70"/>
    </row>
    <row r="55" spans="1:20" s="85" customFormat="1" x14ac:dyDescent="0.6">
      <c r="C55" s="89"/>
      <c r="D55" s="174"/>
      <c r="E55" s="89"/>
      <c r="F55" s="959"/>
      <c r="G55" s="913"/>
      <c r="H55" s="913"/>
      <c r="I55" s="1443"/>
      <c r="J55" s="156"/>
      <c r="K55" s="156"/>
      <c r="L55" s="156"/>
      <c r="M55" s="156"/>
      <c r="N55" s="952"/>
      <c r="O55" s="70"/>
      <c r="P55" s="70"/>
      <c r="Q55" s="70"/>
      <c r="S55" s="70">
        <f t="shared" si="9"/>
        <v>0</v>
      </c>
      <c r="T55" s="70"/>
    </row>
    <row r="56" spans="1:20" s="104" customFormat="1" x14ac:dyDescent="0.6">
      <c r="B56" s="104" t="s">
        <v>42</v>
      </c>
      <c r="C56" s="942"/>
      <c r="D56" s="943"/>
      <c r="E56" s="942"/>
      <c r="F56" s="959"/>
      <c r="G56" s="951">
        <f>SUM(G4:G55)</f>
        <v>4612890000000</v>
      </c>
      <c r="H56" s="951">
        <f>SUM(H4:H55)</f>
        <v>38268535440</v>
      </c>
      <c r="I56" s="1443"/>
      <c r="J56" s="881"/>
      <c r="K56" s="881"/>
      <c r="L56" s="156"/>
      <c r="M56" s="881"/>
      <c r="N56" s="952"/>
      <c r="O56" s="593">
        <f>SUM(O4:O55)</f>
        <v>47761623410</v>
      </c>
      <c r="P56" s="593">
        <f>SUM(P4:P55)</f>
        <v>45381186034.581497</v>
      </c>
      <c r="Q56" s="593">
        <f>SUM(Q4:Q55)</f>
        <v>48649038426.727837</v>
      </c>
      <c r="R56" s="593">
        <f>SUM(R4:R55)</f>
        <v>-887415016.72783566</v>
      </c>
      <c r="S56" s="593">
        <f t="shared" ref="S56:T56" si="14">SUM(S4:S55)</f>
        <v>290827097.41975713</v>
      </c>
      <c r="T56" s="593">
        <f t="shared" si="14"/>
        <v>-1178242114.147593</v>
      </c>
    </row>
    <row r="57" spans="1:20" s="104" customFormat="1" ht="15.9" thickBot="1" x14ac:dyDescent="0.65">
      <c r="A57" s="99"/>
      <c r="B57" s="99"/>
      <c r="C57" s="944"/>
      <c r="D57" s="945"/>
      <c r="E57" s="944"/>
      <c r="F57" s="960"/>
      <c r="G57" s="954">
        <v>4612888000000</v>
      </c>
      <c r="H57" s="954">
        <f>G57*Assumptions!$C$56/Assumptions!$C$8</f>
        <v>38268518848</v>
      </c>
      <c r="I57" s="1444"/>
      <c r="J57" s="237"/>
      <c r="K57" s="237"/>
      <c r="L57" s="237"/>
      <c r="M57" s="237"/>
      <c r="N57" s="955"/>
      <c r="O57" s="944"/>
      <c r="P57" s="108"/>
      <c r="Q57" s="944"/>
      <c r="R57" s="944"/>
      <c r="S57" s="942"/>
      <c r="T57" s="593"/>
    </row>
    <row r="58" spans="1:20" s="85" customFormat="1" ht="15.9" thickTop="1" x14ac:dyDescent="0.6">
      <c r="C58" s="89"/>
      <c r="D58" s="174"/>
      <c r="E58" s="89"/>
      <c r="F58" s="174"/>
      <c r="H58" s="360">
        <f>H56/H57</f>
        <v>1.0000004335678647</v>
      </c>
      <c r="I58" s="413"/>
      <c r="J58" s="156"/>
      <c r="K58" s="156"/>
      <c r="L58" s="156"/>
      <c r="M58" s="156"/>
      <c r="N58" s="156"/>
      <c r="O58" s="181"/>
      <c r="P58" s="70"/>
      <c r="Q58" s="70"/>
      <c r="T58" s="70"/>
    </row>
    <row r="59" spans="1:20" s="85" customFormat="1" x14ac:dyDescent="0.6">
      <c r="C59" s="89"/>
      <c r="D59" s="174"/>
      <c r="E59" s="89"/>
      <c r="F59" s="178"/>
      <c r="G59" s="957"/>
      <c r="H59" s="957"/>
      <c r="I59" s="1442"/>
      <c r="J59" s="156"/>
      <c r="K59" s="156"/>
      <c r="L59" s="156"/>
      <c r="M59" s="156"/>
      <c r="N59" s="156"/>
      <c r="O59" s="70"/>
      <c r="R59" s="240" t="s">
        <v>504</v>
      </c>
      <c r="T59" s="70"/>
    </row>
    <row r="60" spans="1:20" s="85" customFormat="1" x14ac:dyDescent="0.6">
      <c r="C60" s="89"/>
      <c r="D60" s="174"/>
      <c r="E60" s="89"/>
      <c r="F60" s="178"/>
      <c r="G60" s="1655" t="s">
        <v>1746</v>
      </c>
      <c r="H60" s="21">
        <f>LARGE($H$4:$H$54,1)</f>
        <v>3751169136</v>
      </c>
      <c r="I60" s="413"/>
      <c r="J60" s="1662" t="s">
        <v>1746</v>
      </c>
      <c r="K60" s="156">
        <f>LARGE($K$4:$K$54,1)</f>
        <v>0.25445581979125609</v>
      </c>
      <c r="L60" s="156"/>
      <c r="M60" s="156"/>
      <c r="N60" s="156"/>
      <c r="O60" s="70"/>
      <c r="P60" s="70" t="s">
        <v>26</v>
      </c>
      <c r="Q60" s="70">
        <f>O56-P56</f>
        <v>2380437375.4185028</v>
      </c>
      <c r="R60" s="881">
        <f>Q60/$H$56</f>
        <v>6.2203513880240167E-2</v>
      </c>
      <c r="T60" s="70"/>
    </row>
    <row r="61" spans="1:20" s="85" customFormat="1" x14ac:dyDescent="0.6">
      <c r="C61" s="89"/>
      <c r="D61" s="174"/>
      <c r="E61" s="89"/>
      <c r="F61" s="174"/>
      <c r="G61" s="1658" t="s">
        <v>1744</v>
      </c>
      <c r="H61" s="21">
        <f>LARGE($H$4:$H$54,2)</f>
        <v>3328122912</v>
      </c>
      <c r="I61" s="526"/>
      <c r="J61" s="1662" t="s">
        <v>1744</v>
      </c>
      <c r="K61" s="156">
        <f>LARGE($K$4:$K$54,2)</f>
        <v>0.1932200755670177</v>
      </c>
      <c r="L61" s="156"/>
      <c r="M61" s="156"/>
      <c r="N61" s="156"/>
      <c r="O61" s="70"/>
      <c r="P61" s="70" t="s">
        <v>654</v>
      </c>
      <c r="Q61" s="70">
        <f>Q56-P56</f>
        <v>3267852392.1463394</v>
      </c>
      <c r="R61" s="881">
        <f>Q61/$H$56</f>
        <v>8.5392669318895137E-2</v>
      </c>
      <c r="T61" s="70"/>
    </row>
    <row r="62" spans="1:20" s="85" customFormat="1" x14ac:dyDescent="0.6">
      <c r="C62" s="89"/>
      <c r="D62" s="174"/>
      <c r="E62" s="89"/>
      <c r="F62" s="174"/>
      <c r="G62" s="1660" t="s">
        <v>1745</v>
      </c>
      <c r="H62" s="21">
        <f>LARGE($H$4:$H$54,3)</f>
        <v>3325667296</v>
      </c>
      <c r="I62" s="526"/>
      <c r="J62" s="1662" t="s">
        <v>1745</v>
      </c>
      <c r="K62" s="156">
        <f>LARGE($K$4:$K$54,3)</f>
        <v>0.11965567464730031</v>
      </c>
      <c r="L62" s="156"/>
      <c r="M62" s="156"/>
      <c r="N62" s="156"/>
      <c r="O62" s="70"/>
      <c r="P62" s="70" t="s">
        <v>602</v>
      </c>
      <c r="Q62" s="70">
        <f>Q60-Q61</f>
        <v>-887415016.72783661</v>
      </c>
      <c r="R62" s="881">
        <f>Q62/$H$56</f>
        <v>-2.3189155438654973E-2</v>
      </c>
      <c r="T62" s="70"/>
    </row>
    <row r="63" spans="1:20" s="85" customFormat="1" x14ac:dyDescent="0.6">
      <c r="C63" s="89"/>
      <c r="D63" s="174"/>
      <c r="E63" s="89"/>
      <c r="F63" s="174"/>
      <c r="I63" s="526"/>
      <c r="J63" s="156"/>
      <c r="K63" s="156"/>
      <c r="L63" s="156"/>
      <c r="M63" s="156"/>
      <c r="N63" s="156"/>
      <c r="O63" s="70"/>
      <c r="P63" s="70"/>
      <c r="R63" s="70"/>
      <c r="T63" s="70"/>
    </row>
    <row r="64" spans="1:20" s="85" customFormat="1" x14ac:dyDescent="0.6">
      <c r="C64" s="89"/>
      <c r="D64" s="174"/>
      <c r="E64" s="89"/>
      <c r="F64" s="174"/>
      <c r="I64" s="526"/>
      <c r="J64" s="156"/>
      <c r="K64" s="156"/>
      <c r="L64" s="156"/>
      <c r="M64" s="156"/>
      <c r="N64" s="156"/>
      <c r="O64" s="70"/>
      <c r="P64" s="70" t="s">
        <v>686</v>
      </c>
      <c r="R64" s="506">
        <f>P56/H56</f>
        <v>1.1858615834863393</v>
      </c>
      <c r="T64" s="70"/>
    </row>
    <row r="65" spans="3:20" s="85" customFormat="1" x14ac:dyDescent="0.6">
      <c r="C65" s="89"/>
      <c r="D65" s="174"/>
      <c r="E65" s="89"/>
      <c r="F65" s="174"/>
      <c r="I65" s="526"/>
      <c r="J65" s="156"/>
      <c r="K65" s="156"/>
      <c r="L65" s="156"/>
      <c r="M65" s="156"/>
      <c r="N65" s="156"/>
      <c r="O65" s="70"/>
      <c r="P65" s="70" t="s">
        <v>645</v>
      </c>
      <c r="R65" s="506">
        <f>O56/H56</f>
        <v>1.2480650973665794</v>
      </c>
      <c r="T65" s="70"/>
    </row>
    <row r="66" spans="3:20" s="85" customFormat="1" x14ac:dyDescent="0.6">
      <c r="C66" s="89"/>
      <c r="D66" s="174"/>
      <c r="E66" s="89"/>
      <c r="F66" s="174"/>
      <c r="I66" s="526"/>
      <c r="J66" s="156"/>
      <c r="K66" s="156"/>
      <c r="L66" s="156"/>
      <c r="M66" s="156"/>
      <c r="N66" s="156"/>
      <c r="O66" s="70"/>
      <c r="P66" s="70"/>
      <c r="Q66" s="70"/>
      <c r="T66" s="70"/>
    </row>
    <row r="67" spans="3:20" s="85" customFormat="1" x14ac:dyDescent="0.6">
      <c r="C67" s="89"/>
      <c r="D67" s="174"/>
      <c r="E67" s="89"/>
      <c r="F67" s="174"/>
      <c r="I67" s="526"/>
      <c r="J67" s="156"/>
      <c r="K67" s="156"/>
      <c r="L67" s="156"/>
      <c r="M67" s="156"/>
      <c r="N67" s="156"/>
      <c r="O67" s="70"/>
      <c r="P67" s="17"/>
      <c r="Q67" s="1" t="s">
        <v>1743</v>
      </c>
      <c r="R67" s="17">
        <f>LARGE($R$4:$R$54,1)</f>
        <v>104055432.90222597</v>
      </c>
      <c r="S67" s="826"/>
      <c r="T67" s="70"/>
    </row>
    <row r="68" spans="3:20" s="85" customFormat="1" x14ac:dyDescent="0.6">
      <c r="C68" s="89"/>
      <c r="D68" s="174"/>
      <c r="E68" s="89"/>
      <c r="F68" s="174"/>
      <c r="I68" s="526"/>
      <c r="J68" s="156"/>
      <c r="K68" s="156"/>
      <c r="L68" s="156"/>
      <c r="M68" s="156"/>
      <c r="N68" s="156"/>
      <c r="O68" s="70"/>
      <c r="P68" s="1"/>
      <c r="Q68" s="1" t="s">
        <v>1744</v>
      </c>
      <c r="R68" s="17">
        <f>LARGE($R$4:$R$54,2)</f>
        <v>57461861.052631378</v>
      </c>
      <c r="S68" s="17"/>
      <c r="T68" s="70"/>
    </row>
    <row r="69" spans="3:20" s="85" customFormat="1" x14ac:dyDescent="0.6">
      <c r="C69" s="89"/>
      <c r="D69" s="174"/>
      <c r="E69" s="89"/>
      <c r="F69" s="174"/>
      <c r="I69" s="526"/>
      <c r="J69" s="156"/>
      <c r="K69" s="156"/>
      <c r="L69" s="156"/>
      <c r="M69" s="156"/>
      <c r="N69" s="156"/>
      <c r="O69" s="70"/>
      <c r="P69" s="1"/>
      <c r="Q69" s="1" t="s">
        <v>1745</v>
      </c>
      <c r="R69" s="17">
        <f>LARGE($R$4:$R$54,3)</f>
        <v>30762846.160855055</v>
      </c>
      <c r="S69" s="17"/>
      <c r="T69" s="70"/>
    </row>
    <row r="70" spans="3:20" s="85" customFormat="1" x14ac:dyDescent="0.6">
      <c r="C70" s="89"/>
      <c r="D70" s="174"/>
      <c r="E70" s="89"/>
      <c r="F70" s="174"/>
      <c r="I70" s="526"/>
      <c r="J70" s="156"/>
      <c r="K70" s="156"/>
      <c r="L70" s="156"/>
      <c r="M70" s="156"/>
      <c r="N70" s="156"/>
      <c r="O70" s="70"/>
      <c r="P70" s="1"/>
      <c r="Q70" s="1"/>
      <c r="R70" s="70"/>
      <c r="S70" s="17"/>
      <c r="T70" s="70"/>
    </row>
    <row r="71" spans="3:20" s="85" customFormat="1" x14ac:dyDescent="0.6">
      <c r="C71" s="89"/>
      <c r="D71" s="174"/>
      <c r="E71" s="89"/>
      <c r="F71" s="174"/>
      <c r="I71" s="526"/>
      <c r="J71" s="156"/>
      <c r="K71" s="156"/>
      <c r="L71" s="156"/>
      <c r="M71" s="156"/>
      <c r="N71" s="156"/>
      <c r="O71" s="70"/>
      <c r="P71" s="1"/>
      <c r="Q71" s="85" t="s">
        <v>1750</v>
      </c>
      <c r="R71" s="70">
        <f>SMALL($R$4:$R$54,1)</f>
        <v>-192641464.26000023</v>
      </c>
      <c r="T71" s="70"/>
    </row>
    <row r="72" spans="3:20" s="85" customFormat="1" x14ac:dyDescent="0.6">
      <c r="C72" s="89"/>
      <c r="D72" s="174"/>
      <c r="E72" s="89"/>
      <c r="F72" s="174"/>
      <c r="I72" s="526"/>
      <c r="J72" s="156"/>
      <c r="K72" s="156"/>
      <c r="L72" s="156"/>
      <c r="M72" s="156"/>
      <c r="N72" s="156"/>
      <c r="O72" s="70"/>
      <c r="P72" s="1"/>
      <c r="Q72" s="85" t="s">
        <v>1744</v>
      </c>
      <c r="R72" s="70">
        <f>SMALL($R$4:$R$54,2)</f>
        <v>-164953217.18399954</v>
      </c>
      <c r="T72" s="70"/>
    </row>
    <row r="73" spans="3:20" s="85" customFormat="1" x14ac:dyDescent="0.6">
      <c r="C73" s="89"/>
      <c r="D73" s="174"/>
      <c r="E73" s="89"/>
      <c r="F73" s="174"/>
      <c r="I73" s="526"/>
      <c r="J73" s="156"/>
      <c r="K73" s="156"/>
      <c r="L73" s="156"/>
      <c r="M73" s="156"/>
      <c r="N73" s="156"/>
      <c r="O73" s="70"/>
      <c r="P73" s="1"/>
      <c r="Q73" s="1" t="s">
        <v>1745</v>
      </c>
      <c r="R73" s="70">
        <f>SMALL($R$4:$R$54,3)</f>
        <v>-163121105.83924961</v>
      </c>
      <c r="S73" s="17"/>
      <c r="T73" s="70"/>
    </row>
    <row r="74" spans="3:20" s="85" customFormat="1" x14ac:dyDescent="0.6">
      <c r="C74" s="89"/>
      <c r="D74" s="174"/>
      <c r="E74" s="89"/>
      <c r="F74" s="174"/>
      <c r="I74" s="526"/>
      <c r="J74" s="156"/>
      <c r="K74" s="156"/>
      <c r="L74" s="156"/>
      <c r="M74" s="156"/>
      <c r="N74" s="156"/>
      <c r="O74" s="70"/>
      <c r="P74" s="1"/>
      <c r="Q74" s="1"/>
      <c r="R74" s="891"/>
      <c r="S74" s="17"/>
      <c r="T74" s="70"/>
    </row>
    <row r="75" spans="3:20" s="85" customFormat="1" x14ac:dyDescent="0.6">
      <c r="C75" s="89"/>
      <c r="D75" s="174"/>
      <c r="E75" s="89"/>
      <c r="F75" s="174"/>
      <c r="I75" s="526"/>
      <c r="J75" s="156"/>
      <c r="K75" s="156"/>
      <c r="L75" s="156"/>
      <c r="M75" s="156"/>
      <c r="N75" s="156"/>
      <c r="O75" s="70"/>
      <c r="P75" s="1"/>
      <c r="T75" s="70"/>
    </row>
    <row r="76" spans="3:20" s="85" customFormat="1" x14ac:dyDescent="0.6">
      <c r="C76" s="89"/>
      <c r="D76" s="174"/>
      <c r="E76" s="89"/>
      <c r="F76" s="174"/>
      <c r="I76" s="526"/>
      <c r="J76" s="156"/>
      <c r="K76" s="156"/>
      <c r="L76" s="156"/>
      <c r="M76" s="156"/>
      <c r="N76" s="156"/>
      <c r="O76" s="70"/>
      <c r="P76" s="1"/>
      <c r="T76" s="70"/>
    </row>
    <row r="77" spans="3:20" s="85" customFormat="1" x14ac:dyDescent="0.6">
      <c r="C77" s="89"/>
      <c r="D77" s="174"/>
      <c r="E77" s="89"/>
      <c r="F77" s="174"/>
      <c r="I77" s="526"/>
      <c r="J77" s="156"/>
      <c r="K77" s="156"/>
      <c r="L77" s="156"/>
      <c r="M77" s="156"/>
      <c r="N77" s="156"/>
      <c r="O77" s="70"/>
      <c r="P77" s="17"/>
      <c r="Q77" s="17"/>
      <c r="R77" s="891"/>
      <c r="S77" s="1"/>
      <c r="T77" s="70"/>
    </row>
    <row r="78" spans="3:20" s="85" customFormat="1" x14ac:dyDescent="0.6">
      <c r="C78" s="89"/>
      <c r="D78" s="174"/>
      <c r="E78" s="89"/>
      <c r="F78" s="174"/>
      <c r="I78" s="526"/>
      <c r="J78" s="156"/>
      <c r="K78" s="156"/>
      <c r="L78" s="156"/>
      <c r="M78" s="156"/>
      <c r="N78" s="156"/>
      <c r="O78" s="70"/>
      <c r="P78" s="17"/>
      <c r="Q78" s="1" t="s">
        <v>852</v>
      </c>
      <c r="R78" s="891">
        <f>SUM(S4:S53)</f>
        <v>290827097.41975713</v>
      </c>
      <c r="S78" s="929">
        <f>COUNTIF(S4:S54,"&gt;0")</f>
        <v>10</v>
      </c>
      <c r="T78" s="70"/>
    </row>
    <row r="79" spans="3:20" s="85" customFormat="1" x14ac:dyDescent="0.6">
      <c r="C79" s="89"/>
      <c r="D79" s="174"/>
      <c r="E79" s="89"/>
      <c r="F79" s="174"/>
      <c r="I79" s="526"/>
      <c r="J79" s="156"/>
      <c r="K79" s="156"/>
      <c r="L79" s="156"/>
      <c r="M79" s="156"/>
      <c r="N79" s="156"/>
      <c r="O79" s="70"/>
      <c r="P79" s="17"/>
      <c r="Q79" s="1" t="s">
        <v>853</v>
      </c>
      <c r="R79" s="891">
        <f>SUM(T4:T53)</f>
        <v>-1178242114.147593</v>
      </c>
      <c r="S79" s="929">
        <f>COUNTIF(T4:T53,"&lt;0")</f>
        <v>27</v>
      </c>
      <c r="T79" s="70"/>
    </row>
    <row r="80" spans="3:20" s="1" customFormat="1" x14ac:dyDescent="0.6">
      <c r="C80" s="55"/>
      <c r="D80" s="96"/>
      <c r="E80" s="55"/>
      <c r="F80" s="96"/>
      <c r="G80" s="13"/>
      <c r="H80" s="13"/>
      <c r="I80" s="1441"/>
      <c r="J80" s="360"/>
      <c r="K80" s="360"/>
      <c r="L80" s="54"/>
      <c r="M80" s="54"/>
      <c r="N80" s="54"/>
      <c r="O80" s="17"/>
      <c r="P80" s="70"/>
      <c r="Q80" s="17"/>
      <c r="T80" s="17"/>
    </row>
    <row r="81" spans="3:20" s="1" customFormat="1" x14ac:dyDescent="0.6">
      <c r="C81" s="55"/>
      <c r="D81" s="96"/>
      <c r="E81" s="55"/>
      <c r="F81" s="96"/>
      <c r="G81" s="13"/>
      <c r="H81" s="13"/>
      <c r="I81" s="1441"/>
      <c r="J81" s="360"/>
      <c r="K81" s="360"/>
      <c r="T81" s="17"/>
    </row>
    <row r="82" spans="3:20" s="1" customFormat="1" x14ac:dyDescent="0.6">
      <c r="C82" s="89"/>
      <c r="D82" s="174"/>
      <c r="E82" s="89"/>
      <c r="F82" s="174"/>
      <c r="G82" s="21"/>
      <c r="H82" s="21"/>
      <c r="I82" s="1445"/>
      <c r="J82" s="54"/>
      <c r="K82" s="54"/>
      <c r="T82" s="17"/>
    </row>
    <row r="83" spans="3:20" s="1" customFormat="1" x14ac:dyDescent="0.6">
      <c r="C83" s="55"/>
      <c r="D83" s="96"/>
      <c r="E83" s="55"/>
      <c r="F83" s="96"/>
      <c r="G83" s="13"/>
      <c r="H83" s="13"/>
      <c r="I83" s="1441"/>
      <c r="J83" s="54"/>
      <c r="K83" s="54"/>
      <c r="T83" s="17"/>
    </row>
    <row r="84" spans="3:20" s="1" customFormat="1" x14ac:dyDescent="0.6">
      <c r="C84" s="55"/>
      <c r="D84" s="96"/>
      <c r="E84" s="55"/>
      <c r="F84" s="96"/>
      <c r="G84" s="13"/>
      <c r="H84" s="13"/>
      <c r="I84" s="1441"/>
      <c r="J84" s="54"/>
      <c r="K84" s="54"/>
      <c r="T84" s="17"/>
    </row>
    <row r="85" spans="3:20" s="1" customFormat="1" x14ac:dyDescent="0.6">
      <c r="C85" s="55"/>
      <c r="D85" s="96"/>
      <c r="E85" s="55"/>
      <c r="F85" s="96"/>
      <c r="G85" s="13"/>
      <c r="H85" s="13"/>
      <c r="I85" s="1441"/>
      <c r="J85" s="54"/>
      <c r="K85" s="54"/>
      <c r="T85" s="17"/>
    </row>
    <row r="86" spans="3:20" s="1" customFormat="1" x14ac:dyDescent="0.6">
      <c r="C86" s="55"/>
      <c r="D86" s="96"/>
      <c r="E86" s="55"/>
      <c r="F86" s="96"/>
      <c r="G86" s="13"/>
      <c r="H86" s="13"/>
      <c r="I86" s="1441"/>
      <c r="J86" s="54"/>
      <c r="K86" s="54"/>
      <c r="T86" s="17"/>
    </row>
    <row r="87" spans="3:20" s="1" customFormat="1" x14ac:dyDescent="0.6">
      <c r="C87" s="55"/>
      <c r="D87" s="96"/>
      <c r="E87" s="55"/>
      <c r="F87" s="96"/>
      <c r="G87" s="13"/>
      <c r="H87" s="13"/>
      <c r="I87" s="1441"/>
      <c r="J87" s="54"/>
      <c r="K87" s="54"/>
      <c r="T87" s="17"/>
    </row>
    <row r="88" spans="3:20" s="1" customFormat="1" x14ac:dyDescent="0.6">
      <c r="C88" s="55"/>
      <c r="D88" s="96"/>
      <c r="E88" s="55"/>
      <c r="F88" s="96"/>
      <c r="G88" s="13"/>
      <c r="H88" s="13"/>
      <c r="I88" s="1441"/>
      <c r="J88" s="54"/>
      <c r="K88" s="54"/>
      <c r="T88" s="17"/>
    </row>
    <row r="89" spans="3:20" s="1" customFormat="1" x14ac:dyDescent="0.6">
      <c r="C89" s="55"/>
      <c r="D89" s="96"/>
      <c r="E89" s="55"/>
      <c r="F89" s="96"/>
      <c r="G89" s="13"/>
      <c r="H89" s="13"/>
      <c r="I89" s="1441"/>
      <c r="J89" s="54"/>
      <c r="K89" s="54"/>
      <c r="T89" s="17"/>
    </row>
    <row r="90" spans="3:20" s="1" customFormat="1" x14ac:dyDescent="0.6">
      <c r="C90" s="55"/>
      <c r="D90" s="96"/>
      <c r="E90" s="55"/>
      <c r="F90" s="96"/>
      <c r="G90" s="13"/>
      <c r="H90" s="13"/>
      <c r="I90" s="1441"/>
      <c r="J90" s="54"/>
      <c r="K90" s="54"/>
      <c r="T90" s="17"/>
    </row>
    <row r="91" spans="3:20" s="1" customFormat="1" x14ac:dyDescent="0.6">
      <c r="C91" s="55"/>
      <c r="D91" s="96"/>
      <c r="E91" s="55"/>
      <c r="F91" s="96"/>
      <c r="G91" s="13"/>
      <c r="H91" s="13"/>
      <c r="I91" s="1441"/>
      <c r="J91" s="54"/>
      <c r="K91" s="54"/>
      <c r="T91" s="17"/>
    </row>
    <row r="92" spans="3:20" s="1" customFormat="1" x14ac:dyDescent="0.6">
      <c r="C92" s="55"/>
      <c r="D92" s="96"/>
      <c r="E92" s="55"/>
      <c r="F92" s="96"/>
      <c r="G92" s="13"/>
      <c r="H92" s="13"/>
      <c r="I92" s="1441"/>
      <c r="J92" s="54"/>
      <c r="K92" s="54"/>
      <c r="T92" s="17"/>
    </row>
    <row r="93" spans="3:20" s="1" customFormat="1" x14ac:dyDescent="0.6">
      <c r="C93" s="55"/>
      <c r="D93" s="96"/>
      <c r="E93" s="55"/>
      <c r="F93" s="96"/>
      <c r="G93" s="13"/>
      <c r="H93" s="13"/>
      <c r="I93" s="1441"/>
      <c r="J93" s="54"/>
      <c r="K93" s="54"/>
      <c r="T93" s="17"/>
    </row>
    <row r="94" spans="3:20" s="1" customFormat="1" x14ac:dyDescent="0.6">
      <c r="C94" s="55"/>
      <c r="D94" s="96"/>
      <c r="E94" s="55"/>
      <c r="F94" s="96"/>
      <c r="G94" s="13"/>
      <c r="H94" s="13"/>
      <c r="I94" s="1441"/>
      <c r="J94" s="54"/>
      <c r="K94" s="54"/>
      <c r="T94" s="17"/>
    </row>
    <row r="95" spans="3:20" s="1" customFormat="1" x14ac:dyDescent="0.6">
      <c r="C95" s="55"/>
      <c r="D95" s="96"/>
      <c r="E95" s="55"/>
      <c r="F95" s="96"/>
      <c r="G95" s="13"/>
      <c r="H95" s="13"/>
      <c r="I95" s="1441"/>
      <c r="J95" s="54"/>
      <c r="K95" s="54"/>
      <c r="T95" s="17"/>
    </row>
    <row r="96" spans="3:20" s="1" customFormat="1" x14ac:dyDescent="0.6">
      <c r="C96" s="55"/>
      <c r="D96" s="96"/>
      <c r="E96" s="55"/>
      <c r="F96" s="96"/>
      <c r="G96" s="13"/>
      <c r="H96" s="13"/>
      <c r="I96" s="1441"/>
      <c r="J96" s="54"/>
      <c r="K96" s="54"/>
      <c r="T96" s="17"/>
    </row>
    <row r="97" spans="3:20" s="1" customFormat="1" x14ac:dyDescent="0.6">
      <c r="C97" s="55"/>
      <c r="D97" s="96"/>
      <c r="E97" s="55"/>
      <c r="F97" s="96"/>
      <c r="G97" s="13"/>
      <c r="H97" s="13"/>
      <c r="I97" s="1441"/>
      <c r="T97" s="17"/>
    </row>
    <row r="98" spans="3:20" s="1" customFormat="1" x14ac:dyDescent="0.6">
      <c r="C98" s="55"/>
      <c r="D98" s="96"/>
      <c r="E98" s="55"/>
      <c r="F98" s="96"/>
      <c r="G98" s="13"/>
      <c r="H98" s="13"/>
      <c r="I98" s="1441"/>
      <c r="T98" s="17"/>
    </row>
    <row r="99" spans="3:20" s="1" customFormat="1" x14ac:dyDescent="0.6">
      <c r="C99" s="89"/>
      <c r="D99" s="174"/>
      <c r="E99" s="89"/>
      <c r="F99" s="174"/>
      <c r="G99" s="21"/>
      <c r="H99" s="21"/>
      <c r="I99" s="1445"/>
      <c r="T99" s="17"/>
    </row>
    <row r="100" spans="3:20" s="1" customFormat="1" x14ac:dyDescent="0.6">
      <c r="C100" s="55"/>
      <c r="D100" s="96"/>
      <c r="E100" s="55"/>
      <c r="F100" s="96"/>
      <c r="G100" s="13"/>
      <c r="H100" s="13"/>
      <c r="I100" s="1441"/>
      <c r="T100" s="17"/>
    </row>
    <row r="101" spans="3:20" s="1" customFormat="1" x14ac:dyDescent="0.6">
      <c r="C101" s="89"/>
      <c r="D101" s="174"/>
      <c r="E101" s="89"/>
      <c r="F101" s="174"/>
      <c r="G101" s="21"/>
      <c r="H101" s="21"/>
      <c r="I101" s="1445"/>
      <c r="T101" s="17"/>
    </row>
    <row r="102" spans="3:20" s="1" customFormat="1" x14ac:dyDescent="0.6">
      <c r="C102" s="55"/>
      <c r="D102" s="96"/>
      <c r="E102" s="55"/>
      <c r="F102" s="96"/>
      <c r="G102" s="13"/>
      <c r="H102" s="13"/>
      <c r="I102" s="1441"/>
      <c r="T102" s="17"/>
    </row>
    <row r="103" spans="3:20" s="1" customFormat="1" x14ac:dyDescent="0.6">
      <c r="C103" s="55"/>
      <c r="D103" s="96"/>
      <c r="E103" s="55"/>
      <c r="F103" s="96"/>
      <c r="G103" s="13"/>
      <c r="H103" s="13"/>
      <c r="I103" s="1441"/>
      <c r="T103" s="17"/>
    </row>
    <row r="104" spans="3:20" s="1" customFormat="1" x14ac:dyDescent="0.6">
      <c r="C104" s="55"/>
      <c r="D104" s="96"/>
      <c r="E104" s="55"/>
      <c r="F104" s="96"/>
      <c r="G104" s="13"/>
      <c r="H104" s="13"/>
      <c r="I104" s="1441"/>
      <c r="T104" s="17"/>
    </row>
    <row r="105" spans="3:20" s="1" customFormat="1" x14ac:dyDescent="0.6">
      <c r="C105" s="55"/>
      <c r="D105" s="96"/>
      <c r="E105" s="55"/>
      <c r="F105" s="96"/>
      <c r="G105" s="13"/>
      <c r="H105" s="13"/>
      <c r="I105" s="1441"/>
      <c r="T105" s="17"/>
    </row>
    <row r="106" spans="3:20" s="1" customFormat="1" x14ac:dyDescent="0.6">
      <c r="C106" s="55"/>
      <c r="D106" s="96"/>
      <c r="E106" s="55"/>
      <c r="F106" s="96"/>
      <c r="G106" s="13"/>
      <c r="H106" s="13"/>
      <c r="I106" s="1441"/>
      <c r="T106" s="17"/>
    </row>
    <row r="107" spans="3:20" s="1" customFormat="1" x14ac:dyDescent="0.6">
      <c r="C107" s="89"/>
      <c r="D107" s="174"/>
      <c r="E107" s="89"/>
      <c r="F107" s="174"/>
      <c r="G107" s="21"/>
      <c r="H107" s="21"/>
      <c r="I107" s="1445"/>
      <c r="T107" s="17"/>
    </row>
    <row r="108" spans="3:20" s="1" customFormat="1" x14ac:dyDescent="0.6">
      <c r="C108" s="55"/>
      <c r="D108" s="96"/>
      <c r="E108" s="55"/>
      <c r="F108" s="96"/>
      <c r="G108" s="13"/>
      <c r="H108" s="13"/>
      <c r="I108" s="1441"/>
      <c r="T108" s="17"/>
    </row>
    <row r="109" spans="3:20" s="1" customFormat="1" x14ac:dyDescent="0.6">
      <c r="C109" s="55"/>
      <c r="D109" s="96"/>
      <c r="E109" s="55"/>
      <c r="F109" s="96"/>
      <c r="G109" s="13"/>
      <c r="H109" s="13"/>
      <c r="I109" s="1441"/>
      <c r="T109" s="17"/>
    </row>
    <row r="110" spans="3:20" s="1" customFormat="1" x14ac:dyDescent="0.6">
      <c r="C110" s="55"/>
      <c r="D110" s="96"/>
      <c r="E110" s="55"/>
      <c r="F110" s="96"/>
      <c r="G110" s="13"/>
      <c r="H110" s="13"/>
      <c r="I110" s="1441"/>
      <c r="T110" s="17"/>
    </row>
    <row r="111" spans="3:20" s="1" customFormat="1" x14ac:dyDescent="0.6">
      <c r="C111" s="89"/>
      <c r="D111" s="174"/>
      <c r="E111" s="89"/>
      <c r="F111" s="174"/>
      <c r="G111" s="21"/>
      <c r="H111" s="21"/>
      <c r="I111" s="1445"/>
      <c r="T111" s="17"/>
    </row>
    <row r="112" spans="3:20" s="1" customFormat="1" x14ac:dyDescent="0.6">
      <c r="C112" s="55"/>
      <c r="D112" s="96"/>
      <c r="E112" s="55"/>
      <c r="F112" s="96"/>
      <c r="G112" s="13"/>
      <c r="H112" s="13"/>
      <c r="I112" s="1441"/>
      <c r="T112" s="17"/>
    </row>
    <row r="113" spans="3:20" s="1" customFormat="1" x14ac:dyDescent="0.6">
      <c r="C113" s="55"/>
      <c r="D113" s="96"/>
      <c r="E113" s="55"/>
      <c r="F113" s="96"/>
      <c r="G113" s="13"/>
      <c r="H113" s="13"/>
      <c r="I113" s="1441"/>
      <c r="T113" s="17"/>
    </row>
    <row r="114" spans="3:20" s="1" customFormat="1" x14ac:dyDescent="0.6">
      <c r="C114" s="55"/>
      <c r="D114" s="96"/>
      <c r="E114" s="55"/>
      <c r="F114" s="96"/>
      <c r="G114" s="13"/>
      <c r="H114" s="13"/>
      <c r="I114" s="1441"/>
      <c r="T114" s="17"/>
    </row>
    <row r="115" spans="3:20" s="1" customFormat="1" x14ac:dyDescent="0.6">
      <c r="C115" s="55"/>
      <c r="D115" s="96"/>
      <c r="E115" s="55"/>
      <c r="F115" s="96"/>
      <c r="G115" s="13"/>
      <c r="H115" s="13"/>
      <c r="I115" s="1441"/>
      <c r="T115" s="17"/>
    </row>
    <row r="116" spans="3:20" s="1" customFormat="1" x14ac:dyDescent="0.6">
      <c r="C116" s="55"/>
      <c r="D116" s="96"/>
      <c r="E116" s="55"/>
      <c r="F116" s="96"/>
      <c r="G116" s="13"/>
      <c r="H116" s="13"/>
      <c r="I116" s="1441"/>
      <c r="T116" s="17"/>
    </row>
    <row r="117" spans="3:20" s="1" customFormat="1" x14ac:dyDescent="0.6">
      <c r="C117" s="89"/>
      <c r="D117" s="174"/>
      <c r="E117" s="89"/>
      <c r="F117" s="174"/>
      <c r="G117" s="21"/>
      <c r="H117" s="21"/>
      <c r="I117" s="1445"/>
      <c r="T117" s="17"/>
    </row>
    <row r="118" spans="3:20" s="1" customFormat="1" x14ac:dyDescent="0.6">
      <c r="C118" s="55"/>
      <c r="D118" s="96"/>
      <c r="E118" s="55"/>
      <c r="F118" s="96"/>
      <c r="G118" s="13"/>
      <c r="H118" s="13"/>
      <c r="I118" s="1441"/>
      <c r="T118" s="17"/>
    </row>
    <row r="119" spans="3:20" s="1" customFormat="1" x14ac:dyDescent="0.6">
      <c r="C119" s="55"/>
      <c r="D119" s="96"/>
      <c r="E119" s="55"/>
      <c r="F119" s="96"/>
      <c r="G119" s="13"/>
      <c r="H119" s="13"/>
      <c r="I119" s="1441"/>
      <c r="T119" s="17"/>
    </row>
  </sheetData>
  <sortState xmlns:xlrd2="http://schemas.microsoft.com/office/spreadsheetml/2017/richdata2" ref="C65:D74">
    <sortCondition descending="1" ref="D65:D74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84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19.84765625" style="1" customWidth="1"/>
    <col min="3" max="3" width="11.59765625" style="21" bestFit="1" customWidth="1"/>
    <col min="4" max="4" width="19" style="13" bestFit="1" customWidth="1"/>
    <col min="5" max="5" width="10.5" style="55" customWidth="1"/>
    <col min="6" max="6" width="11" style="7" bestFit="1" customWidth="1"/>
    <col min="7" max="7" width="10.34765625" style="7" bestFit="1" customWidth="1"/>
    <col min="8" max="8" width="11" style="27" customWidth="1"/>
    <col min="9" max="9" width="11" style="226" customWidth="1"/>
    <col min="10" max="10" width="13.59765625" style="5" customWidth="1"/>
    <col min="11" max="11" width="12.34765625" style="55" customWidth="1"/>
    <col min="12" max="12" width="9.5" style="28" customWidth="1"/>
    <col min="13" max="15" width="9.5" style="10" customWidth="1"/>
    <col min="16" max="16" width="15" style="17" bestFit="1" customWidth="1"/>
    <col min="17" max="17" width="9.5" style="271" customWidth="1"/>
    <col min="18" max="18" width="15.84765625" style="271" customWidth="1"/>
    <col min="19" max="19" width="9.5" style="10" customWidth="1"/>
    <col min="20" max="20" width="14" style="70" bestFit="1" customWidth="1"/>
    <col min="21" max="21" width="15" style="57" bestFit="1" customWidth="1"/>
    <col min="22" max="22" width="14" style="17" bestFit="1" customWidth="1"/>
    <col min="23" max="23" width="14" style="276" bestFit="1" customWidth="1"/>
    <col min="24" max="24" width="14" style="10" bestFit="1" customWidth="1"/>
    <col min="25" max="25" width="17.5" style="17" bestFit="1" customWidth="1"/>
    <col min="26" max="16384" width="10.84765625" style="1"/>
  </cols>
  <sheetData>
    <row r="1" spans="1:25" x14ac:dyDescent="0.6">
      <c r="A1" s="24" t="s">
        <v>1492</v>
      </c>
      <c r="C1" s="74" t="s">
        <v>855</v>
      </c>
      <c r="E1" s="107"/>
      <c r="K1" s="10"/>
      <c r="S1" s="10">
        <f>SMALL(S6:S34,1)</f>
        <v>0</v>
      </c>
    </row>
    <row r="2" spans="1:25" s="2" customFormat="1" x14ac:dyDescent="0.6">
      <c r="A2" s="24" t="s">
        <v>196</v>
      </c>
      <c r="C2" s="64" t="s">
        <v>24</v>
      </c>
      <c r="D2" s="14" t="s">
        <v>25</v>
      </c>
      <c r="E2" s="56"/>
      <c r="F2" s="8"/>
      <c r="G2" s="8" t="s">
        <v>128</v>
      </c>
      <c r="H2" s="481" t="s">
        <v>638</v>
      </c>
      <c r="I2" s="11" t="s">
        <v>638</v>
      </c>
      <c r="J2" s="6" t="s">
        <v>627</v>
      </c>
      <c r="K2" s="102" t="s">
        <v>636</v>
      </c>
      <c r="L2" s="71" t="s">
        <v>194</v>
      </c>
      <c r="M2" s="332" t="s">
        <v>194</v>
      </c>
      <c r="N2" s="11" t="s">
        <v>194</v>
      </c>
      <c r="O2" s="11" t="s">
        <v>650</v>
      </c>
      <c r="P2" s="18" t="s">
        <v>397</v>
      </c>
      <c r="Q2" s="272" t="s">
        <v>881</v>
      </c>
      <c r="R2" s="272" t="s">
        <v>1747</v>
      </c>
      <c r="S2" s="11" t="s">
        <v>881</v>
      </c>
      <c r="T2" s="114"/>
      <c r="U2" s="58" t="s">
        <v>114</v>
      </c>
      <c r="V2" s="18" t="s">
        <v>42</v>
      </c>
      <c r="W2" s="581"/>
      <c r="X2" s="11" t="s">
        <v>645</v>
      </c>
      <c r="Y2" s="18"/>
    </row>
    <row r="3" spans="1:25" s="2" customFormat="1" x14ac:dyDescent="0.6">
      <c r="C3" s="64" t="s">
        <v>112</v>
      </c>
      <c r="D3" s="14" t="s">
        <v>109</v>
      </c>
      <c r="E3" s="56" t="s">
        <v>41</v>
      </c>
      <c r="F3" s="8" t="s">
        <v>1620</v>
      </c>
      <c r="G3" s="8" t="s">
        <v>129</v>
      </c>
      <c r="H3" s="481" t="s">
        <v>649</v>
      </c>
      <c r="I3" s="11" t="s">
        <v>639</v>
      </c>
      <c r="J3" s="6" t="s">
        <v>648</v>
      </c>
      <c r="K3" s="102" t="s">
        <v>606</v>
      </c>
      <c r="L3" s="71" t="s">
        <v>84</v>
      </c>
      <c r="M3" s="332" t="s">
        <v>651</v>
      </c>
      <c r="N3" s="11" t="s">
        <v>652</v>
      </c>
      <c r="O3" s="11" t="s">
        <v>403</v>
      </c>
      <c r="P3" s="18" t="s">
        <v>85</v>
      </c>
      <c r="Q3" s="272" t="s">
        <v>79</v>
      </c>
      <c r="R3" s="272" t="s">
        <v>85</v>
      </c>
      <c r="S3" s="11" t="s">
        <v>198</v>
      </c>
      <c r="T3" s="114" t="s">
        <v>602</v>
      </c>
      <c r="U3" s="58" t="s">
        <v>76</v>
      </c>
      <c r="V3" s="18" t="s">
        <v>77</v>
      </c>
      <c r="W3" s="581" t="s">
        <v>34</v>
      </c>
      <c r="X3" s="11" t="s">
        <v>639</v>
      </c>
      <c r="Y3" s="18" t="s">
        <v>642</v>
      </c>
    </row>
    <row r="4" spans="1:25" x14ac:dyDescent="0.6">
      <c r="A4" s="61">
        <v>1</v>
      </c>
      <c r="B4" s="44" t="s">
        <v>37</v>
      </c>
      <c r="C4" s="290">
        <v>3419612</v>
      </c>
      <c r="D4" s="345">
        <f>C4*Assumptions!$C$48</f>
        <v>25953339404.978752</v>
      </c>
      <c r="E4" s="399">
        <v>1</v>
      </c>
      <c r="F4" s="33">
        <f>Assumptions!$C$46</f>
        <v>7.5895567698846396</v>
      </c>
      <c r="G4" s="297">
        <f>Assumptions!$C$63</f>
        <v>27.295999999999999</v>
      </c>
      <c r="H4" s="389"/>
      <c r="I4" s="973">
        <f>'State NG Comm'!Q64</f>
        <v>0.91407090489776111</v>
      </c>
      <c r="J4" s="452"/>
      <c r="K4" s="306">
        <f>'State NG Res'!V61</f>
        <v>0</v>
      </c>
      <c r="L4" s="322"/>
      <c r="M4" s="482"/>
      <c r="N4" s="320"/>
      <c r="O4" s="320">
        <f>N4+M4</f>
        <v>0</v>
      </c>
      <c r="P4" s="847">
        <f>'State NG Comm'!Q61*D4</f>
        <v>1672384998.4452329</v>
      </c>
      <c r="Q4" s="1460">
        <f>'State NG Comm'!Q60</f>
        <v>6.2282492771945121E-2</v>
      </c>
      <c r="R4" s="1047">
        <f>Q4*D4</f>
        <v>1616438673.8984277</v>
      </c>
      <c r="S4" s="968">
        <f>'State NG Comm'!Q62</f>
        <v>-2.1556503259103784E-3</v>
      </c>
      <c r="T4" s="366">
        <f>S4*D4</f>
        <v>-55946324.546805114</v>
      </c>
      <c r="U4" s="336">
        <f>-'OECD NG subsidies'!E3</f>
        <v>0</v>
      </c>
      <c r="V4" s="342">
        <f>U4*E4</f>
        <v>0</v>
      </c>
      <c r="W4" s="849">
        <f>T4+V4</f>
        <v>-55946324.546805114</v>
      </c>
      <c r="X4" s="320">
        <f>'State NG Comm'!Q65</f>
        <v>0.97635339766970619</v>
      </c>
      <c r="Y4" s="342">
        <f>X4*D4+W4</f>
        <v>25283684784.379269</v>
      </c>
    </row>
    <row r="5" spans="1:25" s="2" customFormat="1" x14ac:dyDescent="0.6">
      <c r="A5" s="46"/>
      <c r="B5" s="40" t="s">
        <v>35</v>
      </c>
      <c r="C5" s="356"/>
      <c r="D5" s="346"/>
      <c r="E5" s="418"/>
      <c r="F5" s="29"/>
      <c r="G5" s="298"/>
      <c r="H5" s="385"/>
      <c r="I5" s="974"/>
      <c r="J5" s="456"/>
      <c r="K5" s="977"/>
      <c r="L5" s="315"/>
      <c r="M5" s="316"/>
      <c r="N5" s="316"/>
      <c r="O5" s="316"/>
      <c r="P5" s="343"/>
      <c r="Q5" s="1051"/>
      <c r="R5" s="1052"/>
      <c r="S5" s="311"/>
      <c r="T5" s="367"/>
      <c r="U5" s="338"/>
      <c r="V5" s="343"/>
      <c r="W5" s="850"/>
      <c r="X5" s="316"/>
      <c r="Y5" s="343"/>
    </row>
    <row r="6" spans="1:25" x14ac:dyDescent="0.6">
      <c r="A6" s="46">
        <f>A4+1</f>
        <v>2</v>
      </c>
      <c r="B6" s="44" t="s">
        <v>0</v>
      </c>
      <c r="C6" s="290">
        <v>78499</v>
      </c>
      <c r="D6" s="345">
        <f>C6*Assumptions!$C$48</f>
        <v>595772616.87917435</v>
      </c>
      <c r="E6" s="391">
        <f>Assumptions!$H$3</f>
        <v>1.1863330000000001</v>
      </c>
      <c r="F6" s="33">
        <f>Assumptions!$C$46</f>
        <v>7.5895567698846396</v>
      </c>
      <c r="G6" s="297">
        <f>Assumptions!$C$63</f>
        <v>27.295999999999999</v>
      </c>
      <c r="H6" s="384">
        <v>47.8</v>
      </c>
      <c r="I6" s="973">
        <f t="shared" ref="I6:I14" si="0">H6/G6*E6</f>
        <v>2.0774735272567413</v>
      </c>
      <c r="J6" s="434">
        <v>0</v>
      </c>
      <c r="K6" s="286">
        <f>J6*E6/G6</f>
        <v>0</v>
      </c>
      <c r="L6" s="325">
        <v>0.21</v>
      </c>
      <c r="M6" s="281">
        <f>L6*I6</f>
        <v>0.43626944072391566</v>
      </c>
      <c r="N6" s="281">
        <f>L6*K6</f>
        <v>0</v>
      </c>
      <c r="O6" s="281">
        <f>N6+M6</f>
        <v>0.43626944072391566</v>
      </c>
      <c r="P6" s="342">
        <f>M6*D6</f>
        <v>259917386.36450106</v>
      </c>
      <c r="Q6" s="1053">
        <f t="shared" ref="Q6:Q41" si="1">K6+O6</f>
        <v>0.43626944072391566</v>
      </c>
      <c r="R6" s="1047">
        <f t="shared" ref="R6:R65" si="2">Q6*D6</f>
        <v>259917386.36450106</v>
      </c>
      <c r="S6" s="268">
        <f>N6+K6</f>
        <v>0</v>
      </c>
      <c r="T6" s="366">
        <f t="shared" ref="T6:T26" si="3">D6*S6</f>
        <v>0</v>
      </c>
      <c r="U6" s="336">
        <f>-'OECD NG subsidies'!E95</f>
        <v>0</v>
      </c>
      <c r="V6" s="342">
        <f t="shared" ref="V6:V26" si="4">U6*E6</f>
        <v>0</v>
      </c>
      <c r="W6" s="849">
        <f t="shared" ref="W6:W26" si="5">T6+V6</f>
        <v>0</v>
      </c>
      <c r="X6" s="281">
        <f>(I6+K6)*(1+L6)</f>
        <v>2.5137429679806567</v>
      </c>
      <c r="Y6" s="342">
        <f>X6*D6+V6</f>
        <v>1497619226.1954584</v>
      </c>
    </row>
    <row r="7" spans="1:25" x14ac:dyDescent="0.6">
      <c r="A7" s="46">
        <f>A6+1</f>
        <v>3</v>
      </c>
      <c r="B7" s="44" t="s">
        <v>1</v>
      </c>
      <c r="C7" s="290">
        <v>45687</v>
      </c>
      <c r="D7" s="345">
        <f>C7*Assumptions!$C$48</f>
        <v>346744080.14571953</v>
      </c>
      <c r="E7" s="391">
        <f>Assumptions!$H$15</f>
        <v>4.5997000000000003E-2</v>
      </c>
      <c r="F7" s="33">
        <f>Assumptions!$C$46</f>
        <v>7.5895567698846396</v>
      </c>
      <c r="G7" s="297">
        <f>Assumptions!$C$63</f>
        <v>27.295999999999999</v>
      </c>
      <c r="H7" s="387">
        <v>1361.1</v>
      </c>
      <c r="I7" s="973">
        <f t="shared" si="0"/>
        <v>2.2936150608147714</v>
      </c>
      <c r="J7" s="428">
        <v>0.85</v>
      </c>
      <c r="K7" s="286">
        <f t="shared" ref="K7:K38" si="6">J7*E7/G7</f>
        <v>1.4323508939038687E-3</v>
      </c>
      <c r="L7" s="325">
        <v>0.21</v>
      </c>
      <c r="M7" s="281">
        <f t="shared" ref="M7:M39" si="7">L7*I7</f>
        <v>0.48165916277110199</v>
      </c>
      <c r="N7" s="281">
        <f t="shared" ref="N7:N39" si="8">L7*K7</f>
        <v>3.007936877198124E-4</v>
      </c>
      <c r="O7" s="281">
        <f t="shared" ref="O7:O39" si="9">N7+M7</f>
        <v>0.48195995645882178</v>
      </c>
      <c r="P7" s="342">
        <f t="shared" ref="P7:P39" si="10">M7*D7</f>
        <v>167012463.33882317</v>
      </c>
      <c r="Q7" s="1053">
        <f t="shared" si="1"/>
        <v>0.48339230735272565</v>
      </c>
      <c r="R7" s="1047">
        <f t="shared" si="2"/>
        <v>167613420.9625378</v>
      </c>
      <c r="S7" s="268">
        <f t="shared" ref="S7:S39" si="11">N7+K7</f>
        <v>1.7331445816236811E-3</v>
      </c>
      <c r="T7" s="366">
        <f t="shared" si="3"/>
        <v>600957.6237146412</v>
      </c>
      <c r="U7" s="336">
        <f>-'OECD NG subsidies'!E103</f>
        <v>0</v>
      </c>
      <c r="V7" s="342">
        <f t="shared" si="4"/>
        <v>0</v>
      </c>
      <c r="W7" s="849">
        <f t="shared" si="5"/>
        <v>600957.6237146412</v>
      </c>
      <c r="X7" s="281">
        <f t="shared" ref="X7:X65" si="12">(I7+K7)*(1+L7)</f>
        <v>2.7770073681674972</v>
      </c>
      <c r="Y7" s="342">
        <f t="shared" ref="Y7:Y39" si="13">X7*D7+V7</f>
        <v>962910865.4331243</v>
      </c>
    </row>
    <row r="8" spans="1:25" x14ac:dyDescent="0.6">
      <c r="A8" s="46">
        <f t="shared" ref="A8:A26" si="14">A7+1</f>
        <v>4</v>
      </c>
      <c r="B8" s="44" t="s">
        <v>2</v>
      </c>
      <c r="C8" s="290">
        <v>8125</v>
      </c>
      <c r="D8" s="345">
        <f>C8*Assumptions!$C$48</f>
        <v>61665148.755312696</v>
      </c>
      <c r="E8" s="391">
        <f>Assumptions!$H$16</f>
        <v>0.15934999999999999</v>
      </c>
      <c r="F8" s="33">
        <f>Assumptions!$C$46</f>
        <v>7.5895567698846396</v>
      </c>
      <c r="G8" s="297">
        <f>Assumptions!$C$63</f>
        <v>27.295999999999999</v>
      </c>
      <c r="H8" s="1437">
        <v>251.2</v>
      </c>
      <c r="I8" s="973">
        <f t="shared" si="0"/>
        <v>1.4664683470105511</v>
      </c>
      <c r="J8" s="1438">
        <v>14.1</v>
      </c>
      <c r="K8" s="286">
        <f t="shared" si="6"/>
        <v>8.2313708968347013E-2</v>
      </c>
      <c r="L8" s="325">
        <v>0.25</v>
      </c>
      <c r="M8" s="281">
        <f t="shared" si="7"/>
        <v>0.36661708675263777</v>
      </c>
      <c r="N8" s="281">
        <f t="shared" si="8"/>
        <v>2.0578427242086753E-2</v>
      </c>
      <c r="O8" s="281">
        <f t="shared" si="9"/>
        <v>0.38719551399472452</v>
      </c>
      <c r="P8" s="342">
        <f t="shared" si="10"/>
        <v>22607497.190840788</v>
      </c>
      <c r="Q8" s="1053">
        <f t="shared" si="1"/>
        <v>0.46950922296307152</v>
      </c>
      <c r="R8" s="1047">
        <f t="shared" si="2"/>
        <v>28952356.07600908</v>
      </c>
      <c r="S8" s="268">
        <f t="shared" si="11"/>
        <v>0.10289213621043376</v>
      </c>
      <c r="T8" s="366">
        <f t="shared" si="3"/>
        <v>6344858.8851682935</v>
      </c>
      <c r="U8" s="336">
        <f>-'OECD NG subsidies'!E105</f>
        <v>0</v>
      </c>
      <c r="V8" s="342">
        <f t="shared" si="4"/>
        <v>0</v>
      </c>
      <c r="W8" s="849">
        <f t="shared" si="5"/>
        <v>6344858.8851682935</v>
      </c>
      <c r="X8" s="281">
        <f t="shared" si="12"/>
        <v>1.9359775699736226</v>
      </c>
      <c r="Y8" s="342">
        <f t="shared" si="13"/>
        <v>119382344.83937223</v>
      </c>
    </row>
    <row r="9" spans="1:25" x14ac:dyDescent="0.6">
      <c r="A9" s="46">
        <f t="shared" si="14"/>
        <v>5</v>
      </c>
      <c r="B9" s="44" t="s">
        <v>3</v>
      </c>
      <c r="C9" s="290">
        <v>485504</v>
      </c>
      <c r="D9" s="345">
        <f>C9*Assumptions!$C$48</f>
        <v>3684760170.006072</v>
      </c>
      <c r="E9" s="391">
        <f>Assumptions!$H$3</f>
        <v>1.1863330000000001</v>
      </c>
      <c r="F9" s="33">
        <f>Assumptions!$C$46</f>
        <v>7.5895567698846396</v>
      </c>
      <c r="G9" s="297">
        <f>Assumptions!$C$63</f>
        <v>27.295999999999999</v>
      </c>
      <c r="H9" s="384">
        <v>53.91</v>
      </c>
      <c r="I9" s="973">
        <f t="shared" si="0"/>
        <v>2.3430250597157092</v>
      </c>
      <c r="J9" s="427">
        <v>3.86</v>
      </c>
      <c r="K9" s="286">
        <f t="shared" si="6"/>
        <v>0.16776250659437283</v>
      </c>
      <c r="L9" s="325">
        <v>0.19</v>
      </c>
      <c r="M9" s="281">
        <f t="shared" si="7"/>
        <v>0.44517476134598477</v>
      </c>
      <c r="N9" s="281">
        <f t="shared" si="8"/>
        <v>3.1874876252930839E-2</v>
      </c>
      <c r="O9" s="281">
        <f t="shared" si="9"/>
        <v>0.47704963759891561</v>
      </c>
      <c r="P9" s="342">
        <f t="shared" si="10"/>
        <v>1640362229.2996433</v>
      </c>
      <c r="Q9" s="1053">
        <f t="shared" si="1"/>
        <v>0.64481214419328847</v>
      </c>
      <c r="R9" s="1047">
        <f t="shared" si="2"/>
        <v>2375978106.0596414</v>
      </c>
      <c r="S9" s="268">
        <f t="shared" si="11"/>
        <v>0.19963738284730367</v>
      </c>
      <c r="T9" s="366">
        <f t="shared" si="3"/>
        <v>735615876.75999796</v>
      </c>
      <c r="U9" s="336">
        <f>-'OECD NG subsidies'!E110</f>
        <v>0</v>
      </c>
      <c r="V9" s="342">
        <f t="shared" si="4"/>
        <v>0</v>
      </c>
      <c r="W9" s="849">
        <f t="shared" si="5"/>
        <v>735615876.75999796</v>
      </c>
      <c r="X9" s="281">
        <f t="shared" si="12"/>
        <v>2.9878372039089975</v>
      </c>
      <c r="Y9" s="342">
        <f t="shared" si="13"/>
        <v>11009463523.426186</v>
      </c>
    </row>
    <row r="10" spans="1:25" x14ac:dyDescent="0.6">
      <c r="A10" s="46">
        <f t="shared" si="14"/>
        <v>6</v>
      </c>
      <c r="B10" s="44" t="s">
        <v>4</v>
      </c>
      <c r="C10" s="290">
        <v>3256</v>
      </c>
      <c r="D10" s="345">
        <f>C10*Assumptions!$C$48</f>
        <v>24711596.842744388</v>
      </c>
      <c r="E10" s="391">
        <f>Assumptions!$H$3</f>
        <v>1.1863330000000001</v>
      </c>
      <c r="F10" s="33">
        <f>Assumptions!$C$46</f>
        <v>7.5895567698846396</v>
      </c>
      <c r="G10" s="297">
        <f>Assumptions!$C$63</f>
        <v>27.295999999999999</v>
      </c>
      <c r="H10" s="384">
        <v>36.51</v>
      </c>
      <c r="I10" s="973">
        <f t="shared" si="0"/>
        <v>1.5867899263628371</v>
      </c>
      <c r="J10" s="427">
        <v>0</v>
      </c>
      <c r="K10" s="286">
        <f t="shared" si="6"/>
        <v>0</v>
      </c>
      <c r="L10" s="325">
        <v>0.2</v>
      </c>
      <c r="M10" s="281">
        <f t="shared" si="7"/>
        <v>0.31735798527256742</v>
      </c>
      <c r="N10" s="281">
        <f t="shared" si="8"/>
        <v>0</v>
      </c>
      <c r="O10" s="281">
        <f t="shared" si="9"/>
        <v>0.31735798527256742</v>
      </c>
      <c r="P10" s="342">
        <f t="shared" si="10"/>
        <v>7842422.5868812967</v>
      </c>
      <c r="Q10" s="1053">
        <f t="shared" si="1"/>
        <v>0.31735798527256742</v>
      </c>
      <c r="R10" s="1047">
        <f t="shared" si="2"/>
        <v>7842422.5868812967</v>
      </c>
      <c r="S10" s="268">
        <f t="shared" si="11"/>
        <v>0</v>
      </c>
      <c r="T10" s="366">
        <f t="shared" si="3"/>
        <v>0</v>
      </c>
      <c r="U10" s="336">
        <f>-'OECD NG subsidies'!E116</f>
        <v>0</v>
      </c>
      <c r="V10" s="342">
        <f t="shared" si="4"/>
        <v>0</v>
      </c>
      <c r="W10" s="849">
        <f t="shared" si="5"/>
        <v>0</v>
      </c>
      <c r="X10" s="281">
        <f t="shared" si="12"/>
        <v>1.9041479116354045</v>
      </c>
      <c r="Y10" s="342">
        <f t="shared" si="13"/>
        <v>47054535.521287784</v>
      </c>
    </row>
    <row r="11" spans="1:25" x14ac:dyDescent="0.6">
      <c r="A11" s="46">
        <f t="shared" si="14"/>
        <v>7</v>
      </c>
      <c r="B11" s="44" t="s">
        <v>5</v>
      </c>
      <c r="C11" s="290">
        <v>7710</v>
      </c>
      <c r="D11" s="345">
        <f>C11*Assumptions!$C$48</f>
        <v>58515482.695810571</v>
      </c>
      <c r="E11" s="391">
        <f>Assumptions!$H$3</f>
        <v>1.1863330000000001</v>
      </c>
      <c r="F11" s="33">
        <f>Assumptions!$C$46</f>
        <v>7.5895567698846396</v>
      </c>
      <c r="G11" s="297">
        <f>Assumptions!$C$63</f>
        <v>27.295999999999999</v>
      </c>
      <c r="H11" s="384">
        <v>62.96</v>
      </c>
      <c r="I11" s="973">
        <f t="shared" si="0"/>
        <v>2.7363542526377493</v>
      </c>
      <c r="J11" s="427">
        <v>1.5</v>
      </c>
      <c r="K11" s="286">
        <f t="shared" si="6"/>
        <v>6.5192683909730362E-2</v>
      </c>
      <c r="L11" s="325">
        <v>0.13</v>
      </c>
      <c r="M11" s="281">
        <f t="shared" si="7"/>
        <v>0.35572605284290743</v>
      </c>
      <c r="N11" s="281">
        <f t="shared" si="8"/>
        <v>8.4750489082649465E-3</v>
      </c>
      <c r="O11" s="281">
        <f t="shared" si="9"/>
        <v>0.36420110175117237</v>
      </c>
      <c r="P11" s="342">
        <f t="shared" si="10"/>
        <v>20815481.689578146</v>
      </c>
      <c r="Q11" s="1053">
        <f t="shared" si="1"/>
        <v>0.42939378566090275</v>
      </c>
      <c r="R11" s="1047">
        <f t="shared" si="2"/>
        <v>25126184.634529147</v>
      </c>
      <c r="S11" s="268">
        <f t="shared" si="11"/>
        <v>7.366773281799531E-2</v>
      </c>
      <c r="T11" s="366">
        <f t="shared" si="3"/>
        <v>4310702.9449510016</v>
      </c>
      <c r="U11" s="336">
        <f>-'OECD NG subsidies'!E119</f>
        <v>-6661523</v>
      </c>
      <c r="V11" s="342">
        <f t="shared" si="4"/>
        <v>-7902784.5651590005</v>
      </c>
      <c r="W11" s="849">
        <f t="shared" si="5"/>
        <v>-3592081.6202079989</v>
      </c>
      <c r="X11" s="281">
        <f t="shared" si="12"/>
        <v>3.1657480382986516</v>
      </c>
      <c r="Y11" s="342">
        <f t="shared" si="13"/>
        <v>177342489.98920202</v>
      </c>
    </row>
    <row r="12" spans="1:25" x14ac:dyDescent="0.6">
      <c r="A12" s="46">
        <f t="shared" si="14"/>
        <v>8</v>
      </c>
      <c r="B12" s="44" t="s">
        <v>6</v>
      </c>
      <c r="C12" s="290">
        <v>122808</v>
      </c>
      <c r="D12" s="345">
        <f>C12*Assumptions!$C$48</f>
        <v>932058287.79599285</v>
      </c>
      <c r="E12" s="391">
        <f>Assumptions!$H$3</f>
        <v>1.1863330000000001</v>
      </c>
      <c r="F12" s="33">
        <f>Assumptions!$C$46</f>
        <v>7.5895567698846396</v>
      </c>
      <c r="G12" s="297">
        <f>Assumptions!$C$63</f>
        <v>27.295999999999999</v>
      </c>
      <c r="H12" s="384">
        <v>62.42</v>
      </c>
      <c r="I12" s="973">
        <f t="shared" si="0"/>
        <v>2.7128848864302464</v>
      </c>
      <c r="J12" s="427">
        <v>1.1499999999999999</v>
      </c>
      <c r="K12" s="286">
        <f t="shared" si="6"/>
        <v>4.998105766412661E-2</v>
      </c>
      <c r="L12" s="325">
        <v>0.21</v>
      </c>
      <c r="M12" s="281">
        <f t="shared" si="7"/>
        <v>0.5697058261503517</v>
      </c>
      <c r="N12" s="281">
        <f t="shared" si="8"/>
        <v>1.0496022109466588E-2</v>
      </c>
      <c r="O12" s="281">
        <f t="shared" si="9"/>
        <v>0.58020184825981824</v>
      </c>
      <c r="P12" s="342">
        <f t="shared" si="10"/>
        <v>530999036.86909837</v>
      </c>
      <c r="Q12" s="1053">
        <f t="shared" si="1"/>
        <v>0.63018290592394488</v>
      </c>
      <c r="R12" s="1047">
        <f t="shared" si="2"/>
        <v>587367200.29377532</v>
      </c>
      <c r="S12" s="268">
        <f t="shared" si="11"/>
        <v>6.0477079773593199E-2</v>
      </c>
      <c r="T12" s="366">
        <f t="shared" si="3"/>
        <v>56368163.424676947</v>
      </c>
      <c r="U12" s="336">
        <f>-'OECD NG subsidies'!E125</f>
        <v>0</v>
      </c>
      <c r="V12" s="342">
        <f t="shared" si="4"/>
        <v>0</v>
      </c>
      <c r="W12" s="849">
        <f t="shared" si="5"/>
        <v>56368163.424676947</v>
      </c>
      <c r="X12" s="281">
        <f t="shared" si="12"/>
        <v>3.3430677923541912</v>
      </c>
      <c r="Y12" s="342">
        <f t="shared" si="13"/>
        <v>3115934042.5275774</v>
      </c>
    </row>
    <row r="13" spans="1:25" x14ac:dyDescent="0.6">
      <c r="A13" s="46">
        <f t="shared" si="14"/>
        <v>9</v>
      </c>
      <c r="B13" s="44" t="s">
        <v>7</v>
      </c>
      <c r="C13" s="290">
        <v>284519</v>
      </c>
      <c r="D13" s="345">
        <f>C13*Assumptions!$C$48</f>
        <v>2159373102.6108079</v>
      </c>
      <c r="E13" s="391">
        <f>Assumptions!$H$3</f>
        <v>1.1863330000000001</v>
      </c>
      <c r="F13" s="33">
        <f>Assumptions!$C$46</f>
        <v>7.5895567698846396</v>
      </c>
      <c r="G13" s="297">
        <f>Assumptions!$C$63</f>
        <v>27.295999999999999</v>
      </c>
      <c r="H13" s="384">
        <v>53.6</v>
      </c>
      <c r="I13" s="973">
        <f t="shared" si="0"/>
        <v>2.3295519050410318</v>
      </c>
      <c r="J13" s="427">
        <v>0</v>
      </c>
      <c r="K13" s="286">
        <f t="shared" si="6"/>
        <v>0</v>
      </c>
      <c r="L13" s="325">
        <v>0.2</v>
      </c>
      <c r="M13" s="281">
        <f t="shared" si="7"/>
        <v>0.46591038100820636</v>
      </c>
      <c r="N13" s="281">
        <f t="shared" si="8"/>
        <v>0</v>
      </c>
      <c r="O13" s="281">
        <f t="shared" si="9"/>
        <v>0.46591038100820636</v>
      </c>
      <c r="P13" s="342">
        <f t="shared" si="10"/>
        <v>1006074344.9762743</v>
      </c>
      <c r="Q13" s="1053">
        <f t="shared" si="1"/>
        <v>0.46591038100820636</v>
      </c>
      <c r="R13" s="1047">
        <f t="shared" si="2"/>
        <v>1006074344.9762743</v>
      </c>
      <c r="S13" s="268">
        <f t="shared" si="11"/>
        <v>0</v>
      </c>
      <c r="T13" s="366">
        <f t="shared" si="3"/>
        <v>0</v>
      </c>
      <c r="U13" s="336">
        <f>-'OECD NG subsidies'!E127</f>
        <v>0</v>
      </c>
      <c r="V13" s="342">
        <f t="shared" si="4"/>
        <v>0</v>
      </c>
      <c r="W13" s="849">
        <f t="shared" si="5"/>
        <v>0</v>
      </c>
      <c r="X13" s="281">
        <f t="shared" si="12"/>
        <v>2.7954622860492382</v>
      </c>
      <c r="Y13" s="342">
        <f t="shared" si="13"/>
        <v>6036446069.857645</v>
      </c>
    </row>
    <row r="14" spans="1:25" x14ac:dyDescent="0.6">
      <c r="A14" s="46">
        <f t="shared" si="14"/>
        <v>10</v>
      </c>
      <c r="B14" s="44" t="s">
        <v>8</v>
      </c>
      <c r="C14" s="290">
        <v>18532</v>
      </c>
      <c r="D14" s="345">
        <f>C14*Assumptions!$C$48</f>
        <v>140649666.05950215</v>
      </c>
      <c r="E14" s="391">
        <f>Assumptions!$H$3</f>
        <v>1.1863330000000001</v>
      </c>
      <c r="F14" s="33">
        <f>Assumptions!$C$46</f>
        <v>7.5895567698846396</v>
      </c>
      <c r="G14" s="297">
        <f>Assumptions!$C$63</f>
        <v>27.295999999999999</v>
      </c>
      <c r="H14" s="384">
        <v>59.96</v>
      </c>
      <c r="I14" s="973">
        <f t="shared" si="0"/>
        <v>2.6059688848182883</v>
      </c>
      <c r="J14" s="427">
        <v>1.03</v>
      </c>
      <c r="K14" s="286">
        <f t="shared" si="6"/>
        <v>4.4765642951348189E-2</v>
      </c>
      <c r="L14" s="325">
        <v>0.13500000000000001</v>
      </c>
      <c r="M14" s="281">
        <f t="shared" si="7"/>
        <v>0.35180579945046891</v>
      </c>
      <c r="N14" s="281">
        <f t="shared" si="8"/>
        <v>6.043361798432006E-3</v>
      </c>
      <c r="O14" s="281">
        <f t="shared" si="9"/>
        <v>0.35784916124890093</v>
      </c>
      <c r="P14" s="342">
        <f t="shared" si="10"/>
        <v>49481368.210504636</v>
      </c>
      <c r="Q14" s="1053">
        <f t="shared" si="1"/>
        <v>0.40261480420024909</v>
      </c>
      <c r="R14" s="1047">
        <f t="shared" si="2"/>
        <v>56627637.76137688</v>
      </c>
      <c r="S14" s="268">
        <f t="shared" si="11"/>
        <v>5.0809004749780194E-2</v>
      </c>
      <c r="T14" s="366">
        <f t="shared" si="3"/>
        <v>7146269.550872243</v>
      </c>
      <c r="U14" s="336">
        <f>-'OECD NG subsidies'!E141</f>
        <v>0</v>
      </c>
      <c r="V14" s="342">
        <f t="shared" si="4"/>
        <v>0</v>
      </c>
      <c r="W14" s="849">
        <f t="shared" si="5"/>
        <v>7146269.550872243</v>
      </c>
      <c r="X14" s="281">
        <f t="shared" si="12"/>
        <v>3.0085836890185371</v>
      </c>
      <c r="Y14" s="342">
        <f t="shared" si="13"/>
        <v>423156291.17252231</v>
      </c>
    </row>
    <row r="15" spans="1:25" x14ac:dyDescent="0.6">
      <c r="A15" s="46">
        <f t="shared" si="14"/>
        <v>11</v>
      </c>
      <c r="B15" s="44" t="s">
        <v>9</v>
      </c>
      <c r="C15" s="290">
        <v>302341</v>
      </c>
      <c r="D15" s="345">
        <f>C15*Assumptions!$C$48</f>
        <v>2294634183.3636918</v>
      </c>
      <c r="E15" s="391">
        <f>Assumptions!$H$3</f>
        <v>1.1863330000000001</v>
      </c>
      <c r="F15" s="33">
        <f>Assumptions!$C$46</f>
        <v>7.5895567698846396</v>
      </c>
      <c r="G15" s="297">
        <f>Assumptions!$C$63</f>
        <v>27.295999999999999</v>
      </c>
      <c r="H15" s="384">
        <f>0.077*Assumptions!$G$71</f>
        <v>2.8209261430246189</v>
      </c>
      <c r="I15" s="973">
        <f t="shared" ref="I15" si="15">H15*E15</f>
        <v>3.3465577740328256</v>
      </c>
      <c r="J15" s="472">
        <v>0.32</v>
      </c>
      <c r="K15" s="306">
        <f t="shared" si="6"/>
        <v>1.3907772567409146E-2</v>
      </c>
      <c r="L15" s="325">
        <v>0.1</v>
      </c>
      <c r="M15" s="281">
        <f t="shared" si="7"/>
        <v>0.33465577740328256</v>
      </c>
      <c r="N15" s="281">
        <f t="shared" si="8"/>
        <v>1.3907772567409147E-3</v>
      </c>
      <c r="O15" s="281">
        <f t="shared" si="9"/>
        <v>0.33604655466002348</v>
      </c>
      <c r="P15" s="342">
        <f t="shared" si="10"/>
        <v>767912586.48972273</v>
      </c>
      <c r="Q15" s="1053">
        <f t="shared" si="1"/>
        <v>0.34995432722743264</v>
      </c>
      <c r="R15" s="1047">
        <f t="shared" si="2"/>
        <v>803017161.87211001</v>
      </c>
      <c r="S15" s="268">
        <f t="shared" si="11"/>
        <v>1.5298549824150061E-2</v>
      </c>
      <c r="T15" s="366">
        <f t="shared" si="3"/>
        <v>35104575.382387325</v>
      </c>
      <c r="U15" s="336">
        <f>-'OECD NG subsidies'!E148</f>
        <v>0</v>
      </c>
      <c r="V15" s="342">
        <f t="shared" si="4"/>
        <v>0</v>
      </c>
      <c r="W15" s="849">
        <f t="shared" si="5"/>
        <v>35104575.382387325</v>
      </c>
      <c r="X15" s="281">
        <f t="shared" si="12"/>
        <v>3.6965121012602586</v>
      </c>
      <c r="Y15" s="342">
        <f t="shared" si="13"/>
        <v>8482143026.7693377</v>
      </c>
    </row>
    <row r="16" spans="1:25" x14ac:dyDescent="0.6">
      <c r="A16" s="46">
        <f t="shared" si="14"/>
        <v>12</v>
      </c>
      <c r="B16" s="44" t="s">
        <v>10</v>
      </c>
      <c r="C16" s="290">
        <v>4557</v>
      </c>
      <c r="D16" s="345">
        <f>C16*Assumptions!$C$48</f>
        <v>34585610.200364307</v>
      </c>
      <c r="E16" s="391">
        <f>Assumptions!$H$3</f>
        <v>1.1863330000000001</v>
      </c>
      <c r="F16" s="33">
        <f>Assumptions!$C$46</f>
        <v>7.5895567698846396</v>
      </c>
      <c r="G16" s="297">
        <f>Assumptions!$C$63</f>
        <v>27.295999999999999</v>
      </c>
      <c r="H16" s="384">
        <v>44.41</v>
      </c>
      <c r="I16" s="973">
        <f t="shared" ref="I16:I34" si="16">H16/G16*E16</f>
        <v>1.9301380616207504</v>
      </c>
      <c r="J16" s="434">
        <v>0</v>
      </c>
      <c r="K16" s="286">
        <f t="shared" si="6"/>
        <v>0</v>
      </c>
      <c r="L16" s="325">
        <v>0.08</v>
      </c>
      <c r="M16" s="281">
        <f t="shared" si="7"/>
        <v>0.15441104492966004</v>
      </c>
      <c r="N16" s="281">
        <f t="shared" si="8"/>
        <v>0</v>
      </c>
      <c r="O16" s="281">
        <f t="shared" si="9"/>
        <v>0.15441104492966004</v>
      </c>
      <c r="P16" s="342">
        <f t="shared" si="10"/>
        <v>5340400.2105681617</v>
      </c>
      <c r="Q16" s="1053">
        <f t="shared" si="1"/>
        <v>0.15441104492966004</v>
      </c>
      <c r="R16" s="1047">
        <f t="shared" si="2"/>
        <v>5340400.2105681617</v>
      </c>
      <c r="S16" s="268">
        <f t="shared" si="11"/>
        <v>0</v>
      </c>
      <c r="T16" s="366">
        <f t="shared" si="3"/>
        <v>0</v>
      </c>
      <c r="U16" s="336">
        <f>-'OECD NG subsidies'!E159</f>
        <v>0</v>
      </c>
      <c r="V16" s="342">
        <f t="shared" si="4"/>
        <v>0</v>
      </c>
      <c r="W16" s="849">
        <f t="shared" si="5"/>
        <v>0</v>
      </c>
      <c r="X16" s="281">
        <f t="shared" si="12"/>
        <v>2.0845491065504107</v>
      </c>
      <c r="Y16" s="342">
        <f t="shared" si="13"/>
        <v>72095402.842670187</v>
      </c>
    </row>
    <row r="17" spans="1:25" x14ac:dyDescent="0.6">
      <c r="A17" s="46">
        <f t="shared" si="14"/>
        <v>13</v>
      </c>
      <c r="B17" s="44" t="s">
        <v>11</v>
      </c>
      <c r="C17" s="290">
        <v>58666</v>
      </c>
      <c r="D17" s="345">
        <f>C17*Assumptions!$C$48</f>
        <v>445248937.46205229</v>
      </c>
      <c r="E17" s="391">
        <f>Assumptions!$H$17</f>
        <v>3.8049999999999998E-3</v>
      </c>
      <c r="F17" s="33">
        <f>Assumptions!$C$46</f>
        <v>7.5895567698846396</v>
      </c>
      <c r="G17" s="297">
        <f>Assumptions!$C$63</f>
        <v>27.295999999999999</v>
      </c>
      <c r="H17" s="388">
        <v>9171</v>
      </c>
      <c r="I17" s="301">
        <f t="shared" si="16"/>
        <v>1.2784164346424385</v>
      </c>
      <c r="J17" s="467">
        <v>93.5</v>
      </c>
      <c r="K17" s="286">
        <f t="shared" si="6"/>
        <v>1.3033686254396248E-2</v>
      </c>
      <c r="L17" s="325">
        <v>0.27</v>
      </c>
      <c r="M17" s="281">
        <f t="shared" si="7"/>
        <v>0.34517243735345843</v>
      </c>
      <c r="N17" s="281">
        <f t="shared" si="8"/>
        <v>3.5190952886869874E-3</v>
      </c>
      <c r="O17" s="281">
        <f t="shared" si="9"/>
        <v>0.34869153264214542</v>
      </c>
      <c r="P17" s="342">
        <f t="shared" si="10"/>
        <v>153687660.97281417</v>
      </c>
      <c r="Q17" s="1053">
        <f t="shared" si="1"/>
        <v>0.36172521889654169</v>
      </c>
      <c r="R17" s="1047">
        <f t="shared" si="2"/>
        <v>161057769.36691347</v>
      </c>
      <c r="S17" s="268">
        <f t="shared" si="11"/>
        <v>1.6552781543083234E-2</v>
      </c>
      <c r="T17" s="366">
        <f t="shared" si="3"/>
        <v>7370108.3940992802</v>
      </c>
      <c r="U17" s="336">
        <f>-'OECD NG subsidies'!E162</f>
        <v>0</v>
      </c>
      <c r="V17" s="342">
        <f t="shared" si="4"/>
        <v>0</v>
      </c>
      <c r="W17" s="849">
        <f t="shared" si="5"/>
        <v>7370108.3940992802</v>
      </c>
      <c r="X17" s="281">
        <f t="shared" si="12"/>
        <v>1.6401416535389801</v>
      </c>
      <c r="Y17" s="342">
        <f t="shared" si="13"/>
        <v>730271328.52548444</v>
      </c>
    </row>
    <row r="18" spans="1:25" x14ac:dyDescent="0.6">
      <c r="A18" s="46">
        <f t="shared" si="14"/>
        <v>14</v>
      </c>
      <c r="B18" s="44" t="s">
        <v>12</v>
      </c>
      <c r="C18" s="290">
        <v>140473</v>
      </c>
      <c r="D18" s="345">
        <f>C18*Assumptions!$C$48</f>
        <v>1066127808.136005</v>
      </c>
      <c r="E18" s="391">
        <f>Assumptions!$H$3</f>
        <v>1.1863330000000001</v>
      </c>
      <c r="F18" s="33">
        <f>Assumptions!$C$46</f>
        <v>7.5895567698846396</v>
      </c>
      <c r="G18" s="297">
        <f>Assumptions!$C$63</f>
        <v>27.295999999999999</v>
      </c>
      <c r="H18" s="384">
        <v>40.06</v>
      </c>
      <c r="I18" s="973">
        <f t="shared" si="16"/>
        <v>1.7410792782825324</v>
      </c>
      <c r="J18" s="434">
        <v>0.34</v>
      </c>
      <c r="K18" s="286">
        <f t="shared" si="6"/>
        <v>1.4777008352872219E-2</v>
      </c>
      <c r="L18" s="325">
        <v>0.21</v>
      </c>
      <c r="M18" s="281">
        <f t="shared" si="7"/>
        <v>0.36562664843933179</v>
      </c>
      <c r="N18" s="281">
        <f t="shared" si="8"/>
        <v>3.1031717541031658E-3</v>
      </c>
      <c r="O18" s="281">
        <f t="shared" si="9"/>
        <v>0.36872982019343498</v>
      </c>
      <c r="P18" s="342">
        <f t="shared" si="10"/>
        <v>389804737.29673851</v>
      </c>
      <c r="Q18" s="1053">
        <f t="shared" si="1"/>
        <v>0.38350682854630719</v>
      </c>
      <c r="R18" s="1047">
        <f t="shared" si="2"/>
        <v>408867294.52326518</v>
      </c>
      <c r="S18" s="268">
        <f t="shared" si="11"/>
        <v>1.7880180106975386E-2</v>
      </c>
      <c r="T18" s="366">
        <f t="shared" si="3"/>
        <v>19062557.22652667</v>
      </c>
      <c r="U18" s="336">
        <f>-'OECD NG subsidies'!E168</f>
        <v>-19877046</v>
      </c>
      <c r="V18" s="342">
        <f t="shared" si="4"/>
        <v>-23580795.612318002</v>
      </c>
      <c r="W18" s="849">
        <f t="shared" si="5"/>
        <v>-4518238.3857913315</v>
      </c>
      <c r="X18" s="281">
        <f t="shared" si="12"/>
        <v>2.1245861068288394</v>
      </c>
      <c r="Y18" s="342">
        <f t="shared" si="13"/>
        <v>2241499533.657321</v>
      </c>
    </row>
    <row r="19" spans="1:25" x14ac:dyDescent="0.6">
      <c r="A19" s="46">
        <f t="shared" si="14"/>
        <v>15</v>
      </c>
      <c r="B19" s="44" t="s">
        <v>13</v>
      </c>
      <c r="C19" s="290">
        <v>21708</v>
      </c>
      <c r="D19" s="345">
        <f>C19*Assumptions!$C$48</f>
        <v>164754098.36065575</v>
      </c>
      <c r="E19" s="391">
        <f>Assumptions!$H$3</f>
        <v>1.1863330000000001</v>
      </c>
      <c r="F19" s="33">
        <f>Assumptions!$C$46</f>
        <v>7.5895567698846396</v>
      </c>
      <c r="G19" s="297">
        <f>Assumptions!$C$63</f>
        <v>27.295999999999999</v>
      </c>
      <c r="H19" s="384">
        <v>52.02</v>
      </c>
      <c r="I19" s="973">
        <f t="shared" si="16"/>
        <v>2.2608822779894493</v>
      </c>
      <c r="J19" s="434">
        <v>1.66</v>
      </c>
      <c r="K19" s="286">
        <f t="shared" si="6"/>
        <v>7.2146570193434942E-2</v>
      </c>
      <c r="L19" s="325">
        <v>0.2</v>
      </c>
      <c r="M19" s="281">
        <f t="shared" si="7"/>
        <v>0.45217645559788988</v>
      </c>
      <c r="N19" s="281">
        <f t="shared" si="8"/>
        <v>1.442931403868699E-2</v>
      </c>
      <c r="O19" s="281">
        <f t="shared" si="9"/>
        <v>0.46660576963657685</v>
      </c>
      <c r="P19" s="342">
        <f t="shared" si="10"/>
        <v>74497924.241947442</v>
      </c>
      <c r="Q19" s="1053">
        <f t="shared" si="1"/>
        <v>0.53875233983001181</v>
      </c>
      <c r="R19" s="1047">
        <f t="shared" si="2"/>
        <v>88761655.988387197</v>
      </c>
      <c r="S19" s="268">
        <f t="shared" si="11"/>
        <v>8.6575884232121925E-2</v>
      </c>
      <c r="T19" s="366">
        <f t="shared" si="3"/>
        <v>14263731.746439761</v>
      </c>
      <c r="U19" s="336">
        <f>-'OECD NG subsidies'!E174</f>
        <v>0</v>
      </c>
      <c r="V19" s="342">
        <f t="shared" si="4"/>
        <v>0</v>
      </c>
      <c r="W19" s="849">
        <f t="shared" si="5"/>
        <v>14263731.746439761</v>
      </c>
      <c r="X19" s="281">
        <f t="shared" si="12"/>
        <v>2.7996346178194607</v>
      </c>
      <c r="Y19" s="342">
        <f t="shared" si="13"/>
        <v>461251277.19812429</v>
      </c>
    </row>
    <row r="20" spans="1:25" x14ac:dyDescent="0.6">
      <c r="A20" s="46">
        <f t="shared" si="14"/>
        <v>16</v>
      </c>
      <c r="B20" s="44" t="s">
        <v>14</v>
      </c>
      <c r="C20" s="290">
        <v>79803</v>
      </c>
      <c r="D20" s="345">
        <f>C20*Assumptions!$C$48</f>
        <v>605669398.9071039</v>
      </c>
      <c r="E20" s="391">
        <f>Assumptions!$H$18</f>
        <v>0.28262100000000001</v>
      </c>
      <c r="F20" s="33">
        <f>Assumptions!$C$46</f>
        <v>7.5895567698846396</v>
      </c>
      <c r="G20" s="297">
        <f>Assumptions!$C$63</f>
        <v>27.295999999999999</v>
      </c>
      <c r="H20" s="420">
        <v>208.4</v>
      </c>
      <c r="I20" s="301">
        <f t="shared" si="16"/>
        <v>2.1577599794841738</v>
      </c>
      <c r="J20" s="431">
        <v>10.54</v>
      </c>
      <c r="K20" s="286">
        <f t="shared" si="6"/>
        <v>0.10913047113130128</v>
      </c>
      <c r="L20" s="325">
        <v>0.23</v>
      </c>
      <c r="M20" s="281">
        <f t="shared" si="7"/>
        <v>0.49628479528135999</v>
      </c>
      <c r="N20" s="281">
        <f t="shared" si="8"/>
        <v>2.5100008360199298E-2</v>
      </c>
      <c r="O20" s="281">
        <f t="shared" si="9"/>
        <v>0.52138480364155926</v>
      </c>
      <c r="P20" s="342">
        <f t="shared" si="10"/>
        <v>300584513.64479643</v>
      </c>
      <c r="Q20" s="1053">
        <f t="shared" si="1"/>
        <v>0.63051527477286051</v>
      </c>
      <c r="R20" s="1047">
        <f t="shared" si="2"/>
        <v>381883807.47342587</v>
      </c>
      <c r="S20" s="268">
        <f t="shared" si="11"/>
        <v>0.13423047949150058</v>
      </c>
      <c r="T20" s="366">
        <f t="shared" si="3"/>
        <v>81299293.828629494</v>
      </c>
      <c r="U20" s="336">
        <f>-'OECD NG subsidies'!E177</f>
        <v>0</v>
      </c>
      <c r="V20" s="342">
        <f t="shared" si="4"/>
        <v>0</v>
      </c>
      <c r="W20" s="849">
        <f t="shared" si="5"/>
        <v>81299293.828629494</v>
      </c>
      <c r="X20" s="281">
        <f t="shared" si="12"/>
        <v>2.7882752542570346</v>
      </c>
      <c r="Y20" s="342">
        <f t="shared" si="13"/>
        <v>1688772997.2334104</v>
      </c>
    </row>
    <row r="21" spans="1:25" x14ac:dyDescent="0.6">
      <c r="A21" s="46">
        <f t="shared" si="14"/>
        <v>17</v>
      </c>
      <c r="B21" s="44" t="s">
        <v>15</v>
      </c>
      <c r="C21" s="290">
        <v>10471</v>
      </c>
      <c r="D21" s="345">
        <f>C21*Assumptions!$C$48</f>
        <v>79470248.937462062</v>
      </c>
      <c r="E21" s="391">
        <f>Assumptions!$H$3</f>
        <v>1.1863330000000001</v>
      </c>
      <c r="F21" s="33">
        <f>Assumptions!$C$46</f>
        <v>7.5895567698846396</v>
      </c>
      <c r="G21" s="297">
        <f>Assumptions!$C$63</f>
        <v>27.295999999999999</v>
      </c>
      <c r="H21" s="384">
        <v>78.260000000000005</v>
      </c>
      <c r="I21" s="973">
        <f t="shared" si="16"/>
        <v>3.4013196285169993</v>
      </c>
      <c r="J21" s="434">
        <v>0.59</v>
      </c>
      <c r="K21" s="286">
        <f t="shared" si="6"/>
        <v>2.5642455671160611E-2</v>
      </c>
      <c r="L21" s="325">
        <v>0.23</v>
      </c>
      <c r="M21" s="281">
        <f t="shared" si="7"/>
        <v>0.7823035145589099</v>
      </c>
      <c r="N21" s="281">
        <f t="shared" si="8"/>
        <v>5.8977648043669409E-3</v>
      </c>
      <c r="O21" s="281">
        <f t="shared" si="9"/>
        <v>0.78820127936327689</v>
      </c>
      <c r="P21" s="342">
        <f t="shared" si="10"/>
        <v>62169855.046648048</v>
      </c>
      <c r="Q21" s="1053">
        <f t="shared" si="1"/>
        <v>0.81384373503443752</v>
      </c>
      <c r="R21" s="1047">
        <f t="shared" si="2"/>
        <v>64676364.219380662</v>
      </c>
      <c r="S21" s="268">
        <f t="shared" si="11"/>
        <v>3.1540220475527556E-2</v>
      </c>
      <c r="T21" s="366">
        <f t="shared" si="3"/>
        <v>2506509.172732613</v>
      </c>
      <c r="U21" s="336">
        <f>-'OECD NG subsidies'!E182</f>
        <v>0</v>
      </c>
      <c r="V21" s="342">
        <f t="shared" si="4"/>
        <v>0</v>
      </c>
      <c r="W21" s="849">
        <f t="shared" si="5"/>
        <v>2506509.172732613</v>
      </c>
      <c r="X21" s="281">
        <f t="shared" si="12"/>
        <v>4.2151633635514365</v>
      </c>
      <c r="Y21" s="342">
        <f t="shared" si="13"/>
        <v>334980081.81350255</v>
      </c>
    </row>
    <row r="22" spans="1:25" x14ac:dyDescent="0.6">
      <c r="A22" s="46">
        <f t="shared" si="14"/>
        <v>18</v>
      </c>
      <c r="B22" s="44" t="s">
        <v>16</v>
      </c>
      <c r="C22" s="290">
        <v>2332</v>
      </c>
      <c r="D22" s="345">
        <f>C22*Assumptions!$C$48</f>
        <v>17698846.387370981</v>
      </c>
      <c r="E22" s="391">
        <f>Assumptions!$H$3</f>
        <v>1.1863330000000001</v>
      </c>
      <c r="F22" s="33">
        <f>Assumptions!$C$46</f>
        <v>7.5895567698846396</v>
      </c>
      <c r="G22" s="297">
        <f>Assumptions!$C$63</f>
        <v>27.295999999999999</v>
      </c>
      <c r="H22" s="384">
        <v>65.12</v>
      </c>
      <c r="I22" s="973">
        <f t="shared" si="16"/>
        <v>2.8302317174677611</v>
      </c>
      <c r="J22" s="434">
        <v>3.45</v>
      </c>
      <c r="K22" s="286">
        <f t="shared" si="6"/>
        <v>0.14994317299237986</v>
      </c>
      <c r="L22" s="325">
        <v>0.22</v>
      </c>
      <c r="M22" s="281">
        <f t="shared" si="7"/>
        <v>0.62265097784290746</v>
      </c>
      <c r="N22" s="281">
        <f t="shared" si="8"/>
        <v>3.2987498058323572E-2</v>
      </c>
      <c r="O22" s="281">
        <f t="shared" si="9"/>
        <v>0.65563847590123103</v>
      </c>
      <c r="P22" s="342">
        <f t="shared" si="10"/>
        <v>11020204.009787953</v>
      </c>
      <c r="Q22" s="1053">
        <f t="shared" si="1"/>
        <v>0.80558164889361095</v>
      </c>
      <c r="R22" s="1047">
        <f t="shared" si="2"/>
        <v>14257865.856253045</v>
      </c>
      <c r="S22" s="268">
        <f t="shared" si="11"/>
        <v>0.18293067105070343</v>
      </c>
      <c r="T22" s="366">
        <f t="shared" si="3"/>
        <v>3237661.8464650917</v>
      </c>
      <c r="U22" s="336">
        <f>-'OECD NG subsidies'!E184</f>
        <v>0</v>
      </c>
      <c r="V22" s="342">
        <f t="shared" si="4"/>
        <v>0</v>
      </c>
      <c r="W22" s="849">
        <f t="shared" si="5"/>
        <v>3237661.8464650917</v>
      </c>
      <c r="X22" s="281">
        <f t="shared" si="12"/>
        <v>3.6358133663613721</v>
      </c>
      <c r="Y22" s="342">
        <f t="shared" si="13"/>
        <v>64349702.264380097</v>
      </c>
    </row>
    <row r="23" spans="1:25" x14ac:dyDescent="0.6">
      <c r="A23" s="46">
        <f t="shared" si="14"/>
        <v>19</v>
      </c>
      <c r="B23" s="44" t="s">
        <v>17</v>
      </c>
      <c r="C23" s="290">
        <v>24474</v>
      </c>
      <c r="D23" s="345">
        <f>C23*Assumptions!$C$48</f>
        <v>185746812.38615668</v>
      </c>
      <c r="E23" s="391">
        <f>Assumptions!$H$3</f>
        <v>1.1863330000000001</v>
      </c>
      <c r="F23" s="33">
        <f>Assumptions!$C$46</f>
        <v>7.5895567698846396</v>
      </c>
      <c r="G23" s="297">
        <f>Assumptions!$C$63</f>
        <v>27.295999999999999</v>
      </c>
      <c r="H23" s="384">
        <v>43.98</v>
      </c>
      <c r="I23" s="973">
        <f t="shared" si="16"/>
        <v>1.9114494922332943</v>
      </c>
      <c r="J23" s="434">
        <v>2.6</v>
      </c>
      <c r="K23" s="286">
        <f t="shared" si="6"/>
        <v>0.11300065211019931</v>
      </c>
      <c r="L23" s="325">
        <v>0.2</v>
      </c>
      <c r="M23" s="281">
        <f t="shared" si="7"/>
        <v>0.38228989844665889</v>
      </c>
      <c r="N23" s="281">
        <f t="shared" si="8"/>
        <v>2.2600130422039864E-2</v>
      </c>
      <c r="O23" s="281">
        <f t="shared" si="9"/>
        <v>0.40489002886869874</v>
      </c>
      <c r="P23" s="342">
        <f t="shared" si="10"/>
        <v>71009130.04389444</v>
      </c>
      <c r="Q23" s="1053">
        <f t="shared" si="1"/>
        <v>0.51789068097889801</v>
      </c>
      <c r="R23" s="1047">
        <f t="shared" si="2"/>
        <v>96196543.156326294</v>
      </c>
      <c r="S23" s="268">
        <f t="shared" si="11"/>
        <v>0.13560078253223917</v>
      </c>
      <c r="T23" s="366">
        <f t="shared" si="3"/>
        <v>25187413.112431861</v>
      </c>
      <c r="U23" s="336">
        <f>-'OECD NG subsidies'!E188</f>
        <v>-11665600.25</v>
      </c>
      <c r="V23" s="342">
        <f t="shared" si="4"/>
        <v>-13839286.541383252</v>
      </c>
      <c r="W23" s="849">
        <f t="shared" si="5"/>
        <v>11348126.57104861</v>
      </c>
      <c r="X23" s="281">
        <f t="shared" si="12"/>
        <v>2.429340173212192</v>
      </c>
      <c r="Y23" s="342">
        <f t="shared" si="13"/>
        <v>437402906.83441514</v>
      </c>
    </row>
    <row r="24" spans="1:25" x14ac:dyDescent="0.6">
      <c r="A24" s="46">
        <f t="shared" si="14"/>
        <v>20</v>
      </c>
      <c r="B24" s="44" t="s">
        <v>18</v>
      </c>
      <c r="C24" s="290">
        <v>1299</v>
      </c>
      <c r="D24" s="345">
        <f>C24*Assumptions!$C$48</f>
        <v>9858834.2440801468</v>
      </c>
      <c r="E24" s="391">
        <f>Assumptions!$H$3</f>
        <v>1.1863330000000001</v>
      </c>
      <c r="F24" s="33">
        <f>Assumptions!$C$46</f>
        <v>7.5895567698846396</v>
      </c>
      <c r="G24" s="297">
        <f>Assumptions!$C$63</f>
        <v>27.295999999999999</v>
      </c>
      <c r="H24" s="384"/>
      <c r="I24" s="973">
        <f>I8</f>
        <v>1.4664683470105511</v>
      </c>
      <c r="J24" s="427">
        <v>4.29</v>
      </c>
      <c r="K24" s="286">
        <f t="shared" si="6"/>
        <v>0.18645107598182886</v>
      </c>
      <c r="L24" s="325">
        <v>0.24</v>
      </c>
      <c r="M24" s="281">
        <f t="shared" si="7"/>
        <v>0.35195240328253224</v>
      </c>
      <c r="N24" s="281">
        <f t="shared" si="8"/>
        <v>4.4748258235638924E-2</v>
      </c>
      <c r="O24" s="281">
        <f t="shared" si="9"/>
        <v>0.39670066151817118</v>
      </c>
      <c r="P24" s="342">
        <f t="shared" si="10"/>
        <v>3469840.4057681346</v>
      </c>
      <c r="Q24" s="1053">
        <f t="shared" si="1"/>
        <v>0.58315173750000004</v>
      </c>
      <c r="R24" s="1047">
        <f t="shared" si="2"/>
        <v>5749196.3191598374</v>
      </c>
      <c r="S24" s="268">
        <f t="shared" si="11"/>
        <v>0.2311993342174678</v>
      </c>
      <c r="T24" s="366">
        <f t="shared" si="3"/>
        <v>2279355.9133917023</v>
      </c>
      <c r="U24" s="336">
        <f>-'OECD NG subsidies'!E190</f>
        <v>0</v>
      </c>
      <c r="V24" s="342">
        <f t="shared" si="4"/>
        <v>0</v>
      </c>
      <c r="W24" s="849">
        <f t="shared" si="5"/>
        <v>2279355.9133917023</v>
      </c>
      <c r="X24" s="281">
        <f t="shared" si="12"/>
        <v>2.0496200845105514</v>
      </c>
      <c r="Y24" s="342">
        <f t="shared" si="13"/>
        <v>20206864.676527068</v>
      </c>
    </row>
    <row r="25" spans="1:25" x14ac:dyDescent="0.6">
      <c r="A25" s="46">
        <f t="shared" si="14"/>
        <v>21</v>
      </c>
      <c r="B25" s="44" t="s">
        <v>19</v>
      </c>
      <c r="C25" s="290">
        <v>4419</v>
      </c>
      <c r="D25" s="345">
        <f>C25*Assumptions!$C$48</f>
        <v>33538251.366120223</v>
      </c>
      <c r="E25" s="391">
        <f>Assumptions!$H$19</f>
        <v>0.119739</v>
      </c>
      <c r="F25" s="33">
        <f>Assumptions!$C$46</f>
        <v>7.5895567698846396</v>
      </c>
      <c r="G25" s="297">
        <f>Assumptions!$C$63</f>
        <v>27.295999999999999</v>
      </c>
      <c r="H25" s="1437">
        <v>571</v>
      </c>
      <c r="I25" s="973">
        <f t="shared" ref="I25:I26" si="17">H25/G25*E25</f>
        <v>2.5047981022860495</v>
      </c>
      <c r="J25" s="1265">
        <v>4.75</v>
      </c>
      <c r="K25" s="286">
        <f t="shared" si="6"/>
        <v>2.0836761796600232E-2</v>
      </c>
      <c r="L25" s="325">
        <v>0.25</v>
      </c>
      <c r="M25" s="281">
        <f t="shared" si="7"/>
        <v>0.62619952557151237</v>
      </c>
      <c r="N25" s="281">
        <f t="shared" si="8"/>
        <v>5.2091904491500581E-3</v>
      </c>
      <c r="O25" s="281">
        <f t="shared" si="9"/>
        <v>0.6314087160206624</v>
      </c>
      <c r="P25" s="342">
        <f t="shared" si="10"/>
        <v>21001637.09396261</v>
      </c>
      <c r="Q25" s="1053">
        <f t="shared" si="1"/>
        <v>0.65224547781726261</v>
      </c>
      <c r="R25" s="1047">
        <f t="shared" si="2"/>
        <v>21875172.787450545</v>
      </c>
      <c r="S25" s="268">
        <f t="shared" si="11"/>
        <v>2.6045952245750292E-2</v>
      </c>
      <c r="T25" s="366">
        <f t="shared" si="3"/>
        <v>873535.69348793686</v>
      </c>
      <c r="U25" s="336">
        <f>-'OECD NG subsidies'!E195</f>
        <v>0</v>
      </c>
      <c r="V25" s="342">
        <f t="shared" si="4"/>
        <v>0</v>
      </c>
      <c r="W25" s="849">
        <f t="shared" si="5"/>
        <v>873535.69348793686</v>
      </c>
      <c r="X25" s="281">
        <f t="shared" si="12"/>
        <v>3.1570435801033119</v>
      </c>
      <c r="Y25" s="342">
        <f t="shared" si="13"/>
        <v>105881721.16330098</v>
      </c>
    </row>
    <row r="26" spans="1:25" ht="15.9" thickBot="1" x14ac:dyDescent="0.65">
      <c r="A26" s="15">
        <f t="shared" si="14"/>
        <v>22</v>
      </c>
      <c r="B26" s="47" t="s">
        <v>20</v>
      </c>
      <c r="C26" s="291">
        <v>313748</v>
      </c>
      <c r="D26" s="347">
        <f>C26*Assumptions!$C$48</f>
        <v>2381208257.4377661</v>
      </c>
      <c r="E26" s="419">
        <f>Assumptions!$H$20</f>
        <v>1.337591</v>
      </c>
      <c r="F26" s="36">
        <f>Assumptions!$C$46</f>
        <v>7.5895567698846396</v>
      </c>
      <c r="G26" s="299">
        <f>Assumptions!$C$63</f>
        <v>27.295999999999999</v>
      </c>
      <c r="H26" s="421">
        <v>46.39</v>
      </c>
      <c r="I26" s="303">
        <f t="shared" si="17"/>
        <v>2.2732578579279017</v>
      </c>
      <c r="J26" s="433"/>
      <c r="K26" s="308">
        <f t="shared" si="6"/>
        <v>0</v>
      </c>
      <c r="L26" s="376">
        <v>0.05</v>
      </c>
      <c r="M26" s="318">
        <f t="shared" si="7"/>
        <v>0.11366289289639508</v>
      </c>
      <c r="N26" s="318">
        <f t="shared" si="8"/>
        <v>0</v>
      </c>
      <c r="O26" s="318">
        <f t="shared" si="9"/>
        <v>0.11366289289639508</v>
      </c>
      <c r="P26" s="344">
        <f t="shared" si="10"/>
        <v>270655019.1291604</v>
      </c>
      <c r="Q26" s="1054">
        <f t="shared" si="1"/>
        <v>0.11366289289639508</v>
      </c>
      <c r="R26" s="1048">
        <f t="shared" si="2"/>
        <v>270655019.1291604</v>
      </c>
      <c r="S26" s="269">
        <f t="shared" si="11"/>
        <v>0</v>
      </c>
      <c r="T26" s="368">
        <f t="shared" si="3"/>
        <v>0</v>
      </c>
      <c r="U26" s="340">
        <f>-'OECD NG subsidies'!E208</f>
        <v>-16931189.5</v>
      </c>
      <c r="V26" s="344">
        <f t="shared" si="4"/>
        <v>-22647006.694494501</v>
      </c>
      <c r="W26" s="851">
        <f t="shared" si="5"/>
        <v>-22647006.694494501</v>
      </c>
      <c r="X26" s="318">
        <f t="shared" si="12"/>
        <v>2.3869207508242969</v>
      </c>
      <c r="Y26" s="344">
        <f t="shared" si="13"/>
        <v>5661108395.0178738</v>
      </c>
    </row>
    <row r="27" spans="1:25" ht="15.9" thickTop="1" x14ac:dyDescent="0.6">
      <c r="A27" s="48" t="s">
        <v>36</v>
      </c>
      <c r="B27" s="44"/>
      <c r="C27" s="290"/>
      <c r="D27" s="345"/>
      <c r="E27" s="399"/>
      <c r="F27" s="33"/>
      <c r="G27" s="297"/>
      <c r="H27" s="383"/>
      <c r="I27" s="973"/>
      <c r="J27" s="457"/>
      <c r="K27" s="306"/>
      <c r="L27" s="322"/>
      <c r="M27" s="320">
        <f t="shared" si="7"/>
        <v>0</v>
      </c>
      <c r="N27" s="320">
        <f t="shared" si="8"/>
        <v>0</v>
      </c>
      <c r="O27" s="320">
        <f t="shared" si="9"/>
        <v>0</v>
      </c>
      <c r="P27" s="847">
        <f t="shared" si="10"/>
        <v>0</v>
      </c>
      <c r="Q27" s="1053"/>
      <c r="R27" s="1047"/>
      <c r="S27" s="310"/>
      <c r="T27" s="366"/>
      <c r="U27" s="336"/>
      <c r="V27" s="342"/>
      <c r="W27" s="849"/>
      <c r="X27" s="320"/>
      <c r="Y27" s="342"/>
    </row>
    <row r="28" spans="1:25" x14ac:dyDescent="0.6">
      <c r="A28" s="61">
        <f>A26+1</f>
        <v>23</v>
      </c>
      <c r="B28" s="44" t="s">
        <v>38</v>
      </c>
      <c r="C28" s="290">
        <v>510793</v>
      </c>
      <c r="D28" s="345">
        <f>C28*Assumptions!$C$48</f>
        <v>3876692471.1596847</v>
      </c>
      <c r="E28" s="399">
        <f>Assumptions!$H$4</f>
        <v>0.78824099999999997</v>
      </c>
      <c r="F28" s="33">
        <f>Assumptions!$C$46</f>
        <v>7.5895567698846396</v>
      </c>
      <c r="G28" s="297">
        <f>Assumptions!$C$63</f>
        <v>27.295999999999999</v>
      </c>
      <c r="H28" s="441">
        <f>34.93</f>
        <v>34.93</v>
      </c>
      <c r="I28" s="973">
        <f t="shared" si="16"/>
        <v>1.008692047552755</v>
      </c>
      <c r="J28" s="447"/>
      <c r="K28" s="306">
        <f t="shared" si="6"/>
        <v>0</v>
      </c>
      <c r="L28" s="322">
        <f>Gasoline!K28</f>
        <v>9.0499999999999997E-2</v>
      </c>
      <c r="M28" s="320">
        <f t="shared" si="7"/>
        <v>9.1286630303524324E-2</v>
      </c>
      <c r="N28" s="320">
        <f t="shared" si="8"/>
        <v>0</v>
      </c>
      <c r="O28" s="320">
        <f t="shared" si="9"/>
        <v>9.1286630303524324E-2</v>
      </c>
      <c r="P28" s="847">
        <f t="shared" si="10"/>
        <v>353890192.41521025</v>
      </c>
      <c r="Q28" s="1053">
        <f t="shared" si="1"/>
        <v>9.1286630303524324E-2</v>
      </c>
      <c r="R28" s="1047">
        <f t="shared" si="2"/>
        <v>353890192.41521025</v>
      </c>
      <c r="S28" s="310">
        <f t="shared" si="11"/>
        <v>0</v>
      </c>
      <c r="T28" s="366">
        <f t="shared" ref="T28:T34" si="18">D28*S28</f>
        <v>0</v>
      </c>
      <c r="U28" s="336">
        <f>-'OECD NG subsidies'!E230</f>
        <v>0</v>
      </c>
      <c r="V28" s="342">
        <f t="shared" ref="V28:V34" si="19">U28*E28</f>
        <v>0</v>
      </c>
      <c r="W28" s="849">
        <f t="shared" ref="W28:W34" si="20">T28+V28</f>
        <v>0</v>
      </c>
      <c r="X28" s="320">
        <f t="shared" si="12"/>
        <v>1.0999786778562792</v>
      </c>
      <c r="Y28" s="342">
        <f t="shared" si="13"/>
        <v>4264279058.8816218</v>
      </c>
    </row>
    <row r="29" spans="1:25" x14ac:dyDescent="0.6">
      <c r="A29" s="61">
        <f t="shared" ref="A29:A34" si="21">A28+1</f>
        <v>24</v>
      </c>
      <c r="B29" s="44" t="s">
        <v>39</v>
      </c>
      <c r="C29" s="290">
        <v>937</v>
      </c>
      <c r="D29" s="345">
        <f>C29*Assumptions!$C$48</f>
        <v>7111414.6933819074</v>
      </c>
      <c r="E29" s="399">
        <f>Assumptions!$H$5</f>
        <v>0.12035</v>
      </c>
      <c r="F29" s="33">
        <f>Assumptions!$C$46</f>
        <v>7.5895567698846396</v>
      </c>
      <c r="G29" s="297">
        <f>Assumptions!$C$63</f>
        <v>27.295999999999999</v>
      </c>
      <c r="H29" s="442"/>
      <c r="I29" s="973">
        <f>Assumptions!$C$104</f>
        <v>1.5</v>
      </c>
      <c r="J29" s="448">
        <f>I84</f>
        <v>0.19600000000000001</v>
      </c>
      <c r="K29" s="306">
        <f>J29*E29</f>
        <v>2.3588600000000001E-2</v>
      </c>
      <c r="L29" s="322">
        <f>Gasoline!K29</f>
        <v>0.25</v>
      </c>
      <c r="M29" s="320">
        <f t="shared" si="7"/>
        <v>0.375</v>
      </c>
      <c r="N29" s="320">
        <f t="shared" si="8"/>
        <v>5.8971500000000003E-3</v>
      </c>
      <c r="O29" s="320">
        <f t="shared" si="9"/>
        <v>0.38089715000000002</v>
      </c>
      <c r="P29" s="847">
        <f t="shared" si="10"/>
        <v>2666780.5100182155</v>
      </c>
      <c r="Q29" s="1053">
        <f t="shared" si="1"/>
        <v>0.40448575000000003</v>
      </c>
      <c r="R29" s="1047">
        <f t="shared" si="2"/>
        <v>2876465.9058136009</v>
      </c>
      <c r="S29" s="310">
        <f t="shared" si="11"/>
        <v>2.9485750000000002E-2</v>
      </c>
      <c r="T29" s="366">
        <f t="shared" si="18"/>
        <v>209685.39579538559</v>
      </c>
      <c r="U29" s="336">
        <f>-'OECD NG subsidies'!E264</f>
        <v>0</v>
      </c>
      <c r="V29" s="342">
        <f t="shared" si="19"/>
        <v>0</v>
      </c>
      <c r="W29" s="849">
        <f t="shared" si="20"/>
        <v>209685.39579538559</v>
      </c>
      <c r="X29" s="320">
        <f t="shared" si="12"/>
        <v>1.9044857500000001</v>
      </c>
      <c r="Y29" s="342">
        <f t="shared" si="13"/>
        <v>13543587.945886463</v>
      </c>
    </row>
    <row r="30" spans="1:25" x14ac:dyDescent="0.6">
      <c r="A30" s="61">
        <f t="shared" si="21"/>
        <v>25</v>
      </c>
      <c r="B30" s="44" t="s">
        <v>40</v>
      </c>
      <c r="C30" s="290">
        <v>28122</v>
      </c>
      <c r="D30" s="345">
        <f>C30*Assumptions!$C$48</f>
        <v>213433515.48269585</v>
      </c>
      <c r="E30" s="399">
        <f>Assumptions!$H$6</f>
        <v>1.010632</v>
      </c>
      <c r="F30" s="33">
        <f>Assumptions!$C$46</f>
        <v>7.5895567698846396</v>
      </c>
      <c r="G30" s="297">
        <f>Assumptions!$C$63</f>
        <v>27.295999999999999</v>
      </c>
      <c r="H30" s="443">
        <v>79.13</v>
      </c>
      <c r="I30" s="973">
        <f t="shared" si="16"/>
        <v>2.929781292497069</v>
      </c>
      <c r="J30" s="449"/>
      <c r="K30" s="306">
        <f t="shared" si="6"/>
        <v>0</v>
      </c>
      <c r="L30" s="322">
        <f>Gasoline!K30</f>
        <v>0.08</v>
      </c>
      <c r="M30" s="320">
        <f t="shared" si="7"/>
        <v>0.23438250339976552</v>
      </c>
      <c r="N30" s="320">
        <f t="shared" si="8"/>
        <v>0</v>
      </c>
      <c r="O30" s="320">
        <f t="shared" si="9"/>
        <v>0.23438250339976552</v>
      </c>
      <c r="P30" s="847">
        <f t="shared" si="10"/>
        <v>50025081.668246865</v>
      </c>
      <c r="Q30" s="1053">
        <f t="shared" si="1"/>
        <v>0.23438250339976552</v>
      </c>
      <c r="R30" s="1047">
        <f t="shared" si="2"/>
        <v>50025081.668246865</v>
      </c>
      <c r="S30" s="310">
        <f t="shared" si="11"/>
        <v>0</v>
      </c>
      <c r="T30" s="366">
        <f t="shared" si="18"/>
        <v>0</v>
      </c>
      <c r="U30" s="336">
        <f>-'OECD NG subsidies'!E275</f>
        <v>-1158209</v>
      </c>
      <c r="V30" s="342">
        <f t="shared" si="19"/>
        <v>-1170523.078088</v>
      </c>
      <c r="W30" s="849">
        <f t="shared" si="20"/>
        <v>-1170523.078088</v>
      </c>
      <c r="X30" s="320">
        <f t="shared" si="12"/>
        <v>3.1641637958968345</v>
      </c>
      <c r="Y30" s="342">
        <f t="shared" si="13"/>
        <v>674168079.4432447</v>
      </c>
    </row>
    <row r="31" spans="1:25" x14ac:dyDescent="0.6">
      <c r="A31" s="61">
        <f t="shared" si="21"/>
        <v>26</v>
      </c>
      <c r="B31" s="44" t="s">
        <v>31</v>
      </c>
      <c r="C31" s="290">
        <v>433187</v>
      </c>
      <c r="D31" s="345">
        <f>C31*Assumptions!$C$48</f>
        <v>3287697328.4760175</v>
      </c>
      <c r="E31" s="399">
        <f>Assumptions!$H$7</f>
        <v>8.829E-3</v>
      </c>
      <c r="F31" s="33">
        <f>Assumptions!$C$46</f>
        <v>7.5895567698846396</v>
      </c>
      <c r="G31" s="297">
        <f>Assumptions!$C$63</f>
        <v>27.295999999999999</v>
      </c>
      <c r="H31" s="444">
        <v>14025</v>
      </c>
      <c r="I31" s="973">
        <f t="shared" si="16"/>
        <v>4.5364421526963659</v>
      </c>
      <c r="J31" s="450"/>
      <c r="K31" s="306">
        <f t="shared" si="6"/>
        <v>0</v>
      </c>
      <c r="L31" s="322">
        <f>Gasoline!K31</f>
        <v>0.08</v>
      </c>
      <c r="M31" s="320">
        <f t="shared" si="7"/>
        <v>0.3629153722157093</v>
      </c>
      <c r="N31" s="320">
        <f t="shared" si="8"/>
        <v>0</v>
      </c>
      <c r="O31" s="320">
        <f t="shared" si="9"/>
        <v>0.3629153722157093</v>
      </c>
      <c r="P31" s="847">
        <f t="shared" si="10"/>
        <v>1193155899.6964669</v>
      </c>
      <c r="Q31" s="1053">
        <f t="shared" si="1"/>
        <v>0.3629153722157093</v>
      </c>
      <c r="R31" s="1047">
        <f t="shared" si="2"/>
        <v>1193155899.6964669</v>
      </c>
      <c r="S31" s="310">
        <f t="shared" si="11"/>
        <v>0</v>
      </c>
      <c r="T31" s="366">
        <f t="shared" si="18"/>
        <v>0</v>
      </c>
      <c r="U31" s="336">
        <f>-'OECD NG subsidies'!E282</f>
        <v>0</v>
      </c>
      <c r="V31" s="342">
        <f t="shared" si="19"/>
        <v>0</v>
      </c>
      <c r="W31" s="849">
        <f t="shared" si="20"/>
        <v>0</v>
      </c>
      <c r="X31" s="320">
        <f t="shared" si="12"/>
        <v>4.8993575249120758</v>
      </c>
      <c r="Y31" s="342">
        <f t="shared" si="13"/>
        <v>16107604645.902306</v>
      </c>
    </row>
    <row r="32" spans="1:25" x14ac:dyDescent="0.6">
      <c r="A32" s="61">
        <f t="shared" si="21"/>
        <v>27</v>
      </c>
      <c r="B32" s="44" t="s">
        <v>47</v>
      </c>
      <c r="C32" s="290">
        <v>174554</v>
      </c>
      <c r="D32" s="345">
        <f>C32*Assumptions!$C$48</f>
        <v>1324787492.4104433</v>
      </c>
      <c r="E32" s="399">
        <f>Assumptions!$H$8</f>
        <v>9.3000000000000005E-4</v>
      </c>
      <c r="F32" s="33">
        <f>Assumptions!$C$46</f>
        <v>7.5895567698846396</v>
      </c>
      <c r="G32" s="297">
        <f>Assumptions!$C$63</f>
        <v>27.295999999999999</v>
      </c>
      <c r="H32" s="446"/>
      <c r="I32" s="973">
        <f>I31</f>
        <v>4.5364421526963659</v>
      </c>
      <c r="J32" s="451"/>
      <c r="K32" s="306">
        <f t="shared" si="6"/>
        <v>0</v>
      </c>
      <c r="L32" s="322">
        <f>Gasoline!K32</f>
        <v>0.1</v>
      </c>
      <c r="M32" s="320">
        <f t="shared" si="7"/>
        <v>0.45364421526963661</v>
      </c>
      <c r="N32" s="320">
        <f t="shared" si="8"/>
        <v>0</v>
      </c>
      <c r="O32" s="320">
        <f t="shared" si="9"/>
        <v>0.45364421526963661</v>
      </c>
      <c r="P32" s="847">
        <f t="shared" si="10"/>
        <v>600982182.39356518</v>
      </c>
      <c r="Q32" s="1053">
        <f t="shared" si="1"/>
        <v>0.45364421526963661</v>
      </c>
      <c r="R32" s="1047">
        <f t="shared" si="2"/>
        <v>600982182.39356518</v>
      </c>
      <c r="S32" s="310">
        <f t="shared" si="11"/>
        <v>0</v>
      </c>
      <c r="T32" s="366">
        <f t="shared" si="18"/>
        <v>0</v>
      </c>
      <c r="U32" s="336">
        <f>-'OECD NG subsidies'!E296</f>
        <v>0</v>
      </c>
      <c r="V32" s="342">
        <f t="shared" si="19"/>
        <v>0</v>
      </c>
      <c r="W32" s="849">
        <f t="shared" si="20"/>
        <v>0</v>
      </c>
      <c r="X32" s="320">
        <f t="shared" si="12"/>
        <v>4.9900863679660032</v>
      </c>
      <c r="Y32" s="342">
        <f t="shared" si="13"/>
        <v>6610804006.3292179</v>
      </c>
    </row>
    <row r="33" spans="1:25" x14ac:dyDescent="0.6">
      <c r="A33" s="61">
        <f t="shared" si="21"/>
        <v>28</v>
      </c>
      <c r="B33" s="44" t="s">
        <v>32</v>
      </c>
      <c r="C33" s="290">
        <v>56447</v>
      </c>
      <c r="D33" s="345">
        <f>C33*Assumptions!$C$48</f>
        <v>428407710.98967826</v>
      </c>
      <c r="E33" s="399">
        <f>Assumptions!$H$9</f>
        <v>0.77382200000000001</v>
      </c>
      <c r="F33" s="33">
        <f>Assumptions!$C$46</f>
        <v>7.5895567698846396</v>
      </c>
      <c r="G33" s="297">
        <f>Assumptions!$C$63</f>
        <v>27.295999999999999</v>
      </c>
      <c r="H33" s="389">
        <v>0.03</v>
      </c>
      <c r="I33" s="973">
        <f>H33*E33/Assumptions!C47</f>
        <v>3.0587636015999995</v>
      </c>
      <c r="J33" s="452"/>
      <c r="K33" s="306">
        <f t="shared" si="6"/>
        <v>0</v>
      </c>
      <c r="L33" s="322">
        <f>Gasoline!K33</f>
        <v>0.1</v>
      </c>
      <c r="M33" s="320">
        <f t="shared" si="7"/>
        <v>0.30587636015999997</v>
      </c>
      <c r="N33" s="320">
        <f t="shared" si="8"/>
        <v>0</v>
      </c>
      <c r="O33" s="320">
        <f t="shared" si="9"/>
        <v>0.30587636015999997</v>
      </c>
      <c r="P33" s="847">
        <f t="shared" si="10"/>
        <v>131039791.302</v>
      </c>
      <c r="Q33" s="1053">
        <f t="shared" si="1"/>
        <v>0.30587636015999997</v>
      </c>
      <c r="R33" s="1047">
        <f t="shared" si="2"/>
        <v>131039791.302</v>
      </c>
      <c r="S33" s="310">
        <f t="shared" si="11"/>
        <v>0</v>
      </c>
      <c r="T33" s="366">
        <f t="shared" si="18"/>
        <v>0</v>
      </c>
      <c r="U33" s="336">
        <f>-'OECD NG subsidies'!E298</f>
        <v>0</v>
      </c>
      <c r="V33" s="342">
        <f t="shared" si="19"/>
        <v>0</v>
      </c>
      <c r="W33" s="849">
        <f t="shared" si="20"/>
        <v>0</v>
      </c>
      <c r="X33" s="320">
        <f t="shared" si="12"/>
        <v>3.3646399617599996</v>
      </c>
      <c r="Y33" s="342">
        <f t="shared" si="13"/>
        <v>1441437704.322</v>
      </c>
    </row>
    <row r="34" spans="1:25" ht="15.9" thickBot="1" x14ac:dyDescent="0.65">
      <c r="A34" s="62">
        <f t="shared" si="21"/>
        <v>29</v>
      </c>
      <c r="B34" s="47" t="s">
        <v>33</v>
      </c>
      <c r="C34" s="291">
        <v>8840</v>
      </c>
      <c r="D34" s="347">
        <f>C34*Assumptions!$C$48</f>
        <v>67091681.845780216</v>
      </c>
      <c r="E34" s="417">
        <f>Assumptions!$H$10</f>
        <v>0.70460400000000001</v>
      </c>
      <c r="F34" s="36">
        <f>Assumptions!$C$46</f>
        <v>7.5895567698846396</v>
      </c>
      <c r="G34" s="299">
        <f>Assumptions!$C$63</f>
        <v>27.295999999999999</v>
      </c>
      <c r="H34" s="445">
        <v>114.4</v>
      </c>
      <c r="I34" s="976">
        <f t="shared" si="16"/>
        <v>2.953058968347011</v>
      </c>
      <c r="J34" s="453"/>
      <c r="K34" s="309">
        <f t="shared" si="6"/>
        <v>0</v>
      </c>
      <c r="L34" s="359">
        <f>Gasoline!K34</f>
        <v>0.15</v>
      </c>
      <c r="M34" s="321">
        <f t="shared" si="7"/>
        <v>0.44295884525205165</v>
      </c>
      <c r="N34" s="321">
        <f t="shared" si="8"/>
        <v>0</v>
      </c>
      <c r="O34" s="321">
        <f t="shared" si="9"/>
        <v>0.44295884525205165</v>
      </c>
      <c r="P34" s="848">
        <f t="shared" si="10"/>
        <v>29718853.916424841</v>
      </c>
      <c r="Q34" s="1054">
        <f t="shared" si="1"/>
        <v>0.44295884525205165</v>
      </c>
      <c r="R34" s="1048">
        <f t="shared" si="2"/>
        <v>29718853.916424841</v>
      </c>
      <c r="S34" s="312">
        <f t="shared" si="11"/>
        <v>0</v>
      </c>
      <c r="T34" s="368">
        <f t="shared" si="18"/>
        <v>0</v>
      </c>
      <c r="U34" s="340">
        <f>-'OECD NG subsidies'!E330</f>
        <v>0</v>
      </c>
      <c r="V34" s="344">
        <f t="shared" si="19"/>
        <v>0</v>
      </c>
      <c r="W34" s="851">
        <f t="shared" si="20"/>
        <v>0</v>
      </c>
      <c r="X34" s="321">
        <f t="shared" si="12"/>
        <v>3.3960178135990624</v>
      </c>
      <c r="Y34" s="344">
        <f t="shared" si="13"/>
        <v>227844546.69259045</v>
      </c>
    </row>
    <row r="35" spans="1:25" ht="15.9" thickTop="1" x14ac:dyDescent="0.6">
      <c r="A35" s="49" t="s">
        <v>78</v>
      </c>
      <c r="B35" s="50"/>
      <c r="C35" s="290"/>
      <c r="D35" s="345"/>
      <c r="E35" s="391"/>
      <c r="F35" s="33"/>
      <c r="G35" s="297"/>
      <c r="H35" s="295"/>
      <c r="I35" s="973"/>
      <c r="J35" s="463"/>
      <c r="K35" s="306"/>
      <c r="L35" s="322"/>
      <c r="M35" s="320">
        <f t="shared" si="7"/>
        <v>0</v>
      </c>
      <c r="N35" s="320">
        <f t="shared" si="8"/>
        <v>0</v>
      </c>
      <c r="O35" s="320">
        <f t="shared" si="9"/>
        <v>0</v>
      </c>
      <c r="P35" s="847">
        <f t="shared" si="10"/>
        <v>0</v>
      </c>
      <c r="Q35" s="1053"/>
      <c r="R35" s="1047"/>
      <c r="S35" s="310"/>
      <c r="T35" s="366"/>
      <c r="U35" s="336"/>
      <c r="V35" s="342"/>
      <c r="W35" s="849"/>
      <c r="X35" s="320"/>
      <c r="Y35" s="342"/>
    </row>
    <row r="36" spans="1:25" x14ac:dyDescent="0.6">
      <c r="A36" s="61">
        <f>A34+1</f>
        <v>30</v>
      </c>
      <c r="B36" s="50" t="s">
        <v>46</v>
      </c>
      <c r="C36" s="290">
        <v>472312</v>
      </c>
      <c r="D36" s="348">
        <f>C36*Assumptions!$C$48</f>
        <v>3584638737.097754</v>
      </c>
      <c r="E36" s="399">
        <f>Assumptions!$H$11</f>
        <v>0.152529</v>
      </c>
      <c r="F36" s="33">
        <f>Assumptions!$C$46</f>
        <v>7.5895567698846396</v>
      </c>
      <c r="G36" s="297">
        <f>Assumptions!$C$63</f>
        <v>27.295999999999999</v>
      </c>
      <c r="H36" s="1396">
        <v>4.07</v>
      </c>
      <c r="I36" s="973">
        <f>H36*E36</f>
        <v>0.62079303000000008</v>
      </c>
      <c r="J36" s="463"/>
      <c r="K36" s="306">
        <f t="shared" si="6"/>
        <v>0</v>
      </c>
      <c r="L36" s="322">
        <v>0.13</v>
      </c>
      <c r="M36" s="320">
        <f t="shared" si="7"/>
        <v>8.0703093900000009E-2</v>
      </c>
      <c r="N36" s="320">
        <f t="shared" si="8"/>
        <v>0</v>
      </c>
      <c r="O36" s="320">
        <f t="shared" si="9"/>
        <v>8.0703093900000009E-2</v>
      </c>
      <c r="P36" s="847">
        <f t="shared" si="10"/>
        <v>289291436.59757751</v>
      </c>
      <c r="Q36" s="1053">
        <f t="shared" si="1"/>
        <v>8.0703093900000009E-2</v>
      </c>
      <c r="R36" s="1047">
        <f t="shared" si="2"/>
        <v>289291436.59757751</v>
      </c>
      <c r="S36" s="310">
        <f t="shared" si="11"/>
        <v>0</v>
      </c>
      <c r="T36" s="366">
        <f>D36*S36</f>
        <v>0</v>
      </c>
      <c r="U36" s="336">
        <f>-'OECD NG subsidies'!E333</f>
        <v>0</v>
      </c>
      <c r="V36" s="342">
        <f>U36*E36</f>
        <v>0</v>
      </c>
      <c r="W36" s="849">
        <f>T36+V36</f>
        <v>0</v>
      </c>
      <c r="X36" s="320">
        <f t="shared" si="12"/>
        <v>0.70149612390000005</v>
      </c>
      <c r="Y36" s="342">
        <f t="shared" si="13"/>
        <v>2514610179.6558657</v>
      </c>
    </row>
    <row r="37" spans="1:25" x14ac:dyDescent="0.6">
      <c r="A37" s="46">
        <f>A36+1</f>
        <v>31</v>
      </c>
      <c r="B37" s="50" t="s">
        <v>49</v>
      </c>
      <c r="C37" s="290">
        <v>34542</v>
      </c>
      <c r="D37" s="348">
        <f>C37*Assumptions!$C$48</f>
        <v>262158469.94535524</v>
      </c>
      <c r="E37" s="399">
        <f>Assumptions!$H$12</f>
        <v>1.5587E-2</v>
      </c>
      <c r="F37" s="33">
        <f>Assumptions!$C$46</f>
        <v>7.5895567698846396</v>
      </c>
      <c r="G37" s="297">
        <f>Assumptions!$C$63</f>
        <v>27.295999999999999</v>
      </c>
      <c r="H37" s="295"/>
      <c r="I37" s="973">
        <v>2.5</v>
      </c>
      <c r="J37" s="463"/>
      <c r="K37" s="306">
        <f t="shared" si="6"/>
        <v>0</v>
      </c>
      <c r="L37" s="322">
        <v>0.05</v>
      </c>
      <c r="M37" s="320">
        <f t="shared" si="7"/>
        <v>0.125</v>
      </c>
      <c r="N37" s="320">
        <f t="shared" si="8"/>
        <v>0</v>
      </c>
      <c r="O37" s="320">
        <f t="shared" si="9"/>
        <v>0.125</v>
      </c>
      <c r="P37" s="847">
        <f t="shared" si="10"/>
        <v>32769808.743169405</v>
      </c>
      <c r="Q37" s="1053">
        <f t="shared" si="1"/>
        <v>0.125</v>
      </c>
      <c r="R37" s="1047">
        <f t="shared" si="2"/>
        <v>32769808.743169405</v>
      </c>
      <c r="S37" s="310">
        <f t="shared" si="11"/>
        <v>0</v>
      </c>
      <c r="T37" s="366">
        <f>D37*S37</f>
        <v>0</v>
      </c>
      <c r="U37" s="336">
        <f>-'OECD NG subsidies'!E342</f>
        <v>0</v>
      </c>
      <c r="V37" s="342">
        <f>U37*E37</f>
        <v>0</v>
      </c>
      <c r="W37" s="849">
        <f>T37+V37</f>
        <v>0</v>
      </c>
      <c r="X37" s="320">
        <f t="shared" si="12"/>
        <v>2.625</v>
      </c>
      <c r="Y37" s="342">
        <f t="shared" si="13"/>
        <v>688165983.60655749</v>
      </c>
    </row>
    <row r="38" spans="1:25" x14ac:dyDescent="0.6">
      <c r="A38" s="46">
        <f>A37+1</f>
        <v>32</v>
      </c>
      <c r="B38" s="44" t="s">
        <v>50</v>
      </c>
      <c r="C38" s="290">
        <v>6936</v>
      </c>
      <c r="D38" s="348">
        <f>C38*Assumptions!$C$48</f>
        <v>52641165.755919859</v>
      </c>
      <c r="E38" s="399">
        <f>Assumptions!$H$13</f>
        <v>0.30204900000000001</v>
      </c>
      <c r="F38" s="33">
        <f>Assumptions!$C$46</f>
        <v>7.5895567698846396</v>
      </c>
      <c r="G38" s="297">
        <f>Assumptions!$C$63</f>
        <v>27.295999999999999</v>
      </c>
      <c r="H38" s="293"/>
      <c r="I38" s="1439">
        <f>Assumptions!C104</f>
        <v>1.5</v>
      </c>
      <c r="J38" s="84"/>
      <c r="K38" s="306">
        <f t="shared" si="6"/>
        <v>0</v>
      </c>
      <c r="L38" s="322">
        <v>0.19</v>
      </c>
      <c r="M38" s="320">
        <f t="shared" si="7"/>
        <v>0.28500000000000003</v>
      </c>
      <c r="N38" s="320">
        <f t="shared" si="8"/>
        <v>0</v>
      </c>
      <c r="O38" s="320">
        <f t="shared" si="9"/>
        <v>0.28500000000000003</v>
      </c>
      <c r="P38" s="847">
        <f t="shared" si="10"/>
        <v>15002732.240437161</v>
      </c>
      <c r="Q38" s="1053">
        <f t="shared" si="1"/>
        <v>0.28500000000000003</v>
      </c>
      <c r="R38" s="1047">
        <f t="shared" si="2"/>
        <v>15002732.240437161</v>
      </c>
      <c r="S38" s="310">
        <f t="shared" si="11"/>
        <v>0</v>
      </c>
      <c r="T38" s="366">
        <f>D38*S38</f>
        <v>0</v>
      </c>
      <c r="U38" s="336">
        <f>-'OECD NG subsidies'!E346</f>
        <v>0</v>
      </c>
      <c r="V38" s="342">
        <f>U38*E38</f>
        <v>0</v>
      </c>
      <c r="W38" s="849">
        <f>T38+V38</f>
        <v>0</v>
      </c>
      <c r="X38" s="320">
        <f t="shared" si="12"/>
        <v>1.7849999999999999</v>
      </c>
      <c r="Y38" s="342">
        <f t="shared" si="13"/>
        <v>93964480.874316946</v>
      </c>
    </row>
    <row r="39" spans="1:25" ht="15.9" thickBot="1" x14ac:dyDescent="0.65">
      <c r="A39" s="15">
        <f>A38+1</f>
        <v>33</v>
      </c>
      <c r="B39" s="47" t="s">
        <v>51</v>
      </c>
      <c r="C39" s="291">
        <v>100517</v>
      </c>
      <c r="D39" s="349">
        <f>C39*Assumptions!$C$48</f>
        <v>762879477.8384943</v>
      </c>
      <c r="E39" s="417">
        <f>Assumptions!$H$14</f>
        <v>1.7344999999999999E-2</v>
      </c>
      <c r="F39" s="36">
        <f>Assumptions!$C$46</f>
        <v>7.5895567698846396</v>
      </c>
      <c r="G39" s="299">
        <f>Assumptions!$C$63</f>
        <v>27.295999999999999</v>
      </c>
      <c r="H39" s="577">
        <v>22</v>
      </c>
      <c r="I39" s="976">
        <f>H39*E39</f>
        <v>0.38158999999999998</v>
      </c>
      <c r="J39" s="221"/>
      <c r="K39" s="309">
        <f>J39/Assumptions!$C$53*F39*E39</f>
        <v>0</v>
      </c>
      <c r="L39" s="359">
        <v>0.18</v>
      </c>
      <c r="M39" s="321">
        <f t="shared" si="7"/>
        <v>6.8686199999999989E-2</v>
      </c>
      <c r="N39" s="321">
        <f t="shared" si="8"/>
        <v>0</v>
      </c>
      <c r="O39" s="321">
        <f t="shared" si="9"/>
        <v>6.8686199999999989E-2</v>
      </c>
      <c r="P39" s="848">
        <f t="shared" si="10"/>
        <v>52399292.390710376</v>
      </c>
      <c r="Q39" s="1054">
        <f t="shared" si="1"/>
        <v>6.8686199999999989E-2</v>
      </c>
      <c r="R39" s="1048">
        <f t="shared" si="2"/>
        <v>52399292.390710376</v>
      </c>
      <c r="S39" s="312">
        <f t="shared" si="11"/>
        <v>0</v>
      </c>
      <c r="T39" s="368">
        <f>D39*S39</f>
        <v>0</v>
      </c>
      <c r="U39" s="340">
        <f>-'OECD NG subsidies'!E351</f>
        <v>0</v>
      </c>
      <c r="V39" s="344">
        <f>U39*E39</f>
        <v>0</v>
      </c>
      <c r="W39" s="851">
        <f>T39+V39</f>
        <v>0</v>
      </c>
      <c r="X39" s="321">
        <f t="shared" si="12"/>
        <v>0.45027619999999996</v>
      </c>
      <c r="Y39" s="344">
        <f t="shared" si="13"/>
        <v>343506472.33910137</v>
      </c>
    </row>
    <row r="40" spans="1:25" ht="15.9" thickTop="1" x14ac:dyDescent="0.6">
      <c r="A40" s="48" t="s">
        <v>52</v>
      </c>
      <c r="B40" s="44"/>
      <c r="C40" s="290"/>
      <c r="D40" s="348"/>
      <c r="E40" s="391"/>
      <c r="F40" s="33"/>
      <c r="G40" s="297"/>
      <c r="H40" s="383"/>
      <c r="I40" s="973"/>
      <c r="J40" s="665"/>
      <c r="K40" s="978"/>
      <c r="L40" s="322"/>
      <c r="M40" s="320"/>
      <c r="N40" s="320"/>
      <c r="O40" s="320"/>
      <c r="P40" s="847"/>
      <c r="Q40" s="1046"/>
      <c r="R40" s="1047"/>
      <c r="S40" s="395"/>
      <c r="T40" s="396"/>
      <c r="U40" s="542"/>
      <c r="V40" s="543"/>
      <c r="W40" s="398"/>
      <c r="X40" s="547"/>
      <c r="Y40" s="548"/>
    </row>
    <row r="41" spans="1:25" x14ac:dyDescent="0.6">
      <c r="A41" s="46">
        <f>A39+1</f>
        <v>34</v>
      </c>
      <c r="B41" s="44" t="s">
        <v>48</v>
      </c>
      <c r="C41" s="290">
        <v>12133</v>
      </c>
      <c r="D41" s="348">
        <f>C41*Assumptions!$C$48</f>
        <v>92084092.289010331</v>
      </c>
      <c r="E41" s="399">
        <f>Assumptions!$H$25</f>
        <v>5.0333999999999997E-2</v>
      </c>
      <c r="F41" s="33">
        <f>Assumptions!$C$46</f>
        <v>7.5895567698846396</v>
      </c>
      <c r="G41" s="297">
        <f>Assumptions!$C$63</f>
        <v>27.295999999999999</v>
      </c>
      <c r="H41" s="389">
        <v>368.4</v>
      </c>
      <c r="I41" s="973">
        <f t="shared" ref="I41" si="22">H41/G41*E41</f>
        <v>0.6793319753810082</v>
      </c>
      <c r="J41" s="667"/>
      <c r="K41" s="978">
        <f t="shared" ref="K41:K65" si="23">J41*E41*F41</f>
        <v>0</v>
      </c>
      <c r="L41" s="322">
        <v>0.16</v>
      </c>
      <c r="M41" s="329">
        <f>L41*I41</f>
        <v>0.10869311606096131</v>
      </c>
      <c r="N41" s="320"/>
      <c r="O41" s="320">
        <f>N41+M41</f>
        <v>0.10869311606096131</v>
      </c>
      <c r="P41" s="314">
        <f>M41*D41</f>
        <v>10008906.930537673</v>
      </c>
      <c r="Q41" s="1053">
        <f t="shared" si="1"/>
        <v>0.10869311606096131</v>
      </c>
      <c r="R41" s="1047">
        <f t="shared" si="2"/>
        <v>10008906.930537673</v>
      </c>
      <c r="S41" s="395"/>
      <c r="T41" s="396">
        <f t="shared" ref="T41:T65" si="24">D41*S41</f>
        <v>0</v>
      </c>
      <c r="U41" s="336"/>
      <c r="V41" s="342"/>
      <c r="X41" s="549">
        <f t="shared" si="12"/>
        <v>0.78802509144196942</v>
      </c>
      <c r="Y41" s="342">
        <f>X41*D41</f>
        <v>72564575.246398121</v>
      </c>
    </row>
    <row r="42" spans="1:25" x14ac:dyDescent="0.6">
      <c r="A42" s="46">
        <f>A41+1</f>
        <v>35</v>
      </c>
      <c r="B42" s="44" t="s">
        <v>53</v>
      </c>
      <c r="C42" s="290">
        <v>0</v>
      </c>
      <c r="D42" s="348">
        <f>C42*Assumptions!$C$48</f>
        <v>0</v>
      </c>
      <c r="E42" s="391"/>
      <c r="F42" s="33">
        <f>Assumptions!$C$46</f>
        <v>7.5895567698846396</v>
      </c>
      <c r="G42" s="297">
        <f>Assumptions!$C$63</f>
        <v>27.295999999999999</v>
      </c>
      <c r="H42" s="383"/>
      <c r="I42" s="1439">
        <f>Assumptions!$C$104</f>
        <v>1.5</v>
      </c>
      <c r="J42" s="667"/>
      <c r="K42" s="978">
        <f t="shared" si="23"/>
        <v>0</v>
      </c>
      <c r="L42" s="322">
        <f>Gasoline!K42</f>
        <v>0</v>
      </c>
      <c r="M42" s="329">
        <f>L42*I42</f>
        <v>0</v>
      </c>
      <c r="N42" s="320"/>
      <c r="O42" s="320">
        <f>N42+M42</f>
        <v>0</v>
      </c>
      <c r="P42" s="314">
        <f t="shared" ref="P42:P65" si="25">M42*D42</f>
        <v>0</v>
      </c>
      <c r="Q42" s="1046"/>
      <c r="R42" s="1047">
        <f t="shared" si="2"/>
        <v>0</v>
      </c>
      <c r="S42" s="395"/>
      <c r="T42" s="394">
        <f t="shared" si="24"/>
        <v>0</v>
      </c>
      <c r="U42" s="336"/>
      <c r="V42" s="342"/>
      <c r="X42" s="549">
        <f t="shared" si="12"/>
        <v>1.5</v>
      </c>
      <c r="Y42" s="342">
        <f t="shared" ref="Y42:Y65" si="26">X42*D42</f>
        <v>0</v>
      </c>
    </row>
    <row r="43" spans="1:25" x14ac:dyDescent="0.6">
      <c r="A43" s="46">
        <f t="shared" ref="A43:A65" si="27">A42+1</f>
        <v>36</v>
      </c>
      <c r="B43" s="44" t="s">
        <v>54</v>
      </c>
      <c r="C43" s="290">
        <v>0</v>
      </c>
      <c r="D43" s="348">
        <f>C43*Assumptions!$C$48</f>
        <v>0</v>
      </c>
      <c r="E43" s="391"/>
      <c r="F43" s="33">
        <f>Assumptions!$C$46</f>
        <v>7.5895567698846396</v>
      </c>
      <c r="G43" s="297">
        <f>Assumptions!$C$63</f>
        <v>27.295999999999999</v>
      </c>
      <c r="H43" s="383"/>
      <c r="I43" s="1439">
        <f>Assumptions!$C$104</f>
        <v>1.5</v>
      </c>
      <c r="J43" s="667"/>
      <c r="K43" s="979">
        <f t="shared" si="23"/>
        <v>0</v>
      </c>
      <c r="L43" s="322">
        <f>Gasoline!K43</f>
        <v>0</v>
      </c>
      <c r="M43" s="329">
        <f t="shared" ref="M43:M65" si="28">L43*I43</f>
        <v>0</v>
      </c>
      <c r="N43" s="320"/>
      <c r="O43" s="320">
        <f t="shared" ref="O43:O65" si="29">N43+M43</f>
        <v>0</v>
      </c>
      <c r="P43" s="314">
        <f t="shared" si="25"/>
        <v>0</v>
      </c>
      <c r="Q43" s="1046"/>
      <c r="R43" s="1047">
        <f t="shared" si="2"/>
        <v>0</v>
      </c>
      <c r="S43" s="395"/>
      <c r="T43" s="396">
        <f t="shared" si="24"/>
        <v>0</v>
      </c>
      <c r="U43" s="336"/>
      <c r="V43" s="342"/>
      <c r="X43" s="549">
        <f t="shared" si="12"/>
        <v>1.5</v>
      </c>
      <c r="Y43" s="342">
        <f t="shared" si="26"/>
        <v>0</v>
      </c>
    </row>
    <row r="44" spans="1:25" x14ac:dyDescent="0.6">
      <c r="A44" s="46">
        <f t="shared" si="27"/>
        <v>37</v>
      </c>
      <c r="B44" s="44" t="s">
        <v>55</v>
      </c>
      <c r="C44" s="290">
        <v>8593</v>
      </c>
      <c r="D44" s="348">
        <f>C44*Assumptions!$C$48</f>
        <v>65217061.32361871</v>
      </c>
      <c r="E44" s="391"/>
      <c r="F44" s="33">
        <f>Assumptions!$C$46</f>
        <v>7.5895567698846396</v>
      </c>
      <c r="G44" s="297">
        <f>Assumptions!$C$63</f>
        <v>27.295999999999999</v>
      </c>
      <c r="H44" s="383"/>
      <c r="I44" s="1439">
        <f>Assumptions!$C$104</f>
        <v>1.5</v>
      </c>
      <c r="J44" s="667"/>
      <c r="K44" s="979">
        <f t="shared" si="23"/>
        <v>0</v>
      </c>
      <c r="L44" s="322">
        <f>Gasoline!K44</f>
        <v>0</v>
      </c>
      <c r="M44" s="329">
        <f t="shared" si="28"/>
        <v>0</v>
      </c>
      <c r="N44" s="320"/>
      <c r="O44" s="320">
        <f t="shared" si="29"/>
        <v>0</v>
      </c>
      <c r="P44" s="314">
        <f t="shared" si="25"/>
        <v>0</v>
      </c>
      <c r="Q44" s="1046"/>
      <c r="R44" s="1047">
        <f t="shared" si="2"/>
        <v>0</v>
      </c>
      <c r="S44" s="401"/>
      <c r="T44" s="396">
        <f t="shared" si="24"/>
        <v>0</v>
      </c>
      <c r="U44" s="336"/>
      <c r="V44" s="342"/>
      <c r="X44" s="549">
        <f t="shared" si="12"/>
        <v>1.5</v>
      </c>
      <c r="Y44" s="342">
        <f t="shared" si="26"/>
        <v>97825591.985428065</v>
      </c>
    </row>
    <row r="45" spans="1:25" x14ac:dyDescent="0.6">
      <c r="A45" s="46">
        <f t="shared" si="27"/>
        <v>38</v>
      </c>
      <c r="B45" s="44" t="s">
        <v>56</v>
      </c>
      <c r="C45" s="290">
        <v>0</v>
      </c>
      <c r="D45" s="348">
        <f>C45*Assumptions!$C$48</f>
        <v>0</v>
      </c>
      <c r="E45" s="391"/>
      <c r="F45" s="33">
        <f>Assumptions!$C$46</f>
        <v>7.5895567698846396</v>
      </c>
      <c r="G45" s="297">
        <f>Assumptions!$C$63</f>
        <v>27.295999999999999</v>
      </c>
      <c r="H45" s="383"/>
      <c r="I45" s="1439">
        <f>Assumptions!$C$104</f>
        <v>1.5</v>
      </c>
      <c r="J45" s="667"/>
      <c r="K45" s="979">
        <f t="shared" si="23"/>
        <v>0</v>
      </c>
      <c r="L45" s="322">
        <f>Gasoline!K45</f>
        <v>0</v>
      </c>
      <c r="M45" s="329">
        <f t="shared" si="28"/>
        <v>0</v>
      </c>
      <c r="N45" s="320"/>
      <c r="O45" s="320">
        <f t="shared" si="29"/>
        <v>0</v>
      </c>
      <c r="P45" s="314">
        <f t="shared" si="25"/>
        <v>0</v>
      </c>
      <c r="Q45" s="1046"/>
      <c r="R45" s="1047">
        <f t="shared" si="2"/>
        <v>0</v>
      </c>
      <c r="S45" s="401"/>
      <c r="T45" s="396">
        <f t="shared" si="24"/>
        <v>0</v>
      </c>
      <c r="U45" s="336"/>
      <c r="V45" s="342"/>
      <c r="X45" s="549">
        <f t="shared" si="12"/>
        <v>1.5</v>
      </c>
      <c r="Y45" s="342">
        <f t="shared" si="26"/>
        <v>0</v>
      </c>
    </row>
    <row r="46" spans="1:25" x14ac:dyDescent="0.6">
      <c r="A46" s="46">
        <f t="shared" si="27"/>
        <v>39</v>
      </c>
      <c r="B46" s="44" t="s">
        <v>57</v>
      </c>
      <c r="C46" s="290">
        <v>0</v>
      </c>
      <c r="D46" s="348">
        <f>C46*Assumptions!$C$48</f>
        <v>0</v>
      </c>
      <c r="E46" s="391"/>
      <c r="F46" s="33">
        <f>Assumptions!$C$46</f>
        <v>7.5895567698846396</v>
      </c>
      <c r="G46" s="297">
        <f>Assumptions!$C$63</f>
        <v>27.295999999999999</v>
      </c>
      <c r="H46" s="383"/>
      <c r="I46" s="1439">
        <f>Assumptions!$C$104</f>
        <v>1.5</v>
      </c>
      <c r="J46" s="667"/>
      <c r="K46" s="980">
        <f t="shared" si="23"/>
        <v>0</v>
      </c>
      <c r="L46" s="322">
        <f>Gasoline!K46</f>
        <v>0</v>
      </c>
      <c r="M46" s="329">
        <f t="shared" si="28"/>
        <v>0</v>
      </c>
      <c r="N46" s="320"/>
      <c r="O46" s="320">
        <f t="shared" si="29"/>
        <v>0</v>
      </c>
      <c r="P46" s="314">
        <f t="shared" si="25"/>
        <v>0</v>
      </c>
      <c r="Q46" s="1046"/>
      <c r="R46" s="1047">
        <f t="shared" si="2"/>
        <v>0</v>
      </c>
      <c r="S46" s="401"/>
      <c r="T46" s="396">
        <f t="shared" si="24"/>
        <v>0</v>
      </c>
      <c r="U46" s="336"/>
      <c r="V46" s="342"/>
      <c r="X46" s="549">
        <f t="shared" si="12"/>
        <v>1.5</v>
      </c>
      <c r="Y46" s="342">
        <f t="shared" si="26"/>
        <v>0</v>
      </c>
    </row>
    <row r="47" spans="1:25" x14ac:dyDescent="0.6">
      <c r="A47" s="46">
        <f t="shared" si="27"/>
        <v>40</v>
      </c>
      <c r="B47" s="44" t="s">
        <v>58</v>
      </c>
      <c r="C47" s="290">
        <v>0</v>
      </c>
      <c r="D47" s="348">
        <f>C47*Assumptions!$C$48</f>
        <v>0</v>
      </c>
      <c r="E47" s="391"/>
      <c r="F47" s="33">
        <f>Assumptions!$C$46</f>
        <v>7.5895567698846396</v>
      </c>
      <c r="G47" s="297">
        <f>Assumptions!$C$63</f>
        <v>27.295999999999999</v>
      </c>
      <c r="H47" s="383"/>
      <c r="I47" s="1439">
        <f>Assumptions!$C$104</f>
        <v>1.5</v>
      </c>
      <c r="J47" s="667"/>
      <c r="K47" s="980">
        <f t="shared" si="23"/>
        <v>0</v>
      </c>
      <c r="L47" s="322">
        <f>Gasoline!K47</f>
        <v>0</v>
      </c>
      <c r="M47" s="329">
        <f t="shared" si="28"/>
        <v>0</v>
      </c>
      <c r="N47" s="320"/>
      <c r="O47" s="320">
        <f t="shared" si="29"/>
        <v>0</v>
      </c>
      <c r="P47" s="314">
        <f t="shared" si="25"/>
        <v>0</v>
      </c>
      <c r="Q47" s="1046"/>
      <c r="R47" s="1047">
        <f t="shared" si="2"/>
        <v>0</v>
      </c>
      <c r="S47" s="402"/>
      <c r="T47" s="403">
        <f t="shared" si="24"/>
        <v>0</v>
      </c>
      <c r="U47" s="336"/>
      <c r="V47" s="342"/>
      <c r="X47" s="549">
        <f t="shared" si="12"/>
        <v>1.5</v>
      </c>
      <c r="Y47" s="342">
        <f t="shared" si="26"/>
        <v>0</v>
      </c>
    </row>
    <row r="48" spans="1:25" x14ac:dyDescent="0.6">
      <c r="A48" s="46">
        <f t="shared" si="27"/>
        <v>41</v>
      </c>
      <c r="B48" s="44" t="s">
        <v>59</v>
      </c>
      <c r="C48" s="290">
        <v>0</v>
      </c>
      <c r="D48" s="348">
        <f>C48*Assumptions!$C$48</f>
        <v>0</v>
      </c>
      <c r="E48" s="579">
        <f>Assumptions!$H$26</f>
        <v>0.13106999999999999</v>
      </c>
      <c r="F48" s="33">
        <f>Assumptions!$C$46</f>
        <v>7.5895567698846396</v>
      </c>
      <c r="G48" s="297">
        <f>Assumptions!$C$63</f>
        <v>27.295999999999999</v>
      </c>
      <c r="H48" s="383"/>
      <c r="I48" s="1439">
        <f>Assumptions!$C$104</f>
        <v>1.5</v>
      </c>
      <c r="J48" s="667"/>
      <c r="K48" s="980">
        <f t="shared" si="23"/>
        <v>0</v>
      </c>
      <c r="L48" s="322">
        <f>Gasoline!K48</f>
        <v>0</v>
      </c>
      <c r="M48" s="329">
        <f t="shared" si="28"/>
        <v>0</v>
      </c>
      <c r="N48" s="320"/>
      <c r="O48" s="320">
        <f t="shared" si="29"/>
        <v>0</v>
      </c>
      <c r="P48" s="314">
        <f t="shared" si="25"/>
        <v>0</v>
      </c>
      <c r="Q48" s="1046"/>
      <c r="R48" s="1047">
        <f t="shared" si="2"/>
        <v>0</v>
      </c>
      <c r="S48" s="402"/>
      <c r="T48" s="396">
        <f t="shared" si="24"/>
        <v>0</v>
      </c>
      <c r="U48" s="336"/>
      <c r="V48" s="342"/>
      <c r="X48" s="549">
        <f t="shared" si="12"/>
        <v>1.5</v>
      </c>
      <c r="Y48" s="342">
        <f t="shared" si="26"/>
        <v>0</v>
      </c>
    </row>
    <row r="49" spans="1:25" x14ac:dyDescent="0.6">
      <c r="A49" s="46">
        <f t="shared" si="27"/>
        <v>42</v>
      </c>
      <c r="B49" s="44" t="s">
        <v>60</v>
      </c>
      <c r="C49" s="290">
        <v>0</v>
      </c>
      <c r="D49" s="348">
        <f>C49*Assumptions!$C$48</f>
        <v>0</v>
      </c>
      <c r="E49" s="391"/>
      <c r="F49" s="33">
        <f>Assumptions!$C$46</f>
        <v>7.5895567698846396</v>
      </c>
      <c r="G49" s="297">
        <f>Assumptions!$C$63</f>
        <v>27.295999999999999</v>
      </c>
      <c r="H49" s="383"/>
      <c r="I49" s="1439">
        <f>Assumptions!$C$104</f>
        <v>1.5</v>
      </c>
      <c r="J49" s="667"/>
      <c r="K49" s="979">
        <f t="shared" si="23"/>
        <v>0</v>
      </c>
      <c r="L49" s="322">
        <f>Gasoline!K49</f>
        <v>0</v>
      </c>
      <c r="M49" s="329">
        <f t="shared" si="28"/>
        <v>0</v>
      </c>
      <c r="N49" s="320"/>
      <c r="O49" s="320">
        <f t="shared" si="29"/>
        <v>0</v>
      </c>
      <c r="P49" s="314">
        <f t="shared" si="25"/>
        <v>0</v>
      </c>
      <c r="Q49" s="1046"/>
      <c r="R49" s="1047">
        <f t="shared" si="2"/>
        <v>0</v>
      </c>
      <c r="S49" s="402"/>
      <c r="T49" s="396">
        <f t="shared" si="24"/>
        <v>0</v>
      </c>
      <c r="U49" s="336"/>
      <c r="V49" s="342"/>
      <c r="X49" s="549">
        <f t="shared" si="12"/>
        <v>1.5</v>
      </c>
      <c r="Y49" s="342">
        <f t="shared" si="26"/>
        <v>0</v>
      </c>
    </row>
    <row r="50" spans="1:25" x14ac:dyDescent="0.6">
      <c r="A50" s="46">
        <f t="shared" si="27"/>
        <v>43</v>
      </c>
      <c r="B50" s="44" t="s">
        <v>61</v>
      </c>
      <c r="C50" s="290">
        <v>9186</v>
      </c>
      <c r="D50" s="348">
        <f>C50*Assumptions!$C$48</f>
        <v>69717668.488160297</v>
      </c>
      <c r="E50" s="578">
        <f>Assumptions!$H$23</f>
        <v>7.3999999999999996E-5</v>
      </c>
      <c r="F50" s="33">
        <f>Assumptions!$C$46</f>
        <v>7.5895567698846396</v>
      </c>
      <c r="G50" s="297">
        <f>Assumptions!$C$63</f>
        <v>27.295999999999999</v>
      </c>
      <c r="H50" s="383"/>
      <c r="I50" s="1439">
        <f>Assumptions!$C$104</f>
        <v>1.5</v>
      </c>
      <c r="J50" s="667"/>
      <c r="K50" s="980">
        <f t="shared" si="23"/>
        <v>0</v>
      </c>
      <c r="L50" s="322">
        <f>Gasoline!K50</f>
        <v>0</v>
      </c>
      <c r="M50" s="329">
        <f t="shared" si="28"/>
        <v>0</v>
      </c>
      <c r="N50" s="320"/>
      <c r="O50" s="320">
        <f t="shared" si="29"/>
        <v>0</v>
      </c>
      <c r="P50" s="314">
        <f t="shared" si="25"/>
        <v>0</v>
      </c>
      <c r="Q50" s="1046"/>
      <c r="R50" s="1047">
        <f t="shared" si="2"/>
        <v>0</v>
      </c>
      <c r="S50" s="401"/>
      <c r="T50" s="396">
        <f t="shared" si="24"/>
        <v>0</v>
      </c>
      <c r="U50" s="336"/>
      <c r="V50" s="342"/>
      <c r="X50" s="549">
        <f t="shared" si="12"/>
        <v>1.5</v>
      </c>
      <c r="Y50" s="342">
        <f t="shared" si="26"/>
        <v>104576502.73224044</v>
      </c>
    </row>
    <row r="51" spans="1:25" x14ac:dyDescent="0.6">
      <c r="A51" s="46">
        <f t="shared" si="27"/>
        <v>44</v>
      </c>
      <c r="B51" s="44" t="s">
        <v>62</v>
      </c>
      <c r="C51" s="290">
        <v>0</v>
      </c>
      <c r="D51" s="348">
        <f>C51*Assumptions!$C$48</f>
        <v>0</v>
      </c>
      <c r="E51" s="391"/>
      <c r="F51" s="33">
        <f>Assumptions!$C$46</f>
        <v>7.5895567698846396</v>
      </c>
      <c r="G51" s="297">
        <f>Assumptions!$C$63</f>
        <v>27.295999999999999</v>
      </c>
      <c r="H51" s="383"/>
      <c r="I51" s="1439">
        <f>Assumptions!$C$104</f>
        <v>1.5</v>
      </c>
      <c r="J51" s="667"/>
      <c r="K51" s="980">
        <f t="shared" si="23"/>
        <v>0</v>
      </c>
      <c r="L51" s="322">
        <f>Gasoline!K51</f>
        <v>0</v>
      </c>
      <c r="M51" s="329">
        <f t="shared" si="28"/>
        <v>0</v>
      </c>
      <c r="N51" s="320"/>
      <c r="O51" s="320">
        <f t="shared" si="29"/>
        <v>0</v>
      </c>
      <c r="P51" s="314">
        <f t="shared" si="25"/>
        <v>0</v>
      </c>
      <c r="Q51" s="1046"/>
      <c r="R51" s="1047">
        <f t="shared" si="2"/>
        <v>0</v>
      </c>
      <c r="S51" s="402"/>
      <c r="T51" s="396">
        <f t="shared" si="24"/>
        <v>0</v>
      </c>
      <c r="U51" s="336"/>
      <c r="V51" s="342"/>
      <c r="X51" s="549">
        <f t="shared" si="12"/>
        <v>1.5</v>
      </c>
      <c r="Y51" s="342">
        <f t="shared" si="26"/>
        <v>0</v>
      </c>
    </row>
    <row r="52" spans="1:25" x14ac:dyDescent="0.6">
      <c r="A52" s="46">
        <f t="shared" si="27"/>
        <v>45</v>
      </c>
      <c r="B52" s="44" t="s">
        <v>63</v>
      </c>
      <c r="C52" s="290">
        <v>273131</v>
      </c>
      <c r="D52" s="348">
        <f>C52*Assumptions!$C$48</f>
        <v>2072943230.1153615</v>
      </c>
      <c r="E52" s="579">
        <f>Assumptions!$H$27</f>
        <v>2.8E-5</v>
      </c>
      <c r="F52" s="33">
        <f>Assumptions!$C$46</f>
        <v>7.5895567698846396</v>
      </c>
      <c r="G52" s="297">
        <f>Assumptions!$C$63</f>
        <v>27.295999999999999</v>
      </c>
      <c r="H52" s="383"/>
      <c r="I52" s="1439">
        <f>Assumptions!$C$104</f>
        <v>1.5</v>
      </c>
      <c r="J52" s="667"/>
      <c r="K52" s="980">
        <f t="shared" si="23"/>
        <v>0</v>
      </c>
      <c r="L52" s="322">
        <f>Gasoline!K52</f>
        <v>0</v>
      </c>
      <c r="M52" s="329">
        <f t="shared" si="28"/>
        <v>0</v>
      </c>
      <c r="N52" s="320"/>
      <c r="O52" s="320">
        <f t="shared" si="29"/>
        <v>0</v>
      </c>
      <c r="P52" s="314">
        <f t="shared" si="25"/>
        <v>0</v>
      </c>
      <c r="Q52" s="1046"/>
      <c r="R52" s="1047">
        <f t="shared" si="2"/>
        <v>0</v>
      </c>
      <c r="S52" s="402"/>
      <c r="T52" s="396">
        <f t="shared" si="24"/>
        <v>0</v>
      </c>
      <c r="U52" s="336"/>
      <c r="V52" s="342"/>
      <c r="X52" s="549">
        <f t="shared" si="12"/>
        <v>1.5</v>
      </c>
      <c r="Y52" s="342">
        <f t="shared" si="26"/>
        <v>3109414845.1730423</v>
      </c>
    </row>
    <row r="53" spans="1:25" x14ac:dyDescent="0.6">
      <c r="A53" s="46">
        <f t="shared" si="27"/>
        <v>46</v>
      </c>
      <c r="B53" s="44" t="s">
        <v>64</v>
      </c>
      <c r="C53" s="290">
        <v>35803</v>
      </c>
      <c r="D53" s="348">
        <f>C53*Assumptions!$C$48</f>
        <v>271728901.03217977</v>
      </c>
      <c r="E53" s="391"/>
      <c r="F53" s="33">
        <f>Assumptions!$C$46</f>
        <v>7.5895567698846396</v>
      </c>
      <c r="G53" s="297">
        <f>Assumptions!$C$63</f>
        <v>27.295999999999999</v>
      </c>
      <c r="H53" s="383"/>
      <c r="I53" s="1439">
        <f>Assumptions!$C$104</f>
        <v>1.5</v>
      </c>
      <c r="J53" s="667"/>
      <c r="K53" s="980">
        <f t="shared" si="23"/>
        <v>0</v>
      </c>
      <c r="L53" s="322">
        <f>Gasoline!K53</f>
        <v>0</v>
      </c>
      <c r="M53" s="329">
        <f t="shared" si="28"/>
        <v>0</v>
      </c>
      <c r="N53" s="320"/>
      <c r="O53" s="320">
        <f t="shared" si="29"/>
        <v>0</v>
      </c>
      <c r="P53" s="314">
        <f t="shared" si="25"/>
        <v>0</v>
      </c>
      <c r="Q53" s="1046"/>
      <c r="R53" s="1047">
        <f t="shared" si="2"/>
        <v>0</v>
      </c>
      <c r="S53" s="402"/>
      <c r="T53" s="396">
        <f t="shared" si="24"/>
        <v>0</v>
      </c>
      <c r="U53" s="336"/>
      <c r="V53" s="342"/>
      <c r="X53" s="549">
        <f t="shared" si="12"/>
        <v>1.5</v>
      </c>
      <c r="Y53" s="342">
        <f t="shared" si="26"/>
        <v>407593351.54826963</v>
      </c>
    </row>
    <row r="54" spans="1:25" x14ac:dyDescent="0.6">
      <c r="A54" s="46">
        <f t="shared" si="27"/>
        <v>47</v>
      </c>
      <c r="B54" s="44" t="s">
        <v>65</v>
      </c>
      <c r="C54" s="290">
        <v>0</v>
      </c>
      <c r="D54" s="348">
        <f>C54*Assumptions!$C$48</f>
        <v>0</v>
      </c>
      <c r="E54" s="391"/>
      <c r="F54" s="33">
        <f>Assumptions!$C$46</f>
        <v>7.5895567698846396</v>
      </c>
      <c r="G54" s="297">
        <f>Assumptions!$C$63</f>
        <v>27.295999999999999</v>
      </c>
      <c r="H54" s="383"/>
      <c r="I54" s="1439">
        <f>Assumptions!$C$104</f>
        <v>1.5</v>
      </c>
      <c r="J54" s="667"/>
      <c r="K54" s="980">
        <f t="shared" si="23"/>
        <v>0</v>
      </c>
      <c r="L54" s="322">
        <f>Gasoline!K54</f>
        <v>0</v>
      </c>
      <c r="M54" s="329">
        <f t="shared" si="28"/>
        <v>0</v>
      </c>
      <c r="N54" s="320"/>
      <c r="O54" s="320">
        <f t="shared" si="29"/>
        <v>0</v>
      </c>
      <c r="P54" s="314">
        <f t="shared" si="25"/>
        <v>0</v>
      </c>
      <c r="Q54" s="1046"/>
      <c r="R54" s="1047">
        <f t="shared" si="2"/>
        <v>0</v>
      </c>
      <c r="S54" s="402"/>
      <c r="T54" s="396">
        <f t="shared" si="24"/>
        <v>0</v>
      </c>
      <c r="U54" s="336"/>
      <c r="V54" s="544"/>
      <c r="W54" s="83"/>
      <c r="X54" s="549">
        <f t="shared" si="12"/>
        <v>1.5</v>
      </c>
      <c r="Y54" s="342">
        <f t="shared" si="26"/>
        <v>0</v>
      </c>
    </row>
    <row r="55" spans="1:25" x14ac:dyDescent="0.6">
      <c r="A55" s="46">
        <f t="shared" si="27"/>
        <v>48</v>
      </c>
      <c r="B55" s="44" t="s">
        <v>66</v>
      </c>
      <c r="C55" s="290">
        <v>0</v>
      </c>
      <c r="D55" s="348">
        <f>C55*Assumptions!$C$48</f>
        <v>0</v>
      </c>
      <c r="E55" s="391"/>
      <c r="F55" s="33">
        <f>Assumptions!$C$46</f>
        <v>7.5895567698846396</v>
      </c>
      <c r="G55" s="297">
        <f>Assumptions!$C$63</f>
        <v>27.295999999999999</v>
      </c>
      <c r="H55" s="383"/>
      <c r="I55" s="1439">
        <f>Assumptions!$C$104</f>
        <v>1.5</v>
      </c>
      <c r="J55" s="667"/>
      <c r="K55" s="980">
        <f t="shared" si="23"/>
        <v>0</v>
      </c>
      <c r="L55" s="322">
        <f>Gasoline!K55</f>
        <v>0</v>
      </c>
      <c r="M55" s="329">
        <f t="shared" si="28"/>
        <v>0</v>
      </c>
      <c r="N55" s="320"/>
      <c r="O55" s="320">
        <f t="shared" si="29"/>
        <v>0</v>
      </c>
      <c r="P55" s="314">
        <f t="shared" si="25"/>
        <v>0</v>
      </c>
      <c r="Q55" s="1046"/>
      <c r="R55" s="1047">
        <f t="shared" si="2"/>
        <v>0</v>
      </c>
      <c r="S55" s="402"/>
      <c r="T55" s="396">
        <f t="shared" si="24"/>
        <v>0</v>
      </c>
      <c r="U55" s="336"/>
      <c r="V55" s="544"/>
      <c r="W55" s="83"/>
      <c r="X55" s="549">
        <f t="shared" si="12"/>
        <v>1.5</v>
      </c>
      <c r="Y55" s="342">
        <f t="shared" si="26"/>
        <v>0</v>
      </c>
    </row>
    <row r="56" spans="1:25" x14ac:dyDescent="0.6">
      <c r="A56" s="46">
        <f t="shared" si="27"/>
        <v>49</v>
      </c>
      <c r="B56" s="44" t="s">
        <v>67</v>
      </c>
      <c r="C56" s="290">
        <v>1098</v>
      </c>
      <c r="D56" s="348">
        <f>C56*Assumptions!$C$48</f>
        <v>8333333.3333333349</v>
      </c>
      <c r="E56" s="579">
        <f>Assumptions!$H$28</f>
        <v>0.244814</v>
      </c>
      <c r="F56" s="33">
        <f>Assumptions!$C$46</f>
        <v>7.5895567698846396</v>
      </c>
      <c r="G56" s="297">
        <f>Assumptions!$C$63</f>
        <v>27.295999999999999</v>
      </c>
      <c r="H56" s="383"/>
      <c r="I56" s="1439">
        <f>Assumptions!$C$104</f>
        <v>1.5</v>
      </c>
      <c r="J56" s="667"/>
      <c r="K56" s="980">
        <f t="shared" si="23"/>
        <v>0</v>
      </c>
      <c r="L56" s="322">
        <f>Gasoline!K56</f>
        <v>0</v>
      </c>
      <c r="M56" s="329">
        <f t="shared" si="28"/>
        <v>0</v>
      </c>
      <c r="N56" s="320"/>
      <c r="O56" s="320">
        <f t="shared" si="29"/>
        <v>0</v>
      </c>
      <c r="P56" s="314">
        <f t="shared" si="25"/>
        <v>0</v>
      </c>
      <c r="Q56" s="1046"/>
      <c r="R56" s="1047">
        <f t="shared" si="2"/>
        <v>0</v>
      </c>
      <c r="S56" s="402"/>
      <c r="T56" s="396">
        <f t="shared" si="24"/>
        <v>0</v>
      </c>
      <c r="U56" s="336"/>
      <c r="V56" s="544"/>
      <c r="W56" s="83"/>
      <c r="X56" s="549">
        <f t="shared" si="12"/>
        <v>1.5</v>
      </c>
      <c r="Y56" s="342">
        <f t="shared" si="26"/>
        <v>12500000.000000002</v>
      </c>
    </row>
    <row r="57" spans="1:25" x14ac:dyDescent="0.6">
      <c r="A57" s="46">
        <f t="shared" si="27"/>
        <v>50</v>
      </c>
      <c r="B57" s="44" t="s">
        <v>68</v>
      </c>
      <c r="C57" s="290">
        <v>0</v>
      </c>
      <c r="D57" s="348">
        <f>C57*Assumptions!$C$48</f>
        <v>0</v>
      </c>
      <c r="E57" s="391"/>
      <c r="F57" s="33">
        <f>Assumptions!$C$46</f>
        <v>7.5895567698846396</v>
      </c>
      <c r="G57" s="297">
        <f>Assumptions!$C$63</f>
        <v>27.295999999999999</v>
      </c>
      <c r="H57" s="383"/>
      <c r="I57" s="1439">
        <f>Assumptions!$C$104</f>
        <v>1.5</v>
      </c>
      <c r="J57" s="667"/>
      <c r="K57" s="980">
        <f t="shared" si="23"/>
        <v>0</v>
      </c>
      <c r="L57" s="322">
        <f>Gasoline!K57</f>
        <v>0</v>
      </c>
      <c r="M57" s="329">
        <f t="shared" si="28"/>
        <v>0</v>
      </c>
      <c r="N57" s="320"/>
      <c r="O57" s="320">
        <f t="shared" si="29"/>
        <v>0</v>
      </c>
      <c r="P57" s="314">
        <f t="shared" si="25"/>
        <v>0</v>
      </c>
      <c r="Q57" s="1046"/>
      <c r="R57" s="1047">
        <f t="shared" si="2"/>
        <v>0</v>
      </c>
      <c r="S57" s="402"/>
      <c r="T57" s="396">
        <f t="shared" si="24"/>
        <v>0</v>
      </c>
      <c r="U57" s="336"/>
      <c r="V57" s="544"/>
      <c r="W57" s="83"/>
      <c r="X57" s="549">
        <f t="shared" si="12"/>
        <v>1.5</v>
      </c>
      <c r="Y57" s="342">
        <f t="shared" si="26"/>
        <v>0</v>
      </c>
    </row>
    <row r="58" spans="1:25" x14ac:dyDescent="0.6">
      <c r="A58" s="46">
        <f t="shared" si="27"/>
        <v>51</v>
      </c>
      <c r="B58" s="44" t="s">
        <v>695</v>
      </c>
      <c r="C58" s="290">
        <v>0</v>
      </c>
      <c r="D58" s="348">
        <f>C58*Assumptions!$C$48</f>
        <v>0</v>
      </c>
      <c r="E58" s="391"/>
      <c r="F58" s="33">
        <f>Assumptions!$C$46</f>
        <v>7.5895567698846396</v>
      </c>
      <c r="G58" s="297">
        <f>Assumptions!$C$63</f>
        <v>27.295999999999999</v>
      </c>
      <c r="H58" s="383"/>
      <c r="I58" s="1439">
        <f>Assumptions!$C$104</f>
        <v>1.5</v>
      </c>
      <c r="J58" s="667"/>
      <c r="K58" s="980"/>
      <c r="L58" s="322">
        <f>Gasoline!K58</f>
        <v>0</v>
      </c>
      <c r="M58" s="329">
        <f t="shared" si="28"/>
        <v>0</v>
      </c>
      <c r="N58" s="320"/>
      <c r="O58" s="320">
        <f t="shared" si="29"/>
        <v>0</v>
      </c>
      <c r="P58" s="314">
        <f t="shared" si="25"/>
        <v>0</v>
      </c>
      <c r="Q58" s="1046"/>
      <c r="R58" s="1047">
        <f t="shared" si="2"/>
        <v>0</v>
      </c>
      <c r="S58" s="402"/>
      <c r="T58" s="396"/>
      <c r="U58" s="336"/>
      <c r="V58" s="544"/>
      <c r="W58" s="83"/>
      <c r="X58" s="549">
        <f t="shared" si="12"/>
        <v>1.5</v>
      </c>
      <c r="Y58" s="342">
        <f t="shared" si="26"/>
        <v>0</v>
      </c>
    </row>
    <row r="59" spans="1:25" x14ac:dyDescent="0.6">
      <c r="A59" s="46">
        <f t="shared" si="27"/>
        <v>52</v>
      </c>
      <c r="B59" s="44" t="s">
        <v>69</v>
      </c>
      <c r="C59" s="290">
        <v>0</v>
      </c>
      <c r="D59" s="348">
        <f>C59*Assumptions!$C$48</f>
        <v>0</v>
      </c>
      <c r="E59" s="391"/>
      <c r="F59" s="33">
        <f>Assumptions!$C$46</f>
        <v>7.5895567698846396</v>
      </c>
      <c r="G59" s="297">
        <f>Assumptions!$C$63</f>
        <v>27.295999999999999</v>
      </c>
      <c r="H59" s="383"/>
      <c r="I59" s="1439">
        <f>Assumptions!$C$104</f>
        <v>1.5</v>
      </c>
      <c r="J59" s="667"/>
      <c r="K59" s="980">
        <f t="shared" si="23"/>
        <v>0</v>
      </c>
      <c r="L59" s="322">
        <f>Gasoline!K59</f>
        <v>0</v>
      </c>
      <c r="M59" s="329">
        <f t="shared" si="28"/>
        <v>0</v>
      </c>
      <c r="N59" s="320"/>
      <c r="O59" s="320">
        <f t="shared" si="29"/>
        <v>0</v>
      </c>
      <c r="P59" s="314">
        <f t="shared" si="25"/>
        <v>0</v>
      </c>
      <c r="Q59" s="1046"/>
      <c r="R59" s="1047">
        <f t="shared" si="2"/>
        <v>0</v>
      </c>
      <c r="S59" s="402"/>
      <c r="T59" s="396">
        <f t="shared" si="24"/>
        <v>0</v>
      </c>
      <c r="U59" s="336"/>
      <c r="V59" s="544"/>
      <c r="W59" s="83"/>
      <c r="X59" s="549">
        <f t="shared" si="12"/>
        <v>1.5</v>
      </c>
      <c r="Y59" s="342">
        <f t="shared" si="26"/>
        <v>0</v>
      </c>
    </row>
    <row r="60" spans="1:25" x14ac:dyDescent="0.6">
      <c r="A60" s="46">
        <f t="shared" si="27"/>
        <v>53</v>
      </c>
      <c r="B60" s="44" t="s">
        <v>70</v>
      </c>
      <c r="C60" s="290">
        <v>0</v>
      </c>
      <c r="D60" s="348">
        <f>C60*Assumptions!$C$48</f>
        <v>0</v>
      </c>
      <c r="E60" s="579">
        <f>Assumptions!$H$24</f>
        <v>0.26666699999999999</v>
      </c>
      <c r="F60" s="33">
        <f>Assumptions!$C$46</f>
        <v>7.5895567698846396</v>
      </c>
      <c r="G60" s="297">
        <f>Assumptions!$C$63</f>
        <v>27.295999999999999</v>
      </c>
      <c r="H60" s="383"/>
      <c r="I60" s="1439">
        <f>Assumptions!$C$104</f>
        <v>1.5</v>
      </c>
      <c r="J60" s="667"/>
      <c r="K60" s="980">
        <f t="shared" si="23"/>
        <v>0</v>
      </c>
      <c r="L60" s="322">
        <f>Gasoline!K60</f>
        <v>0</v>
      </c>
      <c r="M60" s="329">
        <f t="shared" si="28"/>
        <v>0</v>
      </c>
      <c r="N60" s="320"/>
      <c r="O60" s="320">
        <f t="shared" si="29"/>
        <v>0</v>
      </c>
      <c r="P60" s="314">
        <f t="shared" si="25"/>
        <v>0</v>
      </c>
      <c r="Q60" s="1046"/>
      <c r="R60" s="1047">
        <f t="shared" si="2"/>
        <v>0</v>
      </c>
      <c r="S60" s="402"/>
      <c r="T60" s="396">
        <f t="shared" si="24"/>
        <v>0</v>
      </c>
      <c r="U60" s="336"/>
      <c r="V60" s="544"/>
      <c r="W60" s="83"/>
      <c r="X60" s="549">
        <f t="shared" si="12"/>
        <v>1.5</v>
      </c>
      <c r="Y60" s="342">
        <f t="shared" si="26"/>
        <v>0</v>
      </c>
    </row>
    <row r="61" spans="1:25" x14ac:dyDescent="0.6">
      <c r="A61" s="46">
        <f t="shared" si="27"/>
        <v>54</v>
      </c>
      <c r="B61" s="44" t="s">
        <v>71</v>
      </c>
      <c r="C61" s="290">
        <v>0</v>
      </c>
      <c r="D61" s="348">
        <f>C61*Assumptions!$C$48</f>
        <v>0</v>
      </c>
      <c r="E61" s="391"/>
      <c r="F61" s="33">
        <f>Assumptions!$C$46</f>
        <v>7.5895567698846396</v>
      </c>
      <c r="G61" s="297">
        <f>Assumptions!$C$63</f>
        <v>27.295999999999999</v>
      </c>
      <c r="H61" s="383"/>
      <c r="I61" s="1439">
        <f>Assumptions!$C$104</f>
        <v>1.5</v>
      </c>
      <c r="J61" s="667"/>
      <c r="K61" s="980">
        <f t="shared" si="23"/>
        <v>0</v>
      </c>
      <c r="L61" s="322">
        <f>Gasoline!K61</f>
        <v>0</v>
      </c>
      <c r="M61" s="329">
        <f t="shared" si="28"/>
        <v>0</v>
      </c>
      <c r="N61" s="320"/>
      <c r="O61" s="320">
        <f t="shared" si="29"/>
        <v>0</v>
      </c>
      <c r="P61" s="314">
        <f t="shared" si="25"/>
        <v>0</v>
      </c>
      <c r="Q61" s="1046"/>
      <c r="R61" s="1047">
        <f t="shared" si="2"/>
        <v>0</v>
      </c>
      <c r="S61" s="402"/>
      <c r="T61" s="396">
        <f t="shared" si="24"/>
        <v>0</v>
      </c>
      <c r="U61" s="336"/>
      <c r="V61" s="544"/>
      <c r="W61" s="83"/>
      <c r="X61" s="549">
        <f t="shared" si="12"/>
        <v>1.5</v>
      </c>
      <c r="Y61" s="342">
        <f t="shared" si="26"/>
        <v>0</v>
      </c>
    </row>
    <row r="62" spans="1:25" x14ac:dyDescent="0.6">
      <c r="A62" s="46">
        <f t="shared" si="27"/>
        <v>55</v>
      </c>
      <c r="B62" s="44" t="s">
        <v>72</v>
      </c>
      <c r="C62" s="290">
        <v>333714</v>
      </c>
      <c r="D62" s="348">
        <f>C62*Assumptions!$C$48</f>
        <v>2532741347.9052825</v>
      </c>
      <c r="E62" s="391"/>
      <c r="F62" s="33">
        <f>Assumptions!$C$46</f>
        <v>7.5895567698846396</v>
      </c>
      <c r="G62" s="297">
        <f>Assumptions!$C$63</f>
        <v>27.295999999999999</v>
      </c>
      <c r="H62" s="383"/>
      <c r="I62" s="1439">
        <f>Assumptions!$C$104</f>
        <v>1.5</v>
      </c>
      <c r="J62" s="667"/>
      <c r="K62" s="980">
        <f t="shared" si="23"/>
        <v>0</v>
      </c>
      <c r="L62" s="322">
        <f>Gasoline!K62</f>
        <v>0</v>
      </c>
      <c r="M62" s="329">
        <f t="shared" si="28"/>
        <v>0</v>
      </c>
      <c r="N62" s="320"/>
      <c r="O62" s="320">
        <f t="shared" si="29"/>
        <v>0</v>
      </c>
      <c r="P62" s="314">
        <f t="shared" si="25"/>
        <v>0</v>
      </c>
      <c r="Q62" s="1046"/>
      <c r="R62" s="1047">
        <f t="shared" si="2"/>
        <v>0</v>
      </c>
      <c r="S62" s="402"/>
      <c r="T62" s="396">
        <f t="shared" si="24"/>
        <v>0</v>
      </c>
      <c r="U62" s="336"/>
      <c r="V62" s="544"/>
      <c r="W62" s="83"/>
      <c r="X62" s="549">
        <f t="shared" si="12"/>
        <v>1.5</v>
      </c>
      <c r="Y62" s="342">
        <f t="shared" si="26"/>
        <v>3799112021.8579235</v>
      </c>
    </row>
    <row r="63" spans="1:25" x14ac:dyDescent="0.6">
      <c r="A63" s="46">
        <f t="shared" si="27"/>
        <v>56</v>
      </c>
      <c r="B63" s="44" t="s">
        <v>73</v>
      </c>
      <c r="C63" s="290">
        <v>0</v>
      </c>
      <c r="D63" s="348">
        <f>C63*Assumptions!$C$48</f>
        <v>0</v>
      </c>
      <c r="E63" s="579">
        <f>Assumptions!$H$29</f>
        <v>0.27229399999999998</v>
      </c>
      <c r="F63" s="33">
        <f>Assumptions!$C$46</f>
        <v>7.5895567698846396</v>
      </c>
      <c r="G63" s="297">
        <f>Assumptions!$C$63</f>
        <v>27.295999999999999</v>
      </c>
      <c r="H63" s="383"/>
      <c r="I63" s="1439">
        <f>Assumptions!$C$104</f>
        <v>1.5</v>
      </c>
      <c r="J63" s="667"/>
      <c r="K63" s="980">
        <f t="shared" si="23"/>
        <v>0</v>
      </c>
      <c r="L63" s="322">
        <f>Gasoline!K63</f>
        <v>0</v>
      </c>
      <c r="M63" s="329">
        <f t="shared" si="28"/>
        <v>0</v>
      </c>
      <c r="N63" s="320"/>
      <c r="O63" s="320">
        <f t="shared" si="29"/>
        <v>0</v>
      </c>
      <c r="P63" s="314">
        <f t="shared" si="25"/>
        <v>0</v>
      </c>
      <c r="Q63" s="1046"/>
      <c r="R63" s="1047">
        <f t="shared" si="2"/>
        <v>0</v>
      </c>
      <c r="S63" s="402"/>
      <c r="T63" s="396">
        <f t="shared" si="24"/>
        <v>0</v>
      </c>
      <c r="U63" s="336"/>
      <c r="V63" s="544"/>
      <c r="W63" s="83"/>
      <c r="X63" s="549">
        <f t="shared" si="12"/>
        <v>1.5</v>
      </c>
      <c r="Y63" s="342">
        <f t="shared" si="26"/>
        <v>0</v>
      </c>
    </row>
    <row r="64" spans="1:25" x14ac:dyDescent="0.6">
      <c r="A64" s="46">
        <f t="shared" si="27"/>
        <v>57</v>
      </c>
      <c r="B64" s="44" t="s">
        <v>74</v>
      </c>
      <c r="C64" s="290">
        <v>100632</v>
      </c>
      <c r="D64" s="348">
        <f>C64*Assumptions!$C$48</f>
        <v>763752276.8670311</v>
      </c>
      <c r="E64" s="391"/>
      <c r="F64" s="33">
        <f>Assumptions!$C$46</f>
        <v>7.5895567698846396</v>
      </c>
      <c r="G64" s="297">
        <f>Assumptions!$C$63</f>
        <v>27.295999999999999</v>
      </c>
      <c r="H64" s="383"/>
      <c r="I64" s="1439">
        <f>Assumptions!$C$104</f>
        <v>1.5</v>
      </c>
      <c r="J64" s="667"/>
      <c r="K64" s="980">
        <f t="shared" si="23"/>
        <v>0</v>
      </c>
      <c r="L64" s="322">
        <f>Gasoline!K64</f>
        <v>0</v>
      </c>
      <c r="M64" s="329">
        <f t="shared" si="28"/>
        <v>0</v>
      </c>
      <c r="N64" s="320"/>
      <c r="O64" s="320">
        <f t="shared" si="29"/>
        <v>0</v>
      </c>
      <c r="P64" s="314">
        <f t="shared" si="25"/>
        <v>0</v>
      </c>
      <c r="Q64" s="1046"/>
      <c r="R64" s="1047">
        <f t="shared" si="2"/>
        <v>0</v>
      </c>
      <c r="S64" s="402"/>
      <c r="T64" s="396">
        <f t="shared" si="24"/>
        <v>0</v>
      </c>
      <c r="U64" s="336"/>
      <c r="V64" s="544"/>
      <c r="W64" s="83"/>
      <c r="X64" s="549">
        <f t="shared" si="12"/>
        <v>1.5</v>
      </c>
      <c r="Y64" s="342">
        <f t="shared" si="26"/>
        <v>1145628415.3005466</v>
      </c>
    </row>
    <row r="65" spans="1:25" x14ac:dyDescent="0.6">
      <c r="A65" s="51">
        <f t="shared" si="27"/>
        <v>58</v>
      </c>
      <c r="B65" s="52" t="s">
        <v>75</v>
      </c>
      <c r="C65" s="292">
        <v>10846</v>
      </c>
      <c r="D65" s="350">
        <f>C65*Assumptions!$C$48</f>
        <v>82316332.726168796</v>
      </c>
      <c r="E65" s="405"/>
      <c r="F65" s="45">
        <f>Assumptions!$C$46</f>
        <v>7.5895567698846396</v>
      </c>
      <c r="G65" s="300">
        <f>Assumptions!$C$63</f>
        <v>27.295999999999999</v>
      </c>
      <c r="H65" s="972"/>
      <c r="I65" s="1461">
        <f>Assumptions!$C$104</f>
        <v>1.5</v>
      </c>
      <c r="J65" s="672"/>
      <c r="K65" s="981">
        <f t="shared" si="23"/>
        <v>0</v>
      </c>
      <c r="L65" s="1022">
        <f>Gasoline!K65</f>
        <v>0</v>
      </c>
      <c r="M65" s="335">
        <f t="shared" si="28"/>
        <v>0</v>
      </c>
      <c r="N65" s="1014"/>
      <c r="O65" s="1014">
        <f t="shared" si="29"/>
        <v>0</v>
      </c>
      <c r="P65" s="328">
        <f t="shared" si="25"/>
        <v>0</v>
      </c>
      <c r="Q65" s="1049"/>
      <c r="R65" s="1050">
        <f t="shared" si="2"/>
        <v>0</v>
      </c>
      <c r="S65" s="408"/>
      <c r="T65" s="409">
        <f t="shared" si="24"/>
        <v>0</v>
      </c>
      <c r="U65" s="545"/>
      <c r="V65" s="546"/>
      <c r="W65" s="585"/>
      <c r="X65" s="550">
        <f t="shared" si="12"/>
        <v>1.5</v>
      </c>
      <c r="Y65" s="551">
        <f t="shared" si="26"/>
        <v>123474499.08925319</v>
      </c>
    </row>
    <row r="66" spans="1:25" x14ac:dyDescent="0.6">
      <c r="B66" s="1" t="s">
        <v>42</v>
      </c>
      <c r="C66" s="13"/>
      <c r="D66" s="13">
        <f>SUM(D4:D65)</f>
        <v>61102504553.73407</v>
      </c>
      <c r="E66" s="398"/>
      <c r="Q66" s="414"/>
      <c r="R66" s="414"/>
      <c r="W66" s="586"/>
      <c r="X66" s="535"/>
      <c r="Y66" s="1"/>
    </row>
    <row r="67" spans="1:25" x14ac:dyDescent="0.6">
      <c r="B67" s="1" t="s">
        <v>596</v>
      </c>
      <c r="C67" s="21">
        <v>8444644</v>
      </c>
      <c r="D67" s="13">
        <f>C67*Assumptions!$C$48</f>
        <v>64091105039.465706</v>
      </c>
      <c r="E67" s="398"/>
      <c r="Q67" s="414"/>
      <c r="R67" s="414"/>
      <c r="W67" s="586"/>
      <c r="X67" s="535"/>
      <c r="Y67" s="1"/>
    </row>
    <row r="68" spans="1:25" x14ac:dyDescent="0.6">
      <c r="D68" s="28">
        <f>D66/D67</f>
        <v>0.95336949668926241</v>
      </c>
      <c r="E68" s="398"/>
      <c r="Q68" s="414"/>
      <c r="R68" s="414"/>
      <c r="W68" s="586"/>
      <c r="X68" s="535"/>
      <c r="Y68" s="1"/>
    </row>
    <row r="69" spans="1:25" x14ac:dyDescent="0.6">
      <c r="E69" s="398"/>
      <c r="H69" s="27">
        <v>3641</v>
      </c>
      <c r="I69" s="226" t="s">
        <v>1494</v>
      </c>
      <c r="Q69" s="414"/>
      <c r="R69" s="414"/>
      <c r="Y69" s="1"/>
    </row>
    <row r="70" spans="1:25" x14ac:dyDescent="0.6">
      <c r="E70" s="398"/>
      <c r="H70" s="27">
        <f>Assumptions!C55</f>
        <v>35.314700000000002</v>
      </c>
      <c r="I70" s="226" t="s">
        <v>1497</v>
      </c>
      <c r="Q70" s="414"/>
      <c r="R70" s="414"/>
      <c r="Y70" s="1"/>
    </row>
    <row r="71" spans="1:25" x14ac:dyDescent="0.6">
      <c r="E71" s="398"/>
      <c r="H71" s="27">
        <f>H69/H70</f>
        <v>103.10154128450758</v>
      </c>
      <c r="I71" s="226" t="s">
        <v>1499</v>
      </c>
      <c r="K71" s="3"/>
      <c r="Q71" s="414"/>
      <c r="R71" s="414"/>
      <c r="Y71" s="1"/>
    </row>
    <row r="72" spans="1:25" x14ac:dyDescent="0.6">
      <c r="E72" s="398"/>
      <c r="H72" s="27">
        <f>H71/1000</f>
        <v>0.10310154128450758</v>
      </c>
      <c r="I72" s="226" t="s">
        <v>1498</v>
      </c>
      <c r="K72" s="3"/>
      <c r="Q72" s="414"/>
      <c r="R72" s="414"/>
      <c r="Y72" s="1"/>
    </row>
    <row r="73" spans="1:25" x14ac:dyDescent="0.6">
      <c r="E73" s="398"/>
      <c r="H73" s="27">
        <f>H72/1000</f>
        <v>1.0310154128450757E-4</v>
      </c>
      <c r="I73" s="226" t="s">
        <v>1500</v>
      </c>
      <c r="K73" s="4"/>
      <c r="Q73" s="414"/>
      <c r="R73" s="414"/>
      <c r="Y73" s="1"/>
    </row>
    <row r="74" spans="1:25" x14ac:dyDescent="0.6">
      <c r="E74" s="398"/>
      <c r="H74" s="27">
        <f>H73*125000</f>
        <v>12.887692660563447</v>
      </c>
      <c r="I74" s="226" t="s">
        <v>1501</v>
      </c>
      <c r="K74" s="3"/>
      <c r="Q74" s="414"/>
      <c r="R74" s="414"/>
      <c r="Y74" s="1"/>
    </row>
    <row r="75" spans="1:25" x14ac:dyDescent="0.6">
      <c r="A75" s="1"/>
      <c r="C75" s="85"/>
      <c r="D75" s="1"/>
      <c r="E75" s="398"/>
      <c r="F75" s="1"/>
      <c r="G75" s="1"/>
      <c r="H75" s="9"/>
      <c r="I75" s="10"/>
      <c r="J75" s="1"/>
      <c r="L75" s="1"/>
      <c r="M75" s="1"/>
      <c r="N75" s="1"/>
      <c r="O75" s="1"/>
      <c r="Q75" s="414"/>
      <c r="R75" s="414"/>
      <c r="T75" s="85"/>
      <c r="U75" s="1"/>
      <c r="V75" s="1"/>
      <c r="W75" s="83"/>
      <c r="Y75" s="1"/>
    </row>
    <row r="76" spans="1:25" x14ac:dyDescent="0.6">
      <c r="E76" s="398"/>
      <c r="Q76" s="414"/>
      <c r="R76" s="414"/>
      <c r="Y76" s="1"/>
    </row>
    <row r="77" spans="1:25" x14ac:dyDescent="0.6">
      <c r="E77" s="398"/>
      <c r="H77" s="1512" t="s">
        <v>1632</v>
      </c>
      <c r="I77" s="1512"/>
      <c r="J77" s="1513"/>
      <c r="Q77" s="414"/>
      <c r="R77" s="414"/>
      <c r="Y77" s="1"/>
    </row>
    <row r="78" spans="1:25" x14ac:dyDescent="0.6">
      <c r="E78" s="398"/>
      <c r="H78" s="1512"/>
      <c r="I78" s="1514">
        <v>0.67</v>
      </c>
      <c r="J78" s="1513" t="s">
        <v>1640</v>
      </c>
      <c r="Q78" s="414"/>
      <c r="R78" s="414"/>
      <c r="Y78" s="1"/>
    </row>
    <row r="79" spans="1:25" x14ac:dyDescent="0.6">
      <c r="E79" s="398"/>
      <c r="H79" s="1512"/>
      <c r="I79" s="1515">
        <v>35.299999999999997</v>
      </c>
      <c r="J79" s="1513" t="s">
        <v>1641</v>
      </c>
      <c r="Q79" s="414"/>
      <c r="R79" s="414"/>
      <c r="Y79" s="1"/>
    </row>
    <row r="80" spans="1:25" x14ac:dyDescent="0.6">
      <c r="H80" s="1512"/>
      <c r="I80" s="1514">
        <v>18.97</v>
      </c>
      <c r="J80" s="1513" t="s">
        <v>1642</v>
      </c>
    </row>
    <row r="81" spans="8:10" x14ac:dyDescent="0.6">
      <c r="H81" s="1512"/>
      <c r="I81" s="1516">
        <v>1037</v>
      </c>
      <c r="J81" s="1513" t="s">
        <v>1643</v>
      </c>
    </row>
    <row r="82" spans="8:10" x14ac:dyDescent="0.6">
      <c r="H82" s="1512"/>
      <c r="I82" s="1516">
        <v>36621</v>
      </c>
      <c r="J82" s="1513" t="s">
        <v>1644</v>
      </c>
    </row>
    <row r="83" spans="8:10" x14ac:dyDescent="0.6">
      <c r="H83" s="1512"/>
      <c r="I83" s="1517">
        <v>0.29297000000000001</v>
      </c>
      <c r="J83" s="1513" t="s">
        <v>1645</v>
      </c>
    </row>
    <row r="84" spans="8:10" x14ac:dyDescent="0.6">
      <c r="H84" s="1512"/>
      <c r="I84" s="1513">
        <v>0.19600000000000001</v>
      </c>
      <c r="J84" s="1513" t="s">
        <v>1646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8.5" style="85" customWidth="1"/>
    <col min="3" max="3" width="11.34765625" style="96" customWidth="1"/>
    <col min="4" max="4" width="11.34765625" style="55" customWidth="1"/>
    <col min="5" max="5" width="8.84765625" style="96" bestFit="1" customWidth="1"/>
    <col min="6" max="6" width="17.59765625" style="1" bestFit="1" customWidth="1"/>
    <col min="7" max="7" width="17.34765625" style="1" bestFit="1" customWidth="1"/>
    <col min="8" max="8" width="12.59765625" style="278" customWidth="1"/>
    <col min="9" max="10" width="9.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14.59765625" style="1" customWidth="1"/>
    <col min="19" max="19" width="14" style="17" bestFit="1" customWidth="1"/>
    <col min="20" max="16384" width="10.84765625" style="1"/>
  </cols>
  <sheetData>
    <row r="1" spans="1:19" x14ac:dyDescent="0.6">
      <c r="A1" s="78" t="s">
        <v>1621</v>
      </c>
      <c r="C1" s="174"/>
      <c r="D1" s="89"/>
      <c r="F1" s="13"/>
      <c r="G1" s="13"/>
      <c r="H1" s="1441"/>
      <c r="L1" s="17"/>
      <c r="M1" s="17"/>
      <c r="N1" s="98"/>
      <c r="P1" s="98"/>
      <c r="Q1" s="880"/>
    </row>
    <row r="2" spans="1:19" s="2" customFormat="1" x14ac:dyDescent="0.6">
      <c r="A2" s="24" t="s">
        <v>879</v>
      </c>
      <c r="B2" s="60"/>
      <c r="C2" s="97" t="s">
        <v>857</v>
      </c>
      <c r="D2" s="56" t="s">
        <v>857</v>
      </c>
      <c r="E2" s="97" t="s">
        <v>189</v>
      </c>
      <c r="F2" s="60" t="s">
        <v>24</v>
      </c>
      <c r="G2" s="60" t="s">
        <v>24</v>
      </c>
      <c r="H2" s="370" t="s">
        <v>1506</v>
      </c>
      <c r="I2" s="95" t="s">
        <v>1506</v>
      </c>
      <c r="J2" s="95"/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  <c r="S2" s="18"/>
    </row>
    <row r="3" spans="1:19" s="2" customFormat="1" x14ac:dyDescent="0.6">
      <c r="A3" s="24"/>
      <c r="B3" s="60"/>
      <c r="C3" s="97" t="s">
        <v>1507</v>
      </c>
      <c r="D3" s="56" t="s">
        <v>1508</v>
      </c>
      <c r="E3" s="97" t="s">
        <v>79</v>
      </c>
      <c r="F3" s="2" t="s">
        <v>1504</v>
      </c>
      <c r="G3" s="2" t="s">
        <v>400</v>
      </c>
      <c r="H3" s="370" t="s">
        <v>1505</v>
      </c>
      <c r="I3" s="95" t="s">
        <v>674</v>
      </c>
      <c r="J3" s="95" t="s">
        <v>79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  <c r="S3" s="18"/>
    </row>
    <row r="4" spans="1:19" s="85" customFormat="1" x14ac:dyDescent="0.6">
      <c r="A4" s="60">
        <v>1</v>
      </c>
      <c r="B4" s="85" t="s">
        <v>178</v>
      </c>
      <c r="C4" s="174">
        <v>0.04</v>
      </c>
      <c r="D4" s="89"/>
      <c r="E4" s="959">
        <f>'State gasoline'!K4</f>
        <v>8.9099999999999999E-2</v>
      </c>
      <c r="F4" s="897">
        <v>25162000000</v>
      </c>
      <c r="G4" s="897">
        <f>F4*Assumptions!$C$56/Assumptions!$C$8</f>
        <v>208743952</v>
      </c>
      <c r="H4" s="1442">
        <v>11.18</v>
      </c>
      <c r="I4" s="156">
        <f>(H4/1000*F4)/G4</f>
        <v>1.3476374156219866</v>
      </c>
      <c r="J4" s="156">
        <f>I4-K4</f>
        <v>5.183220829315327E-2</v>
      </c>
      <c r="K4" s="156">
        <f>I4/(1+C4)</f>
        <v>1.2958052073288333</v>
      </c>
      <c r="L4" s="156">
        <f t="shared" ref="L4:L28" si="0">K4*(1+E4)</f>
        <v>1.4112614513018322</v>
      </c>
      <c r="M4" s="952">
        <f>I4-K4</f>
        <v>5.183220829315327E-2</v>
      </c>
      <c r="N4" s="70">
        <f t="shared" ref="N4:N54" si="1">I4*G4</f>
        <v>281311160</v>
      </c>
      <c r="O4" s="70">
        <f t="shared" ref="O4:O54" si="2">K4*G4</f>
        <v>270491500</v>
      </c>
      <c r="P4" s="70">
        <f t="shared" ref="P4:P54" si="3">L4*G4</f>
        <v>294592292.64999998</v>
      </c>
      <c r="Q4" s="70">
        <f t="shared" ref="Q4:Q54" si="4">N4-P4</f>
        <v>-13281132.649999976</v>
      </c>
      <c r="R4" s="70">
        <f>IF(Q4&gt;=0,Q4,0)</f>
        <v>0</v>
      </c>
      <c r="S4" s="70">
        <f>IF(Q4&lt;0,Q4,0)</f>
        <v>-13281132.649999976</v>
      </c>
    </row>
    <row r="5" spans="1:19" s="85" customFormat="1" x14ac:dyDescent="0.6">
      <c r="A5" s="60">
        <f t="shared" ref="A5:A54" si="5">A4+1</f>
        <v>2</v>
      </c>
      <c r="B5" s="85" t="s">
        <v>188</v>
      </c>
      <c r="C5" s="174"/>
      <c r="D5" s="89"/>
      <c r="E5" s="959"/>
      <c r="F5" s="897">
        <v>18472000000</v>
      </c>
      <c r="G5" s="897">
        <f>F5*Assumptions!$C$56/Assumptions!$C$8</f>
        <v>153243712</v>
      </c>
      <c r="H5" s="1442">
        <v>8.01</v>
      </c>
      <c r="I5" s="156">
        <f t="shared" ref="I5:I54" si="6">(H5/1000*F5)/G5</f>
        <v>0.96552555448408872</v>
      </c>
      <c r="J5" s="156">
        <f t="shared" ref="J5:J54" si="7">I5-K5</f>
        <v>0</v>
      </c>
      <c r="K5" s="156">
        <f>I5</f>
        <v>0.96552555448408872</v>
      </c>
      <c r="L5" s="156">
        <f t="shared" si="0"/>
        <v>0.96552555448408872</v>
      </c>
      <c r="M5" s="952">
        <f t="shared" ref="M5:M54" si="8">I5-K5</f>
        <v>0</v>
      </c>
      <c r="N5" s="70">
        <f t="shared" si="1"/>
        <v>147960720</v>
      </c>
      <c r="O5" s="70">
        <f t="shared" si="2"/>
        <v>147960720</v>
      </c>
      <c r="P5" s="70">
        <f t="shared" si="3"/>
        <v>147960720</v>
      </c>
      <c r="Q5" s="70">
        <f t="shared" si="4"/>
        <v>0</v>
      </c>
      <c r="R5" s="70">
        <f t="shared" ref="R5:R55" si="9">IF(Q5&gt;=0,Q5,0)</f>
        <v>0</v>
      </c>
      <c r="S5" s="70">
        <f t="shared" ref="S5:S53" si="10">IF(Q5&lt;0,Q5,0)</f>
        <v>0</v>
      </c>
    </row>
    <row r="6" spans="1:19" s="85" customFormat="1" x14ac:dyDescent="0.6">
      <c r="A6" s="60">
        <f t="shared" si="5"/>
        <v>3</v>
      </c>
      <c r="B6" s="85" t="s">
        <v>181</v>
      </c>
      <c r="C6" s="174">
        <v>0.1414</v>
      </c>
      <c r="D6" s="89"/>
      <c r="E6" s="959">
        <v>8.1699999999999995E-2</v>
      </c>
      <c r="F6" s="897">
        <v>30536000000</v>
      </c>
      <c r="G6" s="897">
        <f>F6*Assumptions!$C$56/Assumptions!$C$8</f>
        <v>253326656</v>
      </c>
      <c r="H6" s="1442">
        <v>10.53</v>
      </c>
      <c r="I6" s="156">
        <f t="shared" si="6"/>
        <v>1.2692864030858244</v>
      </c>
      <c r="J6" s="156">
        <f t="shared" si="7"/>
        <v>0.15724294497663882</v>
      </c>
      <c r="K6" s="156">
        <f>I6/(1+C6)</f>
        <v>1.1120434581091856</v>
      </c>
      <c r="L6" s="156">
        <f t="shared" si="0"/>
        <v>1.2028974086367061</v>
      </c>
      <c r="M6" s="952">
        <f t="shared" si="8"/>
        <v>0.15724294497663882</v>
      </c>
      <c r="N6" s="70">
        <f t="shared" si="1"/>
        <v>321544080</v>
      </c>
      <c r="O6" s="70">
        <f t="shared" si="2"/>
        <v>281710250.56947607</v>
      </c>
      <c r="P6" s="70">
        <f t="shared" si="3"/>
        <v>304725978.04100227</v>
      </c>
      <c r="Q6" s="70">
        <f t="shared" si="4"/>
        <v>16818101.958997726</v>
      </c>
      <c r="R6" s="70">
        <f t="shared" si="9"/>
        <v>16818101.958997726</v>
      </c>
      <c r="S6" s="70">
        <f t="shared" si="10"/>
        <v>0</v>
      </c>
    </row>
    <row r="7" spans="1:19" s="85" customFormat="1" x14ac:dyDescent="0.6">
      <c r="A7" s="60">
        <f t="shared" si="5"/>
        <v>4</v>
      </c>
      <c r="B7" s="85" t="s">
        <v>176</v>
      </c>
      <c r="C7" s="174">
        <f>E7</f>
        <v>9.2600000000000002E-2</v>
      </c>
      <c r="D7" s="1446"/>
      <c r="E7" s="959">
        <f>'State gasoline'!K7</f>
        <v>9.2600000000000002E-2</v>
      </c>
      <c r="F7" s="897">
        <v>47651000000</v>
      </c>
      <c r="G7" s="897">
        <f>F7*Assumptions!$C$56/Assumptions!$C$8</f>
        <v>395312696</v>
      </c>
      <c r="H7" s="1442">
        <v>8.43</v>
      </c>
      <c r="I7" s="156">
        <f t="shared" si="6"/>
        <v>1.016152362584378</v>
      </c>
      <c r="J7" s="156">
        <f t="shared" si="7"/>
        <v>8.6120912296644203E-2</v>
      </c>
      <c r="K7" s="156">
        <f>I7/(1+C7)</f>
        <v>0.93003145028773382</v>
      </c>
      <c r="L7" s="156">
        <f t="shared" si="0"/>
        <v>1.016152362584378</v>
      </c>
      <c r="M7" s="952">
        <f t="shared" si="8"/>
        <v>8.6120912296644203E-2</v>
      </c>
      <c r="N7" s="70">
        <f t="shared" si="1"/>
        <v>401697930</v>
      </c>
      <c r="O7" s="70">
        <f t="shared" si="2"/>
        <v>367653239.97803402</v>
      </c>
      <c r="P7" s="70">
        <f t="shared" si="3"/>
        <v>401697930</v>
      </c>
      <c r="Q7" s="70">
        <f t="shared" si="4"/>
        <v>0</v>
      </c>
      <c r="R7" s="70">
        <f t="shared" si="9"/>
        <v>0</v>
      </c>
      <c r="S7" s="70">
        <f t="shared" si="10"/>
        <v>0</v>
      </c>
    </row>
    <row r="8" spans="1:19" s="85" customFormat="1" x14ac:dyDescent="0.6">
      <c r="A8" s="60">
        <f t="shared" si="5"/>
        <v>5</v>
      </c>
      <c r="B8" s="85" t="s">
        <v>142</v>
      </c>
      <c r="C8" s="174"/>
      <c r="D8" s="1446">
        <f>0.04472*10/8</f>
        <v>5.5900000000000005E-2</v>
      </c>
      <c r="E8" s="959">
        <f>'State gasoline'!K8</f>
        <v>8.4400000000000003E-2</v>
      </c>
      <c r="F8" s="897">
        <v>235791000000</v>
      </c>
      <c r="G8" s="897">
        <f>F8*Assumptions!$C$56/Assumptions!$C$8</f>
        <v>1956122136</v>
      </c>
      <c r="H8" s="1442">
        <v>8.0399999999999991</v>
      </c>
      <c r="I8" s="156">
        <f t="shared" si="6"/>
        <v>0.96914175506268074</v>
      </c>
      <c r="J8" s="156">
        <f t="shared" si="7"/>
        <v>5.589999999999995E-2</v>
      </c>
      <c r="K8" s="156">
        <f>I8-D8</f>
        <v>0.91324175506268079</v>
      </c>
      <c r="L8" s="156">
        <f t="shared" si="0"/>
        <v>0.99031935918997105</v>
      </c>
      <c r="M8" s="952">
        <f t="shared" si="8"/>
        <v>5.589999999999995E-2</v>
      </c>
      <c r="N8" s="70">
        <f t="shared" si="1"/>
        <v>1895759639.9999998</v>
      </c>
      <c r="O8" s="70">
        <f t="shared" si="2"/>
        <v>1786412412.5976</v>
      </c>
      <c r="P8" s="70">
        <f t="shared" si="3"/>
        <v>1937185620.2208374</v>
      </c>
      <c r="Q8" s="70">
        <f t="shared" si="4"/>
        <v>-41425980.220837593</v>
      </c>
      <c r="R8" s="70">
        <f t="shared" si="9"/>
        <v>0</v>
      </c>
      <c r="S8" s="70">
        <f t="shared" si="10"/>
        <v>-41425980.220837593</v>
      </c>
    </row>
    <row r="9" spans="1:19" s="85" customFormat="1" x14ac:dyDescent="0.6">
      <c r="A9" s="60">
        <f t="shared" si="5"/>
        <v>6</v>
      </c>
      <c r="B9" s="85" t="s">
        <v>175</v>
      </c>
      <c r="C9" s="174">
        <f>E9</f>
        <v>7.4399999999999994E-2</v>
      </c>
      <c r="D9" s="89"/>
      <c r="E9" s="959">
        <f>'State gasoline'!K9</f>
        <v>7.4399999999999994E-2</v>
      </c>
      <c r="F9" s="897">
        <v>53968000000</v>
      </c>
      <c r="G9" s="897">
        <f>F9*Assumptions!$C$56/Assumptions!$C$8</f>
        <v>447718528</v>
      </c>
      <c r="H9" s="1442">
        <v>7.47</v>
      </c>
      <c r="I9" s="156">
        <f t="shared" si="6"/>
        <v>0.900433944069431</v>
      </c>
      <c r="J9" s="156">
        <f t="shared" si="7"/>
        <v>6.2353206849186216E-2</v>
      </c>
      <c r="K9" s="156">
        <f>I9/(1+C9)</f>
        <v>0.83808073722024479</v>
      </c>
      <c r="L9" s="156">
        <f t="shared" si="0"/>
        <v>0.900433944069431</v>
      </c>
      <c r="M9" s="952">
        <f t="shared" si="8"/>
        <v>6.2353206849186216E-2</v>
      </c>
      <c r="N9" s="70">
        <f t="shared" si="1"/>
        <v>403140960</v>
      </c>
      <c r="O9" s="70">
        <f t="shared" si="2"/>
        <v>375224274.01340282</v>
      </c>
      <c r="P9" s="70">
        <f t="shared" si="3"/>
        <v>403140960</v>
      </c>
      <c r="Q9" s="70">
        <f t="shared" si="4"/>
        <v>0</v>
      </c>
      <c r="R9" s="70">
        <f t="shared" si="9"/>
        <v>0</v>
      </c>
      <c r="S9" s="70">
        <f t="shared" si="10"/>
        <v>0</v>
      </c>
    </row>
    <row r="10" spans="1:19" s="85" customFormat="1" x14ac:dyDescent="0.6">
      <c r="A10" s="60">
        <f t="shared" si="5"/>
        <v>7</v>
      </c>
      <c r="B10" s="85" t="s">
        <v>143</v>
      </c>
      <c r="C10" s="174">
        <f t="shared" ref="C10:C11" si="11">E10</f>
        <v>6.3500000000000001E-2</v>
      </c>
      <c r="D10" s="89"/>
      <c r="E10" s="959">
        <f>'State gasoline'!K10</f>
        <v>6.3500000000000001E-2</v>
      </c>
      <c r="F10" s="897">
        <v>52453000000</v>
      </c>
      <c r="G10" s="897">
        <f>F10*Assumptions!$C$56/Assumptions!$C$8</f>
        <v>435150088</v>
      </c>
      <c r="H10" s="1442">
        <v>8.6</v>
      </c>
      <c r="I10" s="156">
        <f t="shared" si="6"/>
        <v>1.0366441658630665</v>
      </c>
      <c r="J10" s="156">
        <f t="shared" si="7"/>
        <v>6.1896478168598557E-2</v>
      </c>
      <c r="K10" s="156">
        <f t="shared" ref="K10:K12" si="12">I10/(1+C10)</f>
        <v>0.97474768769446796</v>
      </c>
      <c r="L10" s="156">
        <f t="shared" si="0"/>
        <v>1.0366441658630665</v>
      </c>
      <c r="M10" s="952">
        <f t="shared" si="8"/>
        <v>6.1896478168598557E-2</v>
      </c>
      <c r="N10" s="70">
        <f t="shared" si="1"/>
        <v>451095800</v>
      </c>
      <c r="O10" s="70">
        <f t="shared" si="2"/>
        <v>424161542.07804424</v>
      </c>
      <c r="P10" s="70">
        <f t="shared" si="3"/>
        <v>451095800</v>
      </c>
      <c r="Q10" s="70">
        <f t="shared" si="4"/>
        <v>0</v>
      </c>
      <c r="R10" s="70">
        <f t="shared" si="9"/>
        <v>0</v>
      </c>
      <c r="S10" s="70">
        <f t="shared" si="10"/>
        <v>0</v>
      </c>
    </row>
    <row r="11" spans="1:19" s="85" customFormat="1" x14ac:dyDescent="0.6">
      <c r="A11" s="60">
        <f t="shared" si="5"/>
        <v>8</v>
      </c>
      <c r="B11" s="85" t="s">
        <v>172</v>
      </c>
      <c r="C11" s="174">
        <f t="shared" si="11"/>
        <v>0</v>
      </c>
      <c r="D11" s="89"/>
      <c r="E11" s="959">
        <f>'State gasoline'!K11</f>
        <v>0</v>
      </c>
      <c r="F11" s="897">
        <v>11731000000</v>
      </c>
      <c r="G11" s="897">
        <f>F11*Assumptions!$C$56/Assumptions!$C$8</f>
        <v>97320376</v>
      </c>
      <c r="H11" s="1442">
        <v>10.7</v>
      </c>
      <c r="I11" s="156">
        <f t="shared" si="6"/>
        <v>1.2897782063645131</v>
      </c>
      <c r="J11" s="156">
        <f t="shared" si="7"/>
        <v>0</v>
      </c>
      <c r="K11" s="156">
        <f t="shared" si="12"/>
        <v>1.2897782063645131</v>
      </c>
      <c r="L11" s="156">
        <f t="shared" si="0"/>
        <v>1.2897782063645131</v>
      </c>
      <c r="M11" s="952">
        <f t="shared" si="8"/>
        <v>0</v>
      </c>
      <c r="N11" s="70">
        <f t="shared" si="1"/>
        <v>125521700.00000001</v>
      </c>
      <c r="O11" s="70">
        <f t="shared" si="2"/>
        <v>125521700.00000001</v>
      </c>
      <c r="P11" s="70">
        <f t="shared" si="3"/>
        <v>125521700.00000001</v>
      </c>
      <c r="Q11" s="70">
        <f t="shared" si="4"/>
        <v>0</v>
      </c>
      <c r="R11" s="70">
        <f t="shared" si="9"/>
        <v>0</v>
      </c>
      <c r="S11" s="70">
        <f t="shared" si="10"/>
        <v>0</v>
      </c>
    </row>
    <row r="12" spans="1:19" s="85" customFormat="1" x14ac:dyDescent="0.6">
      <c r="A12" s="60">
        <f t="shared" si="5"/>
        <v>9</v>
      </c>
      <c r="B12" s="85" t="s">
        <v>171</v>
      </c>
      <c r="C12" s="174">
        <f>E12</f>
        <v>5.7500000000000002E-2</v>
      </c>
      <c r="D12" s="89"/>
      <c r="E12" s="959">
        <f>'State gasoline'!K12</f>
        <v>5.7500000000000002E-2</v>
      </c>
      <c r="F12" s="897">
        <v>17113000000</v>
      </c>
      <c r="G12" s="897">
        <f>F12*Assumptions!$C$56/Assumptions!$C$8</f>
        <v>141969448</v>
      </c>
      <c r="H12" s="1442">
        <v>11.07</v>
      </c>
      <c r="I12" s="156">
        <f t="shared" si="6"/>
        <v>1.3343780135004821</v>
      </c>
      <c r="J12" s="156">
        <f t="shared" si="7"/>
        <v>7.2554832885369125E-2</v>
      </c>
      <c r="K12" s="156">
        <f t="shared" si="12"/>
        <v>1.261823180615113</v>
      </c>
      <c r="L12" s="156">
        <f t="shared" si="0"/>
        <v>1.3343780135004821</v>
      </c>
      <c r="M12" s="952">
        <f t="shared" si="8"/>
        <v>7.2554832885369125E-2</v>
      </c>
      <c r="N12" s="70">
        <f t="shared" si="1"/>
        <v>189440910</v>
      </c>
      <c r="O12" s="70">
        <f t="shared" si="2"/>
        <v>179140340.42553189</v>
      </c>
      <c r="P12" s="70">
        <f t="shared" si="3"/>
        <v>189440910</v>
      </c>
      <c r="Q12" s="70">
        <f t="shared" si="4"/>
        <v>0</v>
      </c>
      <c r="R12" s="70">
        <f t="shared" si="9"/>
        <v>0</v>
      </c>
      <c r="S12" s="70">
        <f t="shared" si="10"/>
        <v>0</v>
      </c>
    </row>
    <row r="13" spans="1:19" s="85" customFormat="1" x14ac:dyDescent="0.6">
      <c r="A13" s="60">
        <f t="shared" si="5"/>
        <v>10</v>
      </c>
      <c r="B13" s="85" t="s">
        <v>144</v>
      </c>
      <c r="C13" s="174">
        <v>6.9500000000000006E-2</v>
      </c>
      <c r="D13" s="89"/>
      <c r="E13" s="959">
        <f>'State gasoline'!K13</f>
        <v>6.6500000000000004E-2</v>
      </c>
      <c r="F13" s="897">
        <v>60233000000</v>
      </c>
      <c r="G13" s="897">
        <f>F13*Assumptions!$C$56/Assumptions!$C$8</f>
        <v>499692968</v>
      </c>
      <c r="H13" s="1442">
        <v>10.88</v>
      </c>
      <c r="I13" s="156">
        <f t="shared" si="6"/>
        <v>1.3114754098360655</v>
      </c>
      <c r="J13" s="156">
        <f t="shared" si="7"/>
        <v>8.5224442247411547E-2</v>
      </c>
      <c r="K13" s="156">
        <f t="shared" ref="K13:K23" si="13">I13/(1+C13)</f>
        <v>1.2262509675886539</v>
      </c>
      <c r="L13" s="156">
        <f t="shared" ref="L13" si="14">K13*(1+E13)</f>
        <v>1.3077966569332995</v>
      </c>
      <c r="M13" s="952">
        <f t="shared" si="8"/>
        <v>8.5224442247411547E-2</v>
      </c>
      <c r="N13" s="70">
        <f t="shared" si="1"/>
        <v>655335040</v>
      </c>
      <c r="O13" s="70">
        <f t="shared" si="2"/>
        <v>612748985.50724626</v>
      </c>
      <c r="P13" s="70">
        <f t="shared" si="3"/>
        <v>653496793.04347825</v>
      </c>
      <c r="Q13" s="70">
        <f t="shared" si="4"/>
        <v>1838246.9565217495</v>
      </c>
      <c r="R13" s="70">
        <f t="shared" si="9"/>
        <v>1838246.9565217495</v>
      </c>
      <c r="S13" s="70">
        <f t="shared" si="10"/>
        <v>0</v>
      </c>
    </row>
    <row r="14" spans="1:19" s="85" customFormat="1" x14ac:dyDescent="0.6">
      <c r="A14" s="60">
        <f t="shared" si="5"/>
        <v>11</v>
      </c>
      <c r="B14" s="85" t="s">
        <v>154</v>
      </c>
      <c r="C14" s="174">
        <f>E14</f>
        <v>6.9599999999999995E-2</v>
      </c>
      <c r="D14" s="89"/>
      <c r="E14" s="959">
        <f>'State gasoline'!K14</f>
        <v>6.9599999999999995E-2</v>
      </c>
      <c r="F14" s="897">
        <v>53745000000</v>
      </c>
      <c r="G14" s="897">
        <f>F14*Assumptions!$C$56/Assumptions!$C$8</f>
        <v>445868520</v>
      </c>
      <c r="H14" s="1442">
        <v>8.58</v>
      </c>
      <c r="I14" s="156">
        <f t="shared" si="6"/>
        <v>1.0342333654773386</v>
      </c>
      <c r="J14" s="156">
        <f t="shared" si="7"/>
        <v>6.729865579396288E-2</v>
      </c>
      <c r="K14" s="156">
        <f t="shared" si="13"/>
        <v>0.96693470968337569</v>
      </c>
      <c r="L14" s="156">
        <f t="shared" ref="L14" si="15">K14*(1+E14)</f>
        <v>1.0342333654773386</v>
      </c>
      <c r="M14" s="952">
        <f t="shared" si="8"/>
        <v>6.729865579396288E-2</v>
      </c>
      <c r="N14" s="70">
        <f t="shared" si="1"/>
        <v>461132100.00000006</v>
      </c>
      <c r="O14" s="70">
        <f t="shared" si="2"/>
        <v>431125747.94315636</v>
      </c>
      <c r="P14" s="70">
        <f t="shared" si="3"/>
        <v>461132100.00000006</v>
      </c>
      <c r="Q14" s="70">
        <f t="shared" si="4"/>
        <v>0</v>
      </c>
      <c r="R14" s="70">
        <f t="shared" si="9"/>
        <v>0</v>
      </c>
      <c r="S14" s="70">
        <f t="shared" si="10"/>
        <v>0</v>
      </c>
    </row>
    <row r="15" spans="1:19" s="85" customFormat="1" x14ac:dyDescent="0.6">
      <c r="A15" s="60">
        <f t="shared" si="5"/>
        <v>12</v>
      </c>
      <c r="B15" s="85" t="s">
        <v>141</v>
      </c>
      <c r="C15" s="1447">
        <v>4.1660000000000003E-2</v>
      </c>
      <c r="D15" s="89"/>
      <c r="E15" s="959">
        <f>'State gasoline'!K15</f>
        <v>4.3499999999999997E-2</v>
      </c>
      <c r="F15" s="897">
        <v>1908000000</v>
      </c>
      <c r="G15" s="897">
        <f>F15*Assumptions!$C$56/Assumptions!$C$8</f>
        <v>15828768</v>
      </c>
      <c r="H15" s="1442">
        <v>31.17</v>
      </c>
      <c r="I15" s="156">
        <f t="shared" si="6"/>
        <v>3.7572324011571845</v>
      </c>
      <c r="J15" s="156">
        <f t="shared" si="7"/>
        <v>0.15026621146267338</v>
      </c>
      <c r="K15" s="156">
        <f t="shared" si="13"/>
        <v>3.6069661896945111</v>
      </c>
      <c r="L15" s="156">
        <f t="shared" ref="L15" si="16">K15*(1+E15)</f>
        <v>3.7638692189462226</v>
      </c>
      <c r="M15" s="952">
        <f t="shared" si="8"/>
        <v>0.15026621146267338</v>
      </c>
      <c r="N15" s="70">
        <f t="shared" si="1"/>
        <v>59472360.000000007</v>
      </c>
      <c r="O15" s="70">
        <f t="shared" si="2"/>
        <v>57093831.000518404</v>
      </c>
      <c r="P15" s="70">
        <f t="shared" si="3"/>
        <v>59577412.64904096</v>
      </c>
      <c r="Q15" s="70">
        <f t="shared" si="4"/>
        <v>-105052.64904095232</v>
      </c>
      <c r="R15" s="70">
        <f t="shared" si="9"/>
        <v>0</v>
      </c>
      <c r="S15" s="70">
        <f t="shared" si="10"/>
        <v>-105052.64904095232</v>
      </c>
    </row>
    <row r="16" spans="1:19" s="85" customFormat="1" x14ac:dyDescent="0.6">
      <c r="A16" s="60">
        <f t="shared" si="5"/>
        <v>13</v>
      </c>
      <c r="B16" s="85" t="s">
        <v>152</v>
      </c>
      <c r="C16" s="174">
        <v>0.03</v>
      </c>
      <c r="D16" s="89"/>
      <c r="E16" s="959">
        <f>'State gasoline'!K16</f>
        <v>6.0100000000000001E-2</v>
      </c>
      <c r="F16" s="897">
        <v>16708000000</v>
      </c>
      <c r="G16" s="897">
        <f>F16*Assumptions!$C$56/Assumptions!$C$8</f>
        <v>138609568</v>
      </c>
      <c r="H16" s="1442">
        <v>7.59</v>
      </c>
      <c r="I16" s="156">
        <f t="shared" si="6"/>
        <v>0.91489874638379931</v>
      </c>
      <c r="J16" s="156">
        <f t="shared" si="7"/>
        <v>2.6647536302440766E-2</v>
      </c>
      <c r="K16" s="156">
        <f t="shared" si="13"/>
        <v>0.88825121008135854</v>
      </c>
      <c r="L16" s="156">
        <f t="shared" ref="L16" si="17">K16*(1+E16)</f>
        <v>0.94163510780724824</v>
      </c>
      <c r="M16" s="952">
        <f t="shared" si="8"/>
        <v>2.6647536302440766E-2</v>
      </c>
      <c r="N16" s="70">
        <f t="shared" si="1"/>
        <v>126813719.99999999</v>
      </c>
      <c r="O16" s="70">
        <f t="shared" si="2"/>
        <v>123120116.50485435</v>
      </c>
      <c r="P16" s="70">
        <f t="shared" si="3"/>
        <v>130519635.50679611</v>
      </c>
      <c r="Q16" s="70">
        <f t="shared" si="4"/>
        <v>-3705915.5067961216</v>
      </c>
      <c r="R16" s="70">
        <f t="shared" si="9"/>
        <v>0</v>
      </c>
      <c r="S16" s="70">
        <f t="shared" si="10"/>
        <v>-3705915.5067961216</v>
      </c>
    </row>
    <row r="17" spans="1:19" s="85" customFormat="1" x14ac:dyDescent="0.6">
      <c r="A17" s="60">
        <f t="shared" si="5"/>
        <v>14</v>
      </c>
      <c r="B17" s="85" t="s">
        <v>157</v>
      </c>
      <c r="C17" s="174">
        <f>0.0824+0.001</f>
        <v>8.3400000000000002E-2</v>
      </c>
      <c r="D17" s="506">
        <f>0.24/8</f>
        <v>0.03</v>
      </c>
      <c r="E17" s="959">
        <f>'State gasoline'!K17</f>
        <v>8.1900000000000001E-2</v>
      </c>
      <c r="F17" s="897">
        <v>215218000000</v>
      </c>
      <c r="G17" s="897">
        <f>F17*Assumptions!$C$56/Assumptions!$C$8</f>
        <v>1785448528</v>
      </c>
      <c r="H17" s="1442">
        <v>7.29</v>
      </c>
      <c r="I17" s="156">
        <f t="shared" si="6"/>
        <v>0.87873674059787854</v>
      </c>
      <c r="J17" s="156">
        <f t="shared" si="7"/>
        <v>6.7645047227121058E-2</v>
      </c>
      <c r="K17" s="156">
        <f t="shared" si="13"/>
        <v>0.81109169337075748</v>
      </c>
      <c r="L17" s="156">
        <f t="shared" ref="L17" si="18">K17*(1+E17)</f>
        <v>0.87752010305782258</v>
      </c>
      <c r="M17" s="952">
        <f t="shared" si="8"/>
        <v>6.7645047227121058E-2</v>
      </c>
      <c r="N17" s="70">
        <f t="shared" si="1"/>
        <v>1568939220</v>
      </c>
      <c r="O17" s="70">
        <f t="shared" si="2"/>
        <v>1448162470.0018463</v>
      </c>
      <c r="P17" s="70">
        <f t="shared" si="3"/>
        <v>1566766976.2949977</v>
      </c>
      <c r="Q17" s="70">
        <f t="shared" si="4"/>
        <v>2172243.7050023079</v>
      </c>
      <c r="R17" s="70">
        <f t="shared" si="9"/>
        <v>2172243.7050023079</v>
      </c>
      <c r="S17" s="70">
        <f t="shared" si="10"/>
        <v>0</v>
      </c>
    </row>
    <row r="18" spans="1:19" s="85" customFormat="1" x14ac:dyDescent="0.6">
      <c r="A18" s="60">
        <f t="shared" si="5"/>
        <v>15</v>
      </c>
      <c r="B18" s="85" t="s">
        <v>160</v>
      </c>
      <c r="C18" s="174">
        <f>1.4%+0.07</f>
        <v>8.4000000000000005E-2</v>
      </c>
      <c r="D18" s="89"/>
      <c r="E18" s="959">
        <f>'State gasoline'!K18</f>
        <v>7.0000000000000007E-2</v>
      </c>
      <c r="F18" s="897">
        <v>77552000000</v>
      </c>
      <c r="G18" s="897">
        <f>F18*Assumptions!$C$56/Assumptions!$C$8</f>
        <v>643371392</v>
      </c>
      <c r="H18" s="1442">
        <v>7.61</v>
      </c>
      <c r="I18" s="156">
        <f t="shared" si="6"/>
        <v>0.91730954676952747</v>
      </c>
      <c r="J18" s="156">
        <f t="shared" si="7"/>
        <v>7.1083027609446847E-2</v>
      </c>
      <c r="K18" s="156">
        <f t="shared" si="13"/>
        <v>0.84622651916008063</v>
      </c>
      <c r="L18" s="156">
        <f t="shared" ref="L18" si="19">K18*(1+E18)</f>
        <v>0.90546237550128628</v>
      </c>
      <c r="M18" s="952">
        <f t="shared" si="8"/>
        <v>7.1083027609446847E-2</v>
      </c>
      <c r="N18" s="70">
        <f t="shared" si="1"/>
        <v>590170720</v>
      </c>
      <c r="O18" s="70">
        <f t="shared" si="2"/>
        <v>544437933.57933569</v>
      </c>
      <c r="P18" s="70">
        <f t="shared" si="3"/>
        <v>582548588.9298892</v>
      </c>
      <c r="Q18" s="70">
        <f t="shared" si="4"/>
        <v>7622131.0701107979</v>
      </c>
      <c r="R18" s="70">
        <f t="shared" si="9"/>
        <v>7622131.0701107979</v>
      </c>
      <c r="S18" s="70">
        <f t="shared" si="10"/>
        <v>0</v>
      </c>
    </row>
    <row r="19" spans="1:19" s="85" customFormat="1" x14ac:dyDescent="0.6">
      <c r="A19" s="60">
        <f t="shared" si="5"/>
        <v>16</v>
      </c>
      <c r="B19" s="85" t="s">
        <v>151</v>
      </c>
      <c r="C19" s="174">
        <f>5%+E19</f>
        <v>0.1178</v>
      </c>
      <c r="D19" s="89"/>
      <c r="E19" s="959">
        <f>'State gasoline'!K19</f>
        <v>6.7799999999999999E-2</v>
      </c>
      <c r="F19" s="897">
        <v>49165000000</v>
      </c>
      <c r="G19" s="897">
        <f>F19*Assumptions!$C$56/Assumptions!$C$8</f>
        <v>407872840</v>
      </c>
      <c r="H19" s="1442">
        <v>6.51</v>
      </c>
      <c r="I19" s="156">
        <f t="shared" si="6"/>
        <v>0.78471552555448409</v>
      </c>
      <c r="J19" s="156">
        <f t="shared" si="7"/>
        <v>8.2697699866092433E-2</v>
      </c>
      <c r="K19" s="156">
        <f t="shared" si="13"/>
        <v>0.70201782568839166</v>
      </c>
      <c r="L19" s="156">
        <f t="shared" ref="L19" si="20">K19*(1+E19)</f>
        <v>0.74961463427006469</v>
      </c>
      <c r="M19" s="952">
        <f t="shared" si="8"/>
        <v>8.2697699866092433E-2</v>
      </c>
      <c r="N19" s="70">
        <f t="shared" si="1"/>
        <v>320064150</v>
      </c>
      <c r="O19" s="70">
        <f t="shared" si="2"/>
        <v>286334004.29414928</v>
      </c>
      <c r="P19" s="70">
        <f t="shared" si="3"/>
        <v>305747449.78529263</v>
      </c>
      <c r="Q19" s="70">
        <f t="shared" si="4"/>
        <v>14316700.214707375</v>
      </c>
      <c r="R19" s="70">
        <f t="shared" si="9"/>
        <v>14316700.214707375</v>
      </c>
      <c r="S19" s="70">
        <f t="shared" si="10"/>
        <v>0</v>
      </c>
    </row>
    <row r="20" spans="1:19" s="85" customFormat="1" x14ac:dyDescent="0.6">
      <c r="A20" s="60">
        <f t="shared" si="5"/>
        <v>17</v>
      </c>
      <c r="B20" s="85" t="s">
        <v>168</v>
      </c>
      <c r="C20" s="174">
        <v>7.0000000000000007E-2</v>
      </c>
      <c r="D20" s="89"/>
      <c r="E20" s="959">
        <f>'State gasoline'!K20</f>
        <v>8.2000000000000003E-2</v>
      </c>
      <c r="F20" s="897">
        <v>37047000000</v>
      </c>
      <c r="G20" s="897">
        <f>F20*Assumptions!$C$56/Assumptions!$C$8</f>
        <v>307341912</v>
      </c>
      <c r="H20" s="1442">
        <v>8.8699999999999992</v>
      </c>
      <c r="I20" s="156">
        <f t="shared" si="6"/>
        <v>1.0691899710703954</v>
      </c>
      <c r="J20" s="156">
        <f t="shared" si="7"/>
        <v>6.994700745320348E-2</v>
      </c>
      <c r="K20" s="156">
        <f t="shared" si="13"/>
        <v>0.99924296361719189</v>
      </c>
      <c r="L20" s="156">
        <f t="shared" ref="L20" si="21">K20*(1+E20)</f>
        <v>1.0811808866338017</v>
      </c>
      <c r="M20" s="952">
        <f t="shared" si="8"/>
        <v>6.994700745320348E-2</v>
      </c>
      <c r="N20" s="70">
        <f t="shared" si="1"/>
        <v>328606890</v>
      </c>
      <c r="O20" s="70">
        <f t="shared" si="2"/>
        <v>307109242.99065417</v>
      </c>
      <c r="P20" s="70">
        <f t="shared" si="3"/>
        <v>332292200.91588789</v>
      </c>
      <c r="Q20" s="70">
        <f t="shared" si="4"/>
        <v>-3685310.9158878922</v>
      </c>
      <c r="R20" s="70">
        <f t="shared" si="9"/>
        <v>0</v>
      </c>
      <c r="S20" s="70">
        <f t="shared" si="10"/>
        <v>-3685310.9158878922</v>
      </c>
    </row>
    <row r="21" spans="1:19" s="85" customFormat="1" x14ac:dyDescent="0.6">
      <c r="A21" s="60">
        <f t="shared" si="5"/>
        <v>18</v>
      </c>
      <c r="B21" s="85" t="s">
        <v>167</v>
      </c>
      <c r="C21" s="174">
        <f>E21</f>
        <v>0.06</v>
      </c>
      <c r="D21" s="89"/>
      <c r="E21" s="959">
        <f>'State gasoline'!K21</f>
        <v>0.06</v>
      </c>
      <c r="F21" s="897">
        <v>35435000000</v>
      </c>
      <c r="G21" s="897">
        <f>F21*Assumptions!$C$56/Assumptions!$C$8</f>
        <v>293968760</v>
      </c>
      <c r="H21" s="1442">
        <v>8.75</v>
      </c>
      <c r="I21" s="156">
        <f t="shared" si="6"/>
        <v>1.0547251687560271</v>
      </c>
      <c r="J21" s="156">
        <f t="shared" si="7"/>
        <v>5.970142464656758E-2</v>
      </c>
      <c r="K21" s="156">
        <f t="shared" si="13"/>
        <v>0.99502374410945948</v>
      </c>
      <c r="L21" s="156">
        <f t="shared" ref="L21" si="22">K21*(1+E21)</f>
        <v>1.0547251687560271</v>
      </c>
      <c r="M21" s="952">
        <f t="shared" si="8"/>
        <v>5.970142464656758E-2</v>
      </c>
      <c r="N21" s="70">
        <f t="shared" si="1"/>
        <v>310056250</v>
      </c>
      <c r="O21" s="70">
        <f t="shared" si="2"/>
        <v>292505896.2264151</v>
      </c>
      <c r="P21" s="70">
        <f t="shared" si="3"/>
        <v>310056250</v>
      </c>
      <c r="Q21" s="70">
        <f t="shared" si="4"/>
        <v>0</v>
      </c>
      <c r="R21" s="70">
        <f t="shared" si="9"/>
        <v>0</v>
      </c>
      <c r="S21" s="70">
        <f t="shared" si="10"/>
        <v>0</v>
      </c>
    </row>
    <row r="22" spans="1:19" s="85" customFormat="1" x14ac:dyDescent="0.6">
      <c r="A22" s="60">
        <f t="shared" si="5"/>
        <v>19</v>
      </c>
      <c r="B22" s="85" t="s">
        <v>179</v>
      </c>
      <c r="C22" s="174">
        <f>2%+E22</f>
        <v>0.1091</v>
      </c>
      <c r="D22" s="89"/>
      <c r="E22" s="959">
        <f>'State gasoline'!K22</f>
        <v>8.9099999999999999E-2</v>
      </c>
      <c r="F22" s="897">
        <v>30270000000</v>
      </c>
      <c r="G22" s="897">
        <f>F22*Assumptions!$C$56/Assumptions!$C$8</f>
        <v>251119920</v>
      </c>
      <c r="H22" s="1442">
        <v>8.01</v>
      </c>
      <c r="I22" s="156">
        <f t="shared" si="6"/>
        <v>0.96552555448408872</v>
      </c>
      <c r="J22" s="156">
        <f t="shared" si="7"/>
        <v>9.4976862315583888E-2</v>
      </c>
      <c r="K22" s="156">
        <f t="shared" si="13"/>
        <v>0.87054869216850483</v>
      </c>
      <c r="L22" s="156">
        <f t="shared" ref="L22" si="23">K22*(1+E22)</f>
        <v>0.94811458064071863</v>
      </c>
      <c r="M22" s="952">
        <f t="shared" si="8"/>
        <v>9.4976862315583888E-2</v>
      </c>
      <c r="N22" s="70">
        <f t="shared" si="1"/>
        <v>242462700</v>
      </c>
      <c r="O22" s="70">
        <f t="shared" si="2"/>
        <v>218612117.93345955</v>
      </c>
      <c r="P22" s="70">
        <f t="shared" si="3"/>
        <v>238090457.64133081</v>
      </c>
      <c r="Q22" s="70">
        <f t="shared" si="4"/>
        <v>4372242.3586691916</v>
      </c>
      <c r="R22" s="70">
        <f t="shared" si="9"/>
        <v>4372242.3586691916</v>
      </c>
      <c r="S22" s="70">
        <f t="shared" si="10"/>
        <v>0</v>
      </c>
    </row>
    <row r="23" spans="1:19" s="85" customFormat="1" x14ac:dyDescent="0.6">
      <c r="A23" s="60">
        <f t="shared" si="5"/>
        <v>20</v>
      </c>
      <c r="B23" s="85" t="s">
        <v>158</v>
      </c>
      <c r="C23" s="174">
        <f t="shared" ref="C23:C29" si="24">E23</f>
        <v>5.5E-2</v>
      </c>
      <c r="D23" s="89"/>
      <c r="E23" s="959">
        <f>'State gasoline'!K23</f>
        <v>5.5E-2</v>
      </c>
      <c r="F23" s="897">
        <v>10072000000</v>
      </c>
      <c r="G23" s="897">
        <f>F23*Assumptions!$C$56/Assumptions!$C$8</f>
        <v>83557312</v>
      </c>
      <c r="H23" s="1442">
        <v>14.16</v>
      </c>
      <c r="I23" s="156">
        <f t="shared" si="6"/>
        <v>1.7068466730954677</v>
      </c>
      <c r="J23" s="156">
        <f t="shared" si="7"/>
        <v>8.8982527981280146E-2</v>
      </c>
      <c r="K23" s="156">
        <f t="shared" si="13"/>
        <v>1.6178641451141875</v>
      </c>
      <c r="L23" s="156">
        <f t="shared" ref="L23" si="25">K23*(1+E23)</f>
        <v>1.7068466730954677</v>
      </c>
      <c r="M23" s="952">
        <f t="shared" si="8"/>
        <v>8.8982527981280146E-2</v>
      </c>
      <c r="N23" s="70">
        <f t="shared" si="1"/>
        <v>142619520</v>
      </c>
      <c r="O23" s="70">
        <f t="shared" si="2"/>
        <v>135184379.14691943</v>
      </c>
      <c r="P23" s="70">
        <f t="shared" si="3"/>
        <v>142619520</v>
      </c>
      <c r="Q23" s="70">
        <f t="shared" si="4"/>
        <v>0</v>
      </c>
      <c r="R23" s="70">
        <f t="shared" si="9"/>
        <v>0</v>
      </c>
      <c r="S23" s="70">
        <f t="shared" si="10"/>
        <v>0</v>
      </c>
    </row>
    <row r="24" spans="1:19" s="85" customFormat="1" x14ac:dyDescent="0.6">
      <c r="A24" s="60">
        <f t="shared" si="5"/>
        <v>21</v>
      </c>
      <c r="B24" s="85" t="s">
        <v>150</v>
      </c>
      <c r="C24" s="174">
        <f t="shared" si="24"/>
        <v>0.06</v>
      </c>
      <c r="D24" s="89">
        <f>0.0402/8</f>
        <v>5.025E-3</v>
      </c>
      <c r="E24" s="959">
        <f>'State gasoline'!K24</f>
        <v>0.06</v>
      </c>
      <c r="F24" s="897">
        <v>70199000000</v>
      </c>
      <c r="G24" s="897">
        <f>F24*Assumptions!$C$56/Assumptions!$C$8</f>
        <v>582370904</v>
      </c>
      <c r="H24" s="1442">
        <v>9.8000000000000007</v>
      </c>
      <c r="I24" s="156">
        <f t="shared" si="6"/>
        <v>1.1812921890067505</v>
      </c>
      <c r="J24" s="156">
        <f t="shared" si="7"/>
        <v>7.1606161641891708E-2</v>
      </c>
      <c r="K24" s="156">
        <f t="shared" ref="K24:K51" si="26">(I24-D24)/(1+C24)</f>
        <v>1.1096860273648588</v>
      </c>
      <c r="L24" s="156">
        <f t="shared" si="0"/>
        <v>1.1762671890067504</v>
      </c>
      <c r="M24" s="952">
        <f t="shared" si="8"/>
        <v>7.1606161641891708E-2</v>
      </c>
      <c r="N24" s="70">
        <f t="shared" si="1"/>
        <v>687950200.00000012</v>
      </c>
      <c r="O24" s="70">
        <f t="shared" si="2"/>
        <v>646248854.91264153</v>
      </c>
      <c r="P24" s="70">
        <f t="shared" si="3"/>
        <v>685023786.20740008</v>
      </c>
      <c r="Q24" s="70">
        <f t="shared" si="4"/>
        <v>2926413.7926000357</v>
      </c>
      <c r="R24" s="70">
        <f t="shared" si="9"/>
        <v>2926413.7926000357</v>
      </c>
      <c r="S24" s="70">
        <f t="shared" si="10"/>
        <v>0</v>
      </c>
    </row>
    <row r="25" spans="1:19" s="85" customFormat="1" x14ac:dyDescent="0.6">
      <c r="A25" s="60">
        <f t="shared" si="5"/>
        <v>22</v>
      </c>
      <c r="B25" s="85" t="s">
        <v>166</v>
      </c>
      <c r="C25" s="174">
        <f t="shared" si="24"/>
        <v>6.25E-2</v>
      </c>
      <c r="D25" s="89"/>
      <c r="E25" s="959">
        <f>'State gasoline'!K25</f>
        <v>6.25E-2</v>
      </c>
      <c r="F25" s="897">
        <v>105171000000</v>
      </c>
      <c r="G25" s="897">
        <f>F25*Assumptions!$C$56/Assumptions!$C$8</f>
        <v>872498616</v>
      </c>
      <c r="H25" s="1442">
        <v>10.81</v>
      </c>
      <c r="I25" s="156">
        <f t="shared" si="6"/>
        <v>1.3030376084860174</v>
      </c>
      <c r="J25" s="156">
        <f t="shared" si="7"/>
        <v>7.6649271087412707E-2</v>
      </c>
      <c r="K25" s="156">
        <f t="shared" si="26"/>
        <v>1.2263883373986046</v>
      </c>
      <c r="L25" s="156">
        <f t="shared" ref="L25" si="27">K25*(1+E25)</f>
        <v>1.3030376084860174</v>
      </c>
      <c r="M25" s="952">
        <f t="shared" si="8"/>
        <v>7.6649271087412707E-2</v>
      </c>
      <c r="N25" s="70">
        <f t="shared" si="1"/>
        <v>1136898510</v>
      </c>
      <c r="O25" s="70">
        <f t="shared" si="2"/>
        <v>1070022127.0588236</v>
      </c>
      <c r="P25" s="70">
        <f t="shared" si="3"/>
        <v>1136898510</v>
      </c>
      <c r="Q25" s="70">
        <f t="shared" si="4"/>
        <v>0</v>
      </c>
      <c r="R25" s="70">
        <f t="shared" si="9"/>
        <v>0</v>
      </c>
      <c r="S25" s="70">
        <f t="shared" si="10"/>
        <v>0</v>
      </c>
    </row>
    <row r="26" spans="1:19" s="85" customFormat="1" x14ac:dyDescent="0.6">
      <c r="A26" s="60">
        <f t="shared" si="5"/>
        <v>23</v>
      </c>
      <c r="B26" s="85" t="s">
        <v>155</v>
      </c>
      <c r="C26" s="174">
        <f t="shared" si="24"/>
        <v>0.06</v>
      </c>
      <c r="D26" s="89"/>
      <c r="E26" s="959">
        <f>'State gasoline'!K26</f>
        <v>0.06</v>
      </c>
      <c r="F26" s="897">
        <v>168360000000</v>
      </c>
      <c r="G26" s="897">
        <f>F26*Assumptions!$C$56/Assumptions!$C$8</f>
        <v>1396714560</v>
      </c>
      <c r="H26" s="1442">
        <v>7.51</v>
      </c>
      <c r="I26" s="156">
        <f t="shared" si="6"/>
        <v>0.90525554484088722</v>
      </c>
      <c r="J26" s="156">
        <f t="shared" si="7"/>
        <v>5.1240879896654046E-2</v>
      </c>
      <c r="K26" s="156">
        <f t="shared" si="26"/>
        <v>0.85401466494423317</v>
      </c>
      <c r="L26" s="156">
        <f t="shared" ref="L26" si="28">K26*(1+E26)</f>
        <v>0.90525554484088722</v>
      </c>
      <c r="M26" s="952">
        <f t="shared" si="8"/>
        <v>5.1240879896654046E-2</v>
      </c>
      <c r="N26" s="70">
        <f t="shared" si="1"/>
        <v>1264383600</v>
      </c>
      <c r="O26" s="70">
        <f t="shared" si="2"/>
        <v>1192814716.981132</v>
      </c>
      <c r="P26" s="70">
        <f t="shared" si="3"/>
        <v>1264383600</v>
      </c>
      <c r="Q26" s="70">
        <f t="shared" si="4"/>
        <v>0</v>
      </c>
      <c r="R26" s="70">
        <f t="shared" si="9"/>
        <v>0</v>
      </c>
      <c r="S26" s="70">
        <f t="shared" si="10"/>
        <v>0</v>
      </c>
    </row>
    <row r="27" spans="1:19" s="85" customFormat="1" x14ac:dyDescent="0.6">
      <c r="A27" s="60">
        <f t="shared" si="5"/>
        <v>24</v>
      </c>
      <c r="B27" s="85" t="s">
        <v>162</v>
      </c>
      <c r="C27" s="174">
        <f t="shared" si="24"/>
        <v>7.1999999999999995E-2</v>
      </c>
      <c r="D27" s="89"/>
      <c r="E27" s="959">
        <f>'State gasoline'!K27</f>
        <v>7.1999999999999995E-2</v>
      </c>
      <c r="F27" s="897">
        <v>93005000000</v>
      </c>
      <c r="G27" s="897">
        <f>F27*Assumptions!$C$56/Assumptions!$C$8</f>
        <v>771569480</v>
      </c>
      <c r="H27" s="1442">
        <v>7.31</v>
      </c>
      <c r="I27" s="156">
        <f t="shared" si="6"/>
        <v>0.88114754098360659</v>
      </c>
      <c r="J27" s="156">
        <f t="shared" si="7"/>
        <v>5.9181551260093057E-2</v>
      </c>
      <c r="K27" s="156">
        <f t="shared" si="26"/>
        <v>0.82196598972351353</v>
      </c>
      <c r="L27" s="156">
        <f t="shared" ref="L27" si="29">K27*(1+E27)</f>
        <v>0.88114754098360659</v>
      </c>
      <c r="M27" s="952">
        <f t="shared" si="8"/>
        <v>5.9181551260093057E-2</v>
      </c>
      <c r="N27" s="70">
        <f t="shared" si="1"/>
        <v>679866550</v>
      </c>
      <c r="O27" s="70">
        <f t="shared" si="2"/>
        <v>634203871.26865673</v>
      </c>
      <c r="P27" s="70">
        <f t="shared" si="3"/>
        <v>679866550</v>
      </c>
      <c r="Q27" s="70">
        <f t="shared" si="4"/>
        <v>0</v>
      </c>
      <c r="R27" s="70">
        <f t="shared" si="9"/>
        <v>0</v>
      </c>
      <c r="S27" s="70">
        <f t="shared" si="10"/>
        <v>0</v>
      </c>
    </row>
    <row r="28" spans="1:19" s="85" customFormat="1" x14ac:dyDescent="0.6">
      <c r="A28" s="60">
        <f t="shared" si="5"/>
        <v>25</v>
      </c>
      <c r="B28" s="85" t="s">
        <v>183</v>
      </c>
      <c r="C28" s="174">
        <f t="shared" si="24"/>
        <v>7.0699999999999999E-2</v>
      </c>
      <c r="D28" s="89"/>
      <c r="E28" s="959">
        <f>'State gasoline'!K28</f>
        <v>7.0699999999999999E-2</v>
      </c>
      <c r="F28" s="897">
        <v>19727000000</v>
      </c>
      <c r="G28" s="897">
        <f>F28*Assumptions!$C$56/Assumptions!$C$8</f>
        <v>163655192</v>
      </c>
      <c r="H28" s="1442">
        <v>7.87</v>
      </c>
      <c r="I28" s="156">
        <f t="shared" si="6"/>
        <v>0.94864995178399225</v>
      </c>
      <c r="J28" s="156">
        <f t="shared" si="7"/>
        <v>6.2640843925589107E-2</v>
      </c>
      <c r="K28" s="156">
        <f t="shared" si="26"/>
        <v>0.88600910785840314</v>
      </c>
      <c r="L28" s="156">
        <f t="shared" si="0"/>
        <v>0.94864995178399225</v>
      </c>
      <c r="M28" s="952">
        <f t="shared" si="8"/>
        <v>6.2640843925589107E-2</v>
      </c>
      <c r="N28" s="70">
        <f t="shared" si="1"/>
        <v>155251490</v>
      </c>
      <c r="O28" s="70">
        <f t="shared" si="2"/>
        <v>144999990.66031566</v>
      </c>
      <c r="P28" s="70">
        <f t="shared" si="3"/>
        <v>155251490</v>
      </c>
      <c r="Q28" s="70">
        <f t="shared" si="4"/>
        <v>0</v>
      </c>
      <c r="R28" s="70">
        <f t="shared" si="9"/>
        <v>0</v>
      </c>
      <c r="S28" s="70">
        <f t="shared" si="10"/>
        <v>0</v>
      </c>
    </row>
    <row r="29" spans="1:19" s="85" customFormat="1" x14ac:dyDescent="0.6">
      <c r="A29" s="60">
        <f t="shared" si="5"/>
        <v>26</v>
      </c>
      <c r="B29" s="85" t="s">
        <v>184</v>
      </c>
      <c r="C29" s="174">
        <f t="shared" si="24"/>
        <v>7.8100000000000003E-2</v>
      </c>
      <c r="D29" s="89"/>
      <c r="E29" s="959">
        <f>'State gasoline'!K29</f>
        <v>7.8100000000000003E-2</v>
      </c>
      <c r="F29" s="897">
        <v>61389000000</v>
      </c>
      <c r="G29" s="897">
        <f>F29*Assumptions!$C$56/Assumptions!$C$8</f>
        <v>509283144</v>
      </c>
      <c r="H29" s="1442">
        <v>9.14</v>
      </c>
      <c r="I29" s="156">
        <f t="shared" si="6"/>
        <v>1.1017357762777242</v>
      </c>
      <c r="J29" s="156">
        <f t="shared" si="7"/>
        <v>7.9812229039319504E-2</v>
      </c>
      <c r="K29" s="156">
        <f t="shared" si="26"/>
        <v>1.0219235472384047</v>
      </c>
      <c r="L29" s="156">
        <f t="shared" ref="L29" si="30">K29*(1+E29)</f>
        <v>1.1017357762777242</v>
      </c>
      <c r="M29" s="952">
        <f t="shared" si="8"/>
        <v>7.9812229039319504E-2</v>
      </c>
      <c r="N29" s="70">
        <f t="shared" si="1"/>
        <v>561095460</v>
      </c>
      <c r="O29" s="70">
        <f t="shared" si="2"/>
        <v>520448437.0652073</v>
      </c>
      <c r="P29" s="70">
        <f t="shared" si="3"/>
        <v>561095460</v>
      </c>
      <c r="Q29" s="70">
        <f t="shared" si="4"/>
        <v>0</v>
      </c>
      <c r="R29" s="70">
        <f t="shared" si="9"/>
        <v>0</v>
      </c>
      <c r="S29" s="70">
        <f t="shared" si="10"/>
        <v>0</v>
      </c>
    </row>
    <row r="30" spans="1:19" s="85" customFormat="1" x14ac:dyDescent="0.6">
      <c r="A30" s="60">
        <f t="shared" si="5"/>
        <v>27</v>
      </c>
      <c r="B30" s="85" t="s">
        <v>164</v>
      </c>
      <c r="C30" s="174"/>
      <c r="D30" s="89"/>
      <c r="E30" s="959">
        <f>'State gasoline'!K30</f>
        <v>0</v>
      </c>
      <c r="F30" s="897">
        <v>19502000000</v>
      </c>
      <c r="G30" s="897">
        <f>F30*Assumptions!$C$56/Assumptions!$C$8</f>
        <v>161788592</v>
      </c>
      <c r="H30" s="1442">
        <v>8.08</v>
      </c>
      <c r="I30" s="156">
        <f t="shared" si="6"/>
        <v>0.97396335583413696</v>
      </c>
      <c r="J30" s="156">
        <f t="shared" si="7"/>
        <v>0</v>
      </c>
      <c r="K30" s="156">
        <f t="shared" si="26"/>
        <v>0.97396335583413696</v>
      </c>
      <c r="L30" s="156">
        <f t="shared" ref="L30" si="31">K30*(1+E30)</f>
        <v>0.97396335583413696</v>
      </c>
      <c r="M30" s="952">
        <f t="shared" si="8"/>
        <v>0</v>
      </c>
      <c r="N30" s="70">
        <f t="shared" si="1"/>
        <v>157576160</v>
      </c>
      <c r="O30" s="70">
        <f t="shared" si="2"/>
        <v>157576160</v>
      </c>
      <c r="P30" s="70">
        <f t="shared" si="3"/>
        <v>157576160</v>
      </c>
      <c r="Q30" s="70">
        <f t="shared" si="4"/>
        <v>0</v>
      </c>
      <c r="R30" s="70">
        <f t="shared" si="9"/>
        <v>0</v>
      </c>
      <c r="S30" s="70">
        <f t="shared" si="10"/>
        <v>0</v>
      </c>
    </row>
    <row r="31" spans="1:19" s="85" customFormat="1" x14ac:dyDescent="0.6">
      <c r="A31" s="60">
        <f t="shared" si="5"/>
        <v>28</v>
      </c>
      <c r="B31" s="85" t="s">
        <v>165</v>
      </c>
      <c r="C31" s="174">
        <f>E31</f>
        <v>6.8000000000000005E-2</v>
      </c>
      <c r="D31" s="89"/>
      <c r="E31" s="959">
        <f>'State gasoline'!K31</f>
        <v>6.8000000000000005E-2</v>
      </c>
      <c r="F31" s="897">
        <v>29464000000</v>
      </c>
      <c r="G31" s="897">
        <f>F31*Assumptions!$C$56/Assumptions!$C$8</f>
        <v>244433344</v>
      </c>
      <c r="H31" s="1442">
        <v>6.4</v>
      </c>
      <c r="I31" s="156">
        <f t="shared" si="6"/>
        <v>0.77145612343297976</v>
      </c>
      <c r="J31" s="156">
        <f t="shared" si="7"/>
        <v>4.9118929207343287E-2</v>
      </c>
      <c r="K31" s="156">
        <f t="shared" si="26"/>
        <v>0.72233719422563647</v>
      </c>
      <c r="L31" s="156">
        <f t="shared" ref="L31" si="32">K31*(1+E31)</f>
        <v>0.77145612343297976</v>
      </c>
      <c r="M31" s="952">
        <f t="shared" si="8"/>
        <v>4.9118929207343287E-2</v>
      </c>
      <c r="N31" s="70">
        <f t="shared" si="1"/>
        <v>188569600</v>
      </c>
      <c r="O31" s="70">
        <f t="shared" si="2"/>
        <v>176563295.88014981</v>
      </c>
      <c r="P31" s="70">
        <f t="shared" si="3"/>
        <v>188569600</v>
      </c>
      <c r="Q31" s="70">
        <f t="shared" si="4"/>
        <v>0</v>
      </c>
      <c r="R31" s="70">
        <f t="shared" si="9"/>
        <v>0</v>
      </c>
      <c r="S31" s="70">
        <f t="shared" si="10"/>
        <v>0</v>
      </c>
    </row>
    <row r="32" spans="1:19" s="85" customFormat="1" x14ac:dyDescent="0.6">
      <c r="A32" s="60">
        <f t="shared" si="5"/>
        <v>29</v>
      </c>
      <c r="B32" s="85" t="s">
        <v>147</v>
      </c>
      <c r="C32" s="1447">
        <v>5.1360000000000003E-2</v>
      </c>
      <c r="D32" s="89"/>
      <c r="E32" s="959">
        <f>'State gasoline'!K32</f>
        <v>7.9399999999999998E-2</v>
      </c>
      <c r="F32" s="897">
        <v>29873000000</v>
      </c>
      <c r="G32" s="897">
        <f>F32*Assumptions!$C$56/Assumptions!$C$8</f>
        <v>247826408</v>
      </c>
      <c r="H32" s="1442">
        <v>8.66</v>
      </c>
      <c r="I32" s="156">
        <f t="shared" si="6"/>
        <v>1.0438765670202506</v>
      </c>
      <c r="J32" s="156">
        <f t="shared" si="7"/>
        <v>5.0994426725536557E-2</v>
      </c>
      <c r="K32" s="156">
        <f t="shared" si="26"/>
        <v>0.992882140294714</v>
      </c>
      <c r="L32" s="156">
        <f t="shared" ref="L32" si="33">K32*(1+E32)</f>
        <v>1.0717169822341142</v>
      </c>
      <c r="M32" s="952">
        <f t="shared" si="8"/>
        <v>5.0994426725536557E-2</v>
      </c>
      <c r="N32" s="70">
        <f t="shared" si="1"/>
        <v>258700179.99999997</v>
      </c>
      <c r="O32" s="70">
        <f t="shared" si="2"/>
        <v>246062414.39659104</v>
      </c>
      <c r="P32" s="70">
        <f t="shared" si="3"/>
        <v>265599770.09968033</v>
      </c>
      <c r="Q32" s="70">
        <f t="shared" si="4"/>
        <v>-6899590.0996803641</v>
      </c>
      <c r="R32" s="70">
        <f t="shared" si="9"/>
        <v>0</v>
      </c>
      <c r="S32" s="70">
        <f t="shared" si="10"/>
        <v>-6899590.0996803641</v>
      </c>
    </row>
    <row r="33" spans="1:19" s="85" customFormat="1" x14ac:dyDescent="0.6">
      <c r="A33" s="60">
        <f t="shared" si="5"/>
        <v>30</v>
      </c>
      <c r="B33" s="85" t="s">
        <v>170</v>
      </c>
      <c r="C33" s="174"/>
      <c r="D33" s="89"/>
      <c r="E33" s="959">
        <f>'State gasoline'!K33</f>
        <v>0</v>
      </c>
      <c r="F33" s="897">
        <v>9630000000</v>
      </c>
      <c r="G33" s="897">
        <f>F33*Assumptions!$C$56/Assumptions!$C$8</f>
        <v>79890480</v>
      </c>
      <c r="H33" s="1442">
        <v>13.63</v>
      </c>
      <c r="I33" s="156">
        <f t="shared" si="6"/>
        <v>1.6429604628736743</v>
      </c>
      <c r="J33" s="156">
        <f t="shared" si="7"/>
        <v>0</v>
      </c>
      <c r="K33" s="156">
        <f t="shared" si="26"/>
        <v>1.6429604628736743</v>
      </c>
      <c r="L33" s="156">
        <f t="shared" ref="L33" si="34">K33*(1+E33)</f>
        <v>1.6429604628736743</v>
      </c>
      <c r="M33" s="952">
        <f t="shared" si="8"/>
        <v>0</v>
      </c>
      <c r="N33" s="70">
        <f t="shared" si="1"/>
        <v>131256900.00000001</v>
      </c>
      <c r="O33" s="70">
        <f t="shared" si="2"/>
        <v>131256900.00000001</v>
      </c>
      <c r="P33" s="70">
        <f t="shared" si="3"/>
        <v>131256900.00000001</v>
      </c>
      <c r="Q33" s="70">
        <f t="shared" si="4"/>
        <v>0</v>
      </c>
      <c r="R33" s="70">
        <f t="shared" si="9"/>
        <v>0</v>
      </c>
      <c r="S33" s="70">
        <f t="shared" si="10"/>
        <v>0</v>
      </c>
    </row>
    <row r="34" spans="1:19" s="85" customFormat="1" x14ac:dyDescent="0.6">
      <c r="A34" s="60">
        <f t="shared" si="5"/>
        <v>31</v>
      </c>
      <c r="B34" s="85" t="s">
        <v>187</v>
      </c>
      <c r="C34" s="174">
        <f>E34</f>
        <v>6.9699999999999998E-2</v>
      </c>
      <c r="D34" s="89"/>
      <c r="E34" s="959">
        <f>'State gasoline'!K34</f>
        <v>6.9699999999999998E-2</v>
      </c>
      <c r="F34" s="897">
        <v>163223000000</v>
      </c>
      <c r="G34" s="897">
        <f>F34*Assumptions!$C$56/Assumptions!$C$8</f>
        <v>1354098008</v>
      </c>
      <c r="H34" s="1442">
        <v>8.5</v>
      </c>
      <c r="I34" s="156">
        <f t="shared" si="6"/>
        <v>1.0245901639344261</v>
      </c>
      <c r="J34" s="156">
        <f t="shared" si="7"/>
        <v>6.6760712747713891E-2</v>
      </c>
      <c r="K34" s="156">
        <f t="shared" si="26"/>
        <v>0.95782945118671226</v>
      </c>
      <c r="L34" s="156">
        <f t="shared" ref="L34" si="35">K34*(1+E34)</f>
        <v>1.0245901639344261</v>
      </c>
      <c r="M34" s="952">
        <f t="shared" si="8"/>
        <v>6.6760712747713891E-2</v>
      </c>
      <c r="N34" s="70">
        <f t="shared" si="1"/>
        <v>1387395500</v>
      </c>
      <c r="O34" s="70">
        <f t="shared" si="2"/>
        <v>1296994951.8556602</v>
      </c>
      <c r="P34" s="70">
        <f t="shared" si="3"/>
        <v>1387395500</v>
      </c>
      <c r="Q34" s="70">
        <f t="shared" si="4"/>
        <v>0</v>
      </c>
      <c r="R34" s="70">
        <f t="shared" si="9"/>
        <v>0</v>
      </c>
      <c r="S34" s="70">
        <f t="shared" si="10"/>
        <v>0</v>
      </c>
    </row>
    <row r="35" spans="1:19" s="85" customFormat="1" x14ac:dyDescent="0.6">
      <c r="A35" s="60">
        <f t="shared" si="5"/>
        <v>32</v>
      </c>
      <c r="B35" s="85" t="s">
        <v>182</v>
      </c>
      <c r="C35" s="174">
        <f>1.02*1.07-1</f>
        <v>9.1400000000000148E-2</v>
      </c>
      <c r="D35" s="89"/>
      <c r="E35" s="959">
        <f>'State gasoline'!K35</f>
        <v>7.3499999999999996E-2</v>
      </c>
      <c r="F35" s="897">
        <v>25038000000</v>
      </c>
      <c r="G35" s="897">
        <f>F35*Assumptions!$C$56/Assumptions!$C$8</f>
        <v>207715248</v>
      </c>
      <c r="H35" s="1442">
        <v>6.32</v>
      </c>
      <c r="I35" s="156">
        <f t="shared" si="6"/>
        <v>0.76181292189006755</v>
      </c>
      <c r="J35" s="156">
        <f t="shared" si="7"/>
        <v>6.3798516639868352E-2</v>
      </c>
      <c r="K35" s="156">
        <f t="shared" si="26"/>
        <v>0.6980144052501992</v>
      </c>
      <c r="L35" s="156">
        <f t="shared" ref="L35" si="36">K35*(1+E35)</f>
        <v>0.74931846403608882</v>
      </c>
      <c r="M35" s="952">
        <f t="shared" si="8"/>
        <v>6.3798516639868352E-2</v>
      </c>
      <c r="N35" s="70">
        <f t="shared" si="1"/>
        <v>158240160</v>
      </c>
      <c r="O35" s="70">
        <f t="shared" si="2"/>
        <v>144988235.29411763</v>
      </c>
      <c r="P35" s="70">
        <f t="shared" si="3"/>
        <v>155644870.58823526</v>
      </c>
      <c r="Q35" s="70">
        <f t="shared" si="4"/>
        <v>2595289.4117647409</v>
      </c>
      <c r="R35" s="70">
        <f t="shared" si="9"/>
        <v>2595289.4117647409</v>
      </c>
      <c r="S35" s="70">
        <f t="shared" si="10"/>
        <v>0</v>
      </c>
    </row>
    <row r="36" spans="1:19" s="85" customFormat="1" x14ac:dyDescent="0.6">
      <c r="A36" s="60">
        <f t="shared" si="5"/>
        <v>33</v>
      </c>
      <c r="B36" s="85" t="s">
        <v>140</v>
      </c>
      <c r="C36" s="174">
        <f>(1.05*1.045)-1</f>
        <v>9.7250000000000059E-2</v>
      </c>
      <c r="D36" s="89"/>
      <c r="E36" s="959">
        <f>'State gasoline'!K36</f>
        <v>8.48E-2</v>
      </c>
      <c r="F36" s="897">
        <v>311207000000</v>
      </c>
      <c r="G36" s="897">
        <f>F36*Assumptions!$C$56/Assumptions!$C$8</f>
        <v>2581773272</v>
      </c>
      <c r="H36" s="1442">
        <v>6.86</v>
      </c>
      <c r="I36" s="156">
        <f t="shared" si="6"/>
        <v>0.82690453230472527</v>
      </c>
      <c r="J36" s="156">
        <f t="shared" si="7"/>
        <v>7.3289100721471434E-2</v>
      </c>
      <c r="K36" s="156">
        <f t="shared" si="26"/>
        <v>0.75361543158325384</v>
      </c>
      <c r="L36" s="156">
        <f t="shared" ref="L36" si="37">K36*(1+E36)</f>
        <v>0.81752202018151376</v>
      </c>
      <c r="M36" s="952">
        <f t="shared" si="8"/>
        <v>7.3289100721471434E-2</v>
      </c>
      <c r="N36" s="70">
        <f t="shared" si="1"/>
        <v>2134880020.0000002</v>
      </c>
      <c r="O36" s="70">
        <f t="shared" si="2"/>
        <v>1945664178.6283894</v>
      </c>
      <c r="P36" s="70">
        <f t="shared" si="3"/>
        <v>2110656500.9760768</v>
      </c>
      <c r="Q36" s="70">
        <f t="shared" si="4"/>
        <v>24223519.023923397</v>
      </c>
      <c r="R36" s="70">
        <f t="shared" si="9"/>
        <v>24223519.023923397</v>
      </c>
      <c r="S36" s="70">
        <f t="shared" si="10"/>
        <v>0</v>
      </c>
    </row>
    <row r="37" spans="1:19" s="85" customFormat="1" x14ac:dyDescent="0.6">
      <c r="A37" s="60">
        <f t="shared" si="5"/>
        <v>34</v>
      </c>
      <c r="B37" s="85" t="s">
        <v>145</v>
      </c>
      <c r="C37" s="174">
        <f>E37</f>
        <v>6.9000000000000006E-2</v>
      </c>
      <c r="D37" s="89"/>
      <c r="E37" s="959">
        <f>'State gasoline'!K37</f>
        <v>6.9000000000000006E-2</v>
      </c>
      <c r="F37" s="897">
        <v>55114000000</v>
      </c>
      <c r="G37" s="897">
        <f>F37*Assumptions!$C$56/Assumptions!$C$8</f>
        <v>457225744</v>
      </c>
      <c r="H37" s="1442">
        <v>8.27</v>
      </c>
      <c r="I37" s="156">
        <f t="shared" si="6"/>
        <v>0.9968659594985535</v>
      </c>
      <c r="J37" s="156">
        <f t="shared" si="7"/>
        <v>6.4344014223947754E-2</v>
      </c>
      <c r="K37" s="156">
        <f t="shared" si="26"/>
        <v>0.93252194527460575</v>
      </c>
      <c r="L37" s="156">
        <f t="shared" ref="L37" si="38">K37*(1+E37)</f>
        <v>0.9968659594985535</v>
      </c>
      <c r="M37" s="952">
        <f t="shared" si="8"/>
        <v>6.4344014223947754E-2</v>
      </c>
      <c r="N37" s="70">
        <f t="shared" si="1"/>
        <v>455792780</v>
      </c>
      <c r="O37" s="70">
        <f t="shared" si="2"/>
        <v>426373040.22450888</v>
      </c>
      <c r="P37" s="70">
        <f t="shared" si="3"/>
        <v>455792780</v>
      </c>
      <c r="Q37" s="70">
        <f t="shared" si="4"/>
        <v>0</v>
      </c>
      <c r="R37" s="70">
        <f t="shared" si="9"/>
        <v>0</v>
      </c>
      <c r="S37" s="70">
        <f t="shared" si="10"/>
        <v>0</v>
      </c>
    </row>
    <row r="38" spans="1:19" s="85" customFormat="1" x14ac:dyDescent="0.6">
      <c r="A38" s="60">
        <f t="shared" si="5"/>
        <v>35</v>
      </c>
      <c r="B38" s="85" t="s">
        <v>173</v>
      </c>
      <c r="C38" s="174">
        <f>E38</f>
        <v>6.5600000000000006E-2</v>
      </c>
      <c r="D38" s="89"/>
      <c r="E38" s="959">
        <f>'State gasoline'!K38</f>
        <v>6.5600000000000006E-2</v>
      </c>
      <c r="F38" s="897">
        <v>12317000000</v>
      </c>
      <c r="G38" s="897">
        <f>F38*Assumptions!$C$56/Assumptions!$C$8</f>
        <v>102181832</v>
      </c>
      <c r="H38" s="1442">
        <v>6.62</v>
      </c>
      <c r="I38" s="156">
        <f t="shared" si="6"/>
        <v>0.79797492767598843</v>
      </c>
      <c r="J38" s="156">
        <f t="shared" si="7"/>
        <v>4.9124582634708092E-2</v>
      </c>
      <c r="K38" s="156">
        <f t="shared" si="26"/>
        <v>0.74885034504128034</v>
      </c>
      <c r="L38" s="156">
        <f t="shared" ref="L38" si="39">K38*(1+E38)</f>
        <v>0.79797492767598843</v>
      </c>
      <c r="M38" s="952">
        <f t="shared" si="8"/>
        <v>4.9124582634708092E-2</v>
      </c>
      <c r="N38" s="70">
        <f t="shared" si="1"/>
        <v>81538540</v>
      </c>
      <c r="O38" s="70">
        <f t="shared" si="2"/>
        <v>76518900.150150135</v>
      </c>
      <c r="P38" s="70">
        <f t="shared" si="3"/>
        <v>81538540</v>
      </c>
      <c r="Q38" s="70">
        <f t="shared" si="4"/>
        <v>0</v>
      </c>
      <c r="R38" s="70">
        <f t="shared" si="9"/>
        <v>0</v>
      </c>
      <c r="S38" s="70">
        <f t="shared" si="10"/>
        <v>0</v>
      </c>
    </row>
    <row r="39" spans="1:19" s="85" customFormat="1" x14ac:dyDescent="0.6">
      <c r="A39" s="60">
        <f t="shared" si="5"/>
        <v>36</v>
      </c>
      <c r="B39" s="85" t="s">
        <v>163</v>
      </c>
      <c r="C39" s="174"/>
      <c r="D39" s="89"/>
      <c r="E39" s="959">
        <f>'State gasoline'!K39</f>
        <v>7.0999999999999994E-2</v>
      </c>
      <c r="F39" s="897">
        <v>166602000000</v>
      </c>
      <c r="G39" s="897">
        <f>F39*Assumptions!$C$56/Assumptions!$C$8</f>
        <v>1382130192</v>
      </c>
      <c r="H39" s="1442">
        <v>6.48</v>
      </c>
      <c r="I39" s="156">
        <f t="shared" si="6"/>
        <v>0.78109932497589196</v>
      </c>
      <c r="J39" s="156">
        <f t="shared" si="7"/>
        <v>0</v>
      </c>
      <c r="K39" s="156">
        <f t="shared" si="26"/>
        <v>0.78109932497589196</v>
      </c>
      <c r="L39" s="156">
        <f t="shared" ref="L39" si="40">K39*(1+E39)</f>
        <v>0.83655737704918021</v>
      </c>
      <c r="M39" s="952">
        <f t="shared" si="8"/>
        <v>0</v>
      </c>
      <c r="N39" s="70">
        <f t="shared" si="1"/>
        <v>1079580960</v>
      </c>
      <c r="O39" s="70">
        <f t="shared" si="2"/>
        <v>1079580960</v>
      </c>
      <c r="P39" s="70">
        <f t="shared" si="3"/>
        <v>1156231208.1599998</v>
      </c>
      <c r="Q39" s="70">
        <f t="shared" si="4"/>
        <v>-76650248.159999847</v>
      </c>
      <c r="R39" s="70">
        <f t="shared" si="9"/>
        <v>0</v>
      </c>
      <c r="S39" s="70">
        <f t="shared" si="10"/>
        <v>-76650248.159999847</v>
      </c>
    </row>
    <row r="40" spans="1:19" s="85" customFormat="1" x14ac:dyDescent="0.6">
      <c r="A40" s="60">
        <f t="shared" si="5"/>
        <v>37</v>
      </c>
      <c r="B40" s="85" t="s">
        <v>185</v>
      </c>
      <c r="C40" s="174">
        <f>4%+E40</f>
        <v>0.12770000000000001</v>
      </c>
      <c r="D40" s="89"/>
      <c r="E40" s="959">
        <f>'State gasoline'!K40</f>
        <v>8.77E-2</v>
      </c>
      <c r="F40" s="897">
        <v>41982000000</v>
      </c>
      <c r="G40" s="897">
        <f>F40*Assumptions!$C$56/Assumptions!$C$8</f>
        <v>348282672</v>
      </c>
      <c r="H40" s="1442">
        <v>8.1199999999999992</v>
      </c>
      <c r="I40" s="156">
        <f t="shared" si="6"/>
        <v>0.97878495660559284</v>
      </c>
      <c r="J40" s="156">
        <f t="shared" si="7"/>
        <v>0.1108369592609153</v>
      </c>
      <c r="K40" s="156">
        <f t="shared" si="26"/>
        <v>0.86794799734467754</v>
      </c>
      <c r="L40" s="156">
        <f t="shared" ref="L40" si="41">K40*(1+E40)</f>
        <v>0.9440670367118057</v>
      </c>
      <c r="M40" s="952">
        <f t="shared" si="8"/>
        <v>0.1108369592609153</v>
      </c>
      <c r="N40" s="70">
        <f t="shared" si="1"/>
        <v>340893839.99999994</v>
      </c>
      <c r="O40" s="70">
        <f t="shared" si="2"/>
        <v>302291247.67225319</v>
      </c>
      <c r="P40" s="70">
        <f t="shared" si="3"/>
        <v>328802190.09310979</v>
      </c>
      <c r="Q40" s="70">
        <f t="shared" si="4"/>
        <v>12091649.906890154</v>
      </c>
      <c r="R40" s="70">
        <f t="shared" si="9"/>
        <v>12091649.906890154</v>
      </c>
      <c r="S40" s="70">
        <f t="shared" si="10"/>
        <v>0</v>
      </c>
    </row>
    <row r="41" spans="1:19" s="85" customFormat="1" x14ac:dyDescent="0.6">
      <c r="A41" s="60">
        <f t="shared" si="5"/>
        <v>38</v>
      </c>
      <c r="B41" s="85" t="s">
        <v>153</v>
      </c>
      <c r="C41" s="174"/>
      <c r="D41" s="89"/>
      <c r="E41" s="959">
        <f>'State gasoline'!K41</f>
        <v>0</v>
      </c>
      <c r="F41" s="897">
        <v>25602000000</v>
      </c>
      <c r="G41" s="897">
        <f>F41*Assumptions!$C$56/Assumptions!$C$8</f>
        <v>212394192</v>
      </c>
      <c r="H41" s="1442">
        <v>10.16</v>
      </c>
      <c r="I41" s="156">
        <f t="shared" si="6"/>
        <v>1.2246865959498554</v>
      </c>
      <c r="J41" s="156">
        <f t="shared" si="7"/>
        <v>0</v>
      </c>
      <c r="K41" s="156">
        <f t="shared" si="26"/>
        <v>1.2246865959498554</v>
      </c>
      <c r="L41" s="156">
        <f t="shared" ref="L41" si="42">K41*(1+E41)</f>
        <v>1.2246865959498554</v>
      </c>
      <c r="M41" s="952">
        <f t="shared" si="8"/>
        <v>0</v>
      </c>
      <c r="N41" s="70">
        <f t="shared" si="1"/>
        <v>260116320</v>
      </c>
      <c r="O41" s="70">
        <f t="shared" si="2"/>
        <v>260116320</v>
      </c>
      <c r="P41" s="70">
        <f t="shared" si="3"/>
        <v>260116320</v>
      </c>
      <c r="Q41" s="70">
        <f t="shared" si="4"/>
        <v>0</v>
      </c>
      <c r="R41" s="70">
        <f t="shared" si="9"/>
        <v>0</v>
      </c>
      <c r="S41" s="70">
        <f t="shared" si="10"/>
        <v>0</v>
      </c>
    </row>
    <row r="42" spans="1:19" s="85" customFormat="1" x14ac:dyDescent="0.6">
      <c r="A42" s="60">
        <f t="shared" si="5"/>
        <v>39</v>
      </c>
      <c r="B42" s="85" t="s">
        <v>138</v>
      </c>
      <c r="C42" s="174">
        <f>E42</f>
        <v>6.3399999999999998E-2</v>
      </c>
      <c r="D42" s="89"/>
      <c r="E42" s="959">
        <f>'State gasoline'!K42</f>
        <v>6.3399999999999998E-2</v>
      </c>
      <c r="F42" s="897">
        <v>152091000000</v>
      </c>
      <c r="G42" s="897">
        <f>F42*Assumptions!$C$56/Assumptions!$C$8</f>
        <v>1261746936</v>
      </c>
      <c r="H42" s="1442">
        <v>9.32</v>
      </c>
      <c r="I42" s="156">
        <f t="shared" si="6"/>
        <v>1.1234329797492768</v>
      </c>
      <c r="J42" s="156">
        <f t="shared" si="7"/>
        <v>6.6979171446402086E-2</v>
      </c>
      <c r="K42" s="156">
        <f t="shared" si="26"/>
        <v>1.0564538083028747</v>
      </c>
      <c r="L42" s="156">
        <f t="shared" ref="L42" si="43">K42*(1+E42)</f>
        <v>1.1234329797492768</v>
      </c>
      <c r="M42" s="952">
        <f t="shared" si="8"/>
        <v>6.6979171446402086E-2</v>
      </c>
      <c r="N42" s="70">
        <f t="shared" si="1"/>
        <v>1417488120</v>
      </c>
      <c r="O42" s="70">
        <f t="shared" si="2"/>
        <v>1332977355.6516836</v>
      </c>
      <c r="P42" s="70">
        <f t="shared" si="3"/>
        <v>1417488120</v>
      </c>
      <c r="Q42" s="70">
        <f t="shared" si="4"/>
        <v>0</v>
      </c>
      <c r="R42" s="70">
        <f t="shared" si="9"/>
        <v>0</v>
      </c>
      <c r="S42" s="70">
        <f t="shared" si="10"/>
        <v>0</v>
      </c>
    </row>
    <row r="43" spans="1:19" s="85" customFormat="1" x14ac:dyDescent="0.6">
      <c r="A43" s="60">
        <f t="shared" si="5"/>
        <v>40</v>
      </c>
      <c r="B43" s="85" t="s">
        <v>146</v>
      </c>
      <c r="C43" s="174"/>
      <c r="D43" s="89"/>
      <c r="E43" s="959">
        <f>'State gasoline'!K43</f>
        <v>7.0000000000000007E-2</v>
      </c>
      <c r="F43" s="897">
        <v>12016000000</v>
      </c>
      <c r="G43" s="897">
        <f>F43*Assumptions!$C$56/Assumptions!$C$8</f>
        <v>99684736</v>
      </c>
      <c r="H43" s="1442">
        <v>11.99</v>
      </c>
      <c r="I43" s="156">
        <f t="shared" si="6"/>
        <v>1.4452748312439729</v>
      </c>
      <c r="J43" s="156">
        <f t="shared" si="7"/>
        <v>0</v>
      </c>
      <c r="K43" s="156">
        <f t="shared" si="26"/>
        <v>1.4452748312439729</v>
      </c>
      <c r="L43" s="156">
        <f t="shared" ref="L43" si="44">K43*(1+E43)</f>
        <v>1.5464440694310511</v>
      </c>
      <c r="M43" s="952">
        <f t="shared" si="8"/>
        <v>0</v>
      </c>
      <c r="N43" s="70">
        <f t="shared" si="1"/>
        <v>144071840</v>
      </c>
      <c r="O43" s="70">
        <f t="shared" si="2"/>
        <v>144071840</v>
      </c>
      <c r="P43" s="70">
        <f t="shared" si="3"/>
        <v>154156868.79999998</v>
      </c>
      <c r="Q43" s="70">
        <f t="shared" si="4"/>
        <v>-10085028.799999982</v>
      </c>
      <c r="R43" s="70">
        <f t="shared" si="9"/>
        <v>0</v>
      </c>
      <c r="S43" s="70">
        <f t="shared" si="10"/>
        <v>-10085028.799999982</v>
      </c>
    </row>
    <row r="44" spans="1:19" s="85" customFormat="1" x14ac:dyDescent="0.6">
      <c r="A44" s="60">
        <f t="shared" si="5"/>
        <v>41</v>
      </c>
      <c r="B44" s="85" t="s">
        <v>186</v>
      </c>
      <c r="C44" s="174">
        <f>E44</f>
        <v>7.1300000000000002E-2</v>
      </c>
      <c r="D44" s="89"/>
      <c r="E44" s="959">
        <f>'State gasoline'!K44</f>
        <v>7.1300000000000002E-2</v>
      </c>
      <c r="F44" s="897">
        <v>23752000000</v>
      </c>
      <c r="G44" s="897">
        <f>F44*Assumptions!$C$56/Assumptions!$C$8</f>
        <v>197046592</v>
      </c>
      <c r="H44" s="1442">
        <v>8.52</v>
      </c>
      <c r="I44" s="156">
        <f t="shared" si="6"/>
        <v>1.0270009643201543</v>
      </c>
      <c r="J44" s="156">
        <f t="shared" si="7"/>
        <v>6.8351693042123518E-2</v>
      </c>
      <c r="K44" s="156">
        <f t="shared" si="26"/>
        <v>0.95864927127803079</v>
      </c>
      <c r="L44" s="156">
        <f t="shared" ref="L44" si="45">K44*(1+E44)</f>
        <v>1.0270009643201543</v>
      </c>
      <c r="M44" s="952">
        <f t="shared" si="8"/>
        <v>6.8351693042123518E-2</v>
      </c>
      <c r="N44" s="70">
        <f t="shared" si="1"/>
        <v>202367040</v>
      </c>
      <c r="O44" s="70">
        <f t="shared" si="2"/>
        <v>188898571.82861945</v>
      </c>
      <c r="P44" s="70">
        <f t="shared" si="3"/>
        <v>202367040</v>
      </c>
      <c r="Q44" s="70">
        <f t="shared" si="4"/>
        <v>0</v>
      </c>
      <c r="R44" s="70">
        <f t="shared" si="9"/>
        <v>0</v>
      </c>
      <c r="S44" s="70">
        <f t="shared" si="10"/>
        <v>0</v>
      </c>
    </row>
    <row r="45" spans="1:19" s="85" customFormat="1" x14ac:dyDescent="0.6">
      <c r="A45" s="60">
        <f t="shared" si="5"/>
        <v>42</v>
      </c>
      <c r="B45" s="85" t="s">
        <v>159</v>
      </c>
      <c r="C45" s="174">
        <f>E45</f>
        <v>5.8299999999999998E-2</v>
      </c>
      <c r="D45" s="89"/>
      <c r="E45" s="959">
        <f>'State gasoline'!K45</f>
        <v>5.8299999999999998E-2</v>
      </c>
      <c r="F45" s="897">
        <v>10434000000</v>
      </c>
      <c r="G45" s="897">
        <f>F45*Assumptions!$C$56/Assumptions!$C$8</f>
        <v>86560464</v>
      </c>
      <c r="H45" s="1442">
        <v>6.22</v>
      </c>
      <c r="I45" s="156">
        <f t="shared" si="6"/>
        <v>0.74975891996142718</v>
      </c>
      <c r="J45" s="156">
        <f t="shared" si="7"/>
        <v>4.1302981228150015E-2</v>
      </c>
      <c r="K45" s="156">
        <f t="shared" si="26"/>
        <v>0.70845593873327717</v>
      </c>
      <c r="L45" s="156">
        <f t="shared" ref="L45" si="46">K45*(1+E45)</f>
        <v>0.74975891996142729</v>
      </c>
      <c r="M45" s="952">
        <f t="shared" si="8"/>
        <v>4.1302981228150015E-2</v>
      </c>
      <c r="N45" s="70">
        <f t="shared" si="1"/>
        <v>64899480</v>
      </c>
      <c r="O45" s="70">
        <f t="shared" si="2"/>
        <v>61324274.780308045</v>
      </c>
      <c r="P45" s="70">
        <f t="shared" si="3"/>
        <v>64899480.000000007</v>
      </c>
      <c r="Q45" s="70">
        <f t="shared" si="4"/>
        <v>0</v>
      </c>
      <c r="R45" s="70">
        <f t="shared" si="9"/>
        <v>0</v>
      </c>
      <c r="S45" s="70">
        <f t="shared" si="10"/>
        <v>0</v>
      </c>
    </row>
    <row r="46" spans="1:19" s="85" customFormat="1" x14ac:dyDescent="0.6">
      <c r="A46" s="60">
        <f t="shared" si="5"/>
        <v>43</v>
      </c>
      <c r="B46" s="85" t="s">
        <v>177</v>
      </c>
      <c r="C46" s="174">
        <f>E46</f>
        <v>9.4500000000000001E-2</v>
      </c>
      <c r="D46" s="89"/>
      <c r="E46" s="959">
        <f>'State gasoline'!K46</f>
        <v>9.4500000000000001E-2</v>
      </c>
      <c r="F46" s="897">
        <v>53049000000</v>
      </c>
      <c r="G46" s="897">
        <f>F46*Assumptions!$C$56/Assumptions!$C$8</f>
        <v>440094504</v>
      </c>
      <c r="H46" s="1442">
        <v>8.4600000000000009</v>
      </c>
      <c r="I46" s="156">
        <f t="shared" si="6"/>
        <v>1.01976856316297</v>
      </c>
      <c r="J46" s="156">
        <f t="shared" si="7"/>
        <v>8.804762834070412E-2</v>
      </c>
      <c r="K46" s="156">
        <f t="shared" si="26"/>
        <v>0.93172093482226592</v>
      </c>
      <c r="L46" s="156">
        <f t="shared" ref="L46:L47" si="47">K46*(1+E46)</f>
        <v>1.01976856316297</v>
      </c>
      <c r="M46" s="952">
        <f t="shared" si="8"/>
        <v>8.804762834070412E-2</v>
      </c>
      <c r="N46" s="70">
        <f t="shared" si="1"/>
        <v>448794540</v>
      </c>
      <c r="O46" s="70">
        <f t="shared" si="2"/>
        <v>410045262.67702144</v>
      </c>
      <c r="P46" s="70">
        <f t="shared" si="3"/>
        <v>448794540</v>
      </c>
      <c r="Q46" s="70">
        <f t="shared" si="4"/>
        <v>0</v>
      </c>
      <c r="R46" s="70">
        <f t="shared" si="9"/>
        <v>0</v>
      </c>
      <c r="S46" s="70">
        <f t="shared" si="10"/>
        <v>0</v>
      </c>
    </row>
    <row r="47" spans="1:19" s="85" customFormat="1" x14ac:dyDescent="0.6">
      <c r="A47" s="60">
        <f t="shared" si="5"/>
        <v>44</v>
      </c>
      <c r="B47" s="85" t="s">
        <v>180</v>
      </c>
      <c r="C47" s="174">
        <f>E47</f>
        <v>8.0500000000000002E-2</v>
      </c>
      <c r="D47" s="89"/>
      <c r="E47" s="959">
        <f>'State gasoline'!K47</f>
        <v>8.0500000000000002E-2</v>
      </c>
      <c r="F47" s="897">
        <v>175883000000</v>
      </c>
      <c r="G47" s="897">
        <f>F47*Assumptions!$C$56/Assumptions!$C$8</f>
        <v>1459125368</v>
      </c>
      <c r="H47" s="1442">
        <v>6.92</v>
      </c>
      <c r="I47" s="156">
        <f t="shared" si="6"/>
        <v>0.83413693346190931</v>
      </c>
      <c r="J47" s="156">
        <f t="shared" si="7"/>
        <v>6.2145324519836898E-2</v>
      </c>
      <c r="K47" s="156">
        <f t="shared" si="26"/>
        <v>0.77199160894207242</v>
      </c>
      <c r="L47" s="156">
        <f t="shared" si="47"/>
        <v>0.8341369334619092</v>
      </c>
      <c r="M47" s="952">
        <f t="shared" si="8"/>
        <v>6.2145324519836898E-2</v>
      </c>
      <c r="N47" s="70">
        <f t="shared" si="1"/>
        <v>1217110360</v>
      </c>
      <c r="O47" s="70">
        <f t="shared" si="2"/>
        <v>1126432540.4905136</v>
      </c>
      <c r="P47" s="70">
        <f t="shared" si="3"/>
        <v>1217110359.9999998</v>
      </c>
      <c r="Q47" s="70">
        <f t="shared" si="4"/>
        <v>0</v>
      </c>
      <c r="R47" s="70">
        <f t="shared" si="9"/>
        <v>0</v>
      </c>
      <c r="S47" s="70">
        <f t="shared" si="10"/>
        <v>0</v>
      </c>
    </row>
    <row r="48" spans="1:19" s="85" customFormat="1" x14ac:dyDescent="0.6">
      <c r="A48" s="60">
        <f t="shared" si="5"/>
        <v>45</v>
      </c>
      <c r="B48" s="85" t="s">
        <v>161</v>
      </c>
      <c r="C48" s="174">
        <f>1.0415*1.06-1</f>
        <v>0.10399000000000025</v>
      </c>
      <c r="D48" s="89"/>
      <c r="E48" s="959">
        <f>'State gasoline'!K48</f>
        <v>6.6799999999999998E-2</v>
      </c>
      <c r="F48" s="897">
        <v>35772000000</v>
      </c>
      <c r="G48" s="897">
        <f>F48*Assumptions!$C$56/Assumptions!$C$8</f>
        <v>296764512</v>
      </c>
      <c r="H48" s="1442">
        <v>7.97</v>
      </c>
      <c r="I48" s="156">
        <f t="shared" si="6"/>
        <v>0.96070395371263262</v>
      </c>
      <c r="J48" s="156">
        <f t="shared" si="7"/>
        <v>9.0493214745221318E-2</v>
      </c>
      <c r="K48" s="156">
        <f t="shared" si="26"/>
        <v>0.8702107389674113</v>
      </c>
      <c r="L48" s="156">
        <f t="shared" ref="L48" si="48">K48*(1+E48)</f>
        <v>0.9283408163304343</v>
      </c>
      <c r="M48" s="952">
        <f t="shared" si="8"/>
        <v>9.0493214745221318E-2</v>
      </c>
      <c r="N48" s="70">
        <f t="shared" si="1"/>
        <v>285102840</v>
      </c>
      <c r="O48" s="70">
        <f t="shared" si="2"/>
        <v>258247665.28682321</v>
      </c>
      <c r="P48" s="70">
        <f t="shared" si="3"/>
        <v>275498609.32798296</v>
      </c>
      <c r="Q48" s="70">
        <f t="shared" si="4"/>
        <v>9604230.6720170379</v>
      </c>
      <c r="R48" s="70">
        <f t="shared" si="9"/>
        <v>9604230.6720170379</v>
      </c>
      <c r="S48" s="70">
        <f t="shared" si="10"/>
        <v>0</v>
      </c>
    </row>
    <row r="49" spans="1:19" s="85" customFormat="1" x14ac:dyDescent="0.6">
      <c r="A49" s="60">
        <f t="shared" si="5"/>
        <v>46</v>
      </c>
      <c r="B49" s="85" t="s">
        <v>156</v>
      </c>
      <c r="C49" s="174">
        <f t="shared" ref="C49:C54" si="49">E49</f>
        <v>6.1400000000000003E-2</v>
      </c>
      <c r="D49" s="89"/>
      <c r="E49" s="959">
        <f>'State gasoline'!K49</f>
        <v>6.1400000000000003E-2</v>
      </c>
      <c r="F49" s="897">
        <v>5918000000</v>
      </c>
      <c r="G49" s="897">
        <f>F49*Assumptions!$C$56/Assumptions!$C$8</f>
        <v>49095728</v>
      </c>
      <c r="H49" s="1442">
        <v>7.89</v>
      </c>
      <c r="I49" s="156">
        <f t="shared" si="6"/>
        <v>0.9510607521697203</v>
      </c>
      <c r="J49" s="156">
        <f t="shared" si="7"/>
        <v>5.5017081386113387E-2</v>
      </c>
      <c r="K49" s="156">
        <f t="shared" si="26"/>
        <v>0.89604367078360692</v>
      </c>
      <c r="L49" s="156">
        <f t="shared" ref="L49" si="50">K49*(1+E49)</f>
        <v>0.9510607521697203</v>
      </c>
      <c r="M49" s="952">
        <f t="shared" si="8"/>
        <v>5.5017081386113387E-2</v>
      </c>
      <c r="N49" s="70">
        <f t="shared" si="1"/>
        <v>46693020</v>
      </c>
      <c r="O49" s="70">
        <f t="shared" si="2"/>
        <v>43991916.336913511</v>
      </c>
      <c r="P49" s="70">
        <f t="shared" si="3"/>
        <v>46693020</v>
      </c>
      <c r="Q49" s="70">
        <f t="shared" si="4"/>
        <v>0</v>
      </c>
      <c r="R49" s="70">
        <f t="shared" si="9"/>
        <v>0</v>
      </c>
      <c r="S49" s="70">
        <f t="shared" si="10"/>
        <v>0</v>
      </c>
    </row>
    <row r="50" spans="1:19" s="85" customFormat="1" x14ac:dyDescent="0.6">
      <c r="A50" s="60">
        <f t="shared" si="5"/>
        <v>47</v>
      </c>
      <c r="B50" s="85" t="s">
        <v>174</v>
      </c>
      <c r="C50" s="174">
        <f t="shared" si="49"/>
        <v>5.6300000000000003E-2</v>
      </c>
      <c r="D50" s="89"/>
      <c r="E50" s="959">
        <f>'State gasoline'!K50</f>
        <v>5.6300000000000003E-2</v>
      </c>
      <c r="F50" s="897">
        <v>69107000000</v>
      </c>
      <c r="G50" s="897">
        <f>F50*Assumptions!$C$56/Assumptions!$C$8</f>
        <v>573311672</v>
      </c>
      <c r="H50" s="1442">
        <v>8.1300000000000008</v>
      </c>
      <c r="I50" s="156">
        <f t="shared" si="6"/>
        <v>0.97999035679845714</v>
      </c>
      <c r="J50" s="156">
        <f t="shared" si="7"/>
        <v>5.2232753088850892E-2</v>
      </c>
      <c r="K50" s="156">
        <f t="shared" si="26"/>
        <v>0.92775760370960625</v>
      </c>
      <c r="L50" s="156">
        <f t="shared" ref="L50" si="51">K50*(1+E50)</f>
        <v>0.97999035679845714</v>
      </c>
      <c r="M50" s="952">
        <f t="shared" si="8"/>
        <v>5.2232753088850892E-2</v>
      </c>
      <c r="N50" s="70">
        <f t="shared" si="1"/>
        <v>561839910</v>
      </c>
      <c r="O50" s="70">
        <f t="shared" si="2"/>
        <v>531894262.99346775</v>
      </c>
      <c r="P50" s="70">
        <f t="shared" si="3"/>
        <v>561839910</v>
      </c>
      <c r="Q50" s="70">
        <f t="shared" si="4"/>
        <v>0</v>
      </c>
      <c r="R50" s="70">
        <f t="shared" si="9"/>
        <v>0</v>
      </c>
      <c r="S50" s="70">
        <f t="shared" si="10"/>
        <v>0</v>
      </c>
    </row>
    <row r="51" spans="1:19" s="85" customFormat="1" x14ac:dyDescent="0.6">
      <c r="A51" s="60">
        <f t="shared" si="5"/>
        <v>48</v>
      </c>
      <c r="B51" s="85" t="s">
        <v>139</v>
      </c>
      <c r="C51" s="174">
        <f t="shared" si="49"/>
        <v>8.8900000000000007E-2</v>
      </c>
      <c r="D51" s="89"/>
      <c r="E51" s="959">
        <f>'State gasoline'!K51</f>
        <v>8.8900000000000007E-2</v>
      </c>
      <c r="F51" s="897">
        <v>49939000000</v>
      </c>
      <c r="G51" s="897">
        <f>F51*Assumptions!$C$56/Assumptions!$C$8</f>
        <v>414293944</v>
      </c>
      <c r="H51" s="1442">
        <v>9.7799999999999994</v>
      </c>
      <c r="I51" s="156">
        <f t="shared" si="6"/>
        <v>1.1788813886210221</v>
      </c>
      <c r="J51" s="156">
        <f t="shared" si="7"/>
        <v>9.6246262694837714E-2</v>
      </c>
      <c r="K51" s="156">
        <f t="shared" si="26"/>
        <v>1.0826351259261844</v>
      </c>
      <c r="L51" s="156">
        <f t="shared" ref="L51" si="52">K51*(1+E51)</f>
        <v>1.1788813886210221</v>
      </c>
      <c r="M51" s="952">
        <f t="shared" si="8"/>
        <v>9.6246262694837714E-2</v>
      </c>
      <c r="N51" s="70">
        <f t="shared" si="1"/>
        <v>488403419.99999994</v>
      </c>
      <c r="O51" s="70">
        <f t="shared" si="2"/>
        <v>448529176.23289555</v>
      </c>
      <c r="P51" s="70">
        <f t="shared" si="3"/>
        <v>488403419.99999994</v>
      </c>
      <c r="Q51" s="70">
        <f t="shared" si="4"/>
        <v>0</v>
      </c>
      <c r="R51" s="70">
        <f t="shared" si="9"/>
        <v>0</v>
      </c>
      <c r="S51" s="70">
        <f t="shared" si="10"/>
        <v>0</v>
      </c>
    </row>
    <row r="52" spans="1:19" s="85" customFormat="1" x14ac:dyDescent="0.6">
      <c r="A52" s="60">
        <f t="shared" si="5"/>
        <v>49</v>
      </c>
      <c r="B52" s="85" t="s">
        <v>148</v>
      </c>
      <c r="C52" s="174">
        <f t="shared" si="49"/>
        <v>6.0699999999999997E-2</v>
      </c>
      <c r="D52" s="89"/>
      <c r="E52" s="959">
        <f>'State gasoline'!K52</f>
        <v>6.0699999999999997E-2</v>
      </c>
      <c r="F52" s="897">
        <v>23026000000</v>
      </c>
      <c r="G52" s="897">
        <f>F52*Assumptions!$C$56/Assumptions!$C$8</f>
        <v>191023696</v>
      </c>
      <c r="H52" s="1442">
        <v>8.9499999999999993</v>
      </c>
      <c r="I52" s="156">
        <f t="shared" si="6"/>
        <v>1.0788331726133076</v>
      </c>
      <c r="J52" s="156">
        <f t="shared" si="7"/>
        <v>6.1737695463022213E-2</v>
      </c>
      <c r="K52" s="156">
        <f t="shared" ref="K52:K54" si="53">(I52-D52)/(1+C52)</f>
        <v>1.0170954771502854</v>
      </c>
      <c r="L52" s="156">
        <f t="shared" ref="L52:L54" si="54">K52*(1+E52)</f>
        <v>1.0788331726133076</v>
      </c>
      <c r="M52" s="952">
        <f t="shared" si="8"/>
        <v>6.1737695463022213E-2</v>
      </c>
      <c r="N52" s="70">
        <f t="shared" si="1"/>
        <v>206082700</v>
      </c>
      <c r="O52" s="70">
        <f t="shared" si="2"/>
        <v>194289337.23013106</v>
      </c>
      <c r="P52" s="70">
        <f t="shared" si="3"/>
        <v>206082700</v>
      </c>
      <c r="Q52" s="70">
        <f t="shared" si="4"/>
        <v>0</v>
      </c>
      <c r="R52" s="70">
        <f t="shared" si="9"/>
        <v>0</v>
      </c>
      <c r="S52" s="70">
        <f t="shared" si="10"/>
        <v>0</v>
      </c>
    </row>
    <row r="53" spans="1:19" s="85" customFormat="1" x14ac:dyDescent="0.6">
      <c r="A53" s="60">
        <f t="shared" si="5"/>
        <v>50</v>
      </c>
      <c r="B53" s="85" t="s">
        <v>149</v>
      </c>
      <c r="C53" s="174">
        <f t="shared" si="49"/>
        <v>5.4300000000000001E-2</v>
      </c>
      <c r="D53" s="89"/>
      <c r="E53" s="959">
        <f>'State gasoline'!K53</f>
        <v>5.4300000000000001E-2</v>
      </c>
      <c r="F53" s="897">
        <v>90175000000</v>
      </c>
      <c r="G53" s="897">
        <f>F53*Assumptions!$C$56/Assumptions!$C$8</f>
        <v>748091800</v>
      </c>
      <c r="H53" s="1442">
        <v>6.78</v>
      </c>
      <c r="I53" s="156">
        <f t="shared" si="6"/>
        <v>0.81726133076181295</v>
      </c>
      <c r="J53" s="156">
        <f t="shared" si="7"/>
        <v>4.2091710386385706E-2</v>
      </c>
      <c r="K53" s="156">
        <f t="shared" si="53"/>
        <v>0.77516962037542725</v>
      </c>
      <c r="L53" s="156">
        <f t="shared" si="54"/>
        <v>0.81726133076181295</v>
      </c>
      <c r="M53" s="952">
        <f t="shared" si="8"/>
        <v>4.2091710386385706E-2</v>
      </c>
      <c r="N53" s="70">
        <f t="shared" si="1"/>
        <v>611386500</v>
      </c>
      <c r="O53" s="70">
        <f t="shared" si="2"/>
        <v>579898036.61197007</v>
      </c>
      <c r="P53" s="70">
        <f t="shared" si="3"/>
        <v>611386500</v>
      </c>
      <c r="Q53" s="70">
        <f t="shared" si="4"/>
        <v>0</v>
      </c>
      <c r="R53" s="70">
        <f t="shared" si="9"/>
        <v>0</v>
      </c>
      <c r="S53" s="70">
        <f t="shared" si="10"/>
        <v>0</v>
      </c>
    </row>
    <row r="54" spans="1:19" s="85" customFormat="1" x14ac:dyDescent="0.6">
      <c r="A54" s="60">
        <f t="shared" si="5"/>
        <v>51</v>
      </c>
      <c r="B54" s="85" t="s">
        <v>169</v>
      </c>
      <c r="C54" s="174">
        <f t="shared" si="49"/>
        <v>5.4699999999999999E-2</v>
      </c>
      <c r="D54" s="89"/>
      <c r="E54" s="959">
        <f>'State gasoline'!K54</f>
        <v>5.4699999999999999E-2</v>
      </c>
      <c r="F54" s="897">
        <v>12937000000</v>
      </c>
      <c r="G54" s="897">
        <f>F54*Assumptions!$C$56/Assumptions!$C$8</f>
        <v>107325352</v>
      </c>
      <c r="H54" s="1442">
        <v>7.43</v>
      </c>
      <c r="I54" s="156">
        <f t="shared" si="6"/>
        <v>0.8956123432979749</v>
      </c>
      <c r="J54" s="156">
        <f t="shared" si="7"/>
        <v>4.6449222696879899E-2</v>
      </c>
      <c r="K54" s="156">
        <f t="shared" si="53"/>
        <v>0.849163120601095</v>
      </c>
      <c r="L54" s="156">
        <f t="shared" si="54"/>
        <v>0.8956123432979749</v>
      </c>
      <c r="M54" s="952">
        <f t="shared" si="8"/>
        <v>4.6449222696879899E-2</v>
      </c>
      <c r="N54" s="70">
        <f t="shared" si="1"/>
        <v>96121910</v>
      </c>
      <c r="O54" s="70">
        <f t="shared" si="2"/>
        <v>91136730.823930979</v>
      </c>
      <c r="P54" s="70">
        <f t="shared" si="3"/>
        <v>96121910</v>
      </c>
      <c r="Q54" s="70">
        <f t="shared" si="4"/>
        <v>0</v>
      </c>
      <c r="R54" s="70">
        <f t="shared" si="9"/>
        <v>0</v>
      </c>
      <c r="S54" s="70"/>
    </row>
    <row r="55" spans="1:19" s="85" customFormat="1" x14ac:dyDescent="0.6">
      <c r="C55" s="174"/>
      <c r="D55" s="89"/>
      <c r="E55" s="959"/>
      <c r="F55" s="913"/>
      <c r="G55" s="913"/>
      <c r="H55" s="1443"/>
      <c r="I55" s="156"/>
      <c r="J55" s="156"/>
      <c r="K55" s="156"/>
      <c r="L55" s="156"/>
      <c r="M55" s="952"/>
      <c r="N55" s="70"/>
      <c r="O55" s="70"/>
      <c r="P55" s="70"/>
      <c r="R55" s="70">
        <f t="shared" si="9"/>
        <v>0</v>
      </c>
      <c r="S55" s="70"/>
    </row>
    <row r="56" spans="1:19" s="104" customFormat="1" x14ac:dyDescent="0.6">
      <c r="B56" s="104" t="s">
        <v>42</v>
      </c>
      <c r="C56" s="943"/>
      <c r="D56" s="942"/>
      <c r="E56" s="959"/>
      <c r="F56" s="951">
        <f>SUM(F4:F55)</f>
        <v>3201734000000</v>
      </c>
      <c r="G56" s="951">
        <f>SUM(G4:G55)</f>
        <v>26561585264</v>
      </c>
      <c r="H56" s="1443"/>
      <c r="I56" s="881"/>
      <c r="J56" s="881"/>
      <c r="K56" s="156"/>
      <c r="L56" s="881"/>
      <c r="M56" s="952"/>
      <c r="N56" s="593">
        <f>SUM(N4:N55)</f>
        <v>25933494020</v>
      </c>
      <c r="O56" s="593">
        <f>SUM(O4:O55)</f>
        <v>24279172277.783516</v>
      </c>
      <c r="P56" s="593">
        <f>SUM(P4:P55)</f>
        <v>25990751509.931038</v>
      </c>
      <c r="Q56" s="593">
        <f>SUM(Q4:Q55)</f>
        <v>-57257489.931038216</v>
      </c>
      <c r="R56" s="593">
        <f>SUM(R4:R55)</f>
        <v>98580769.071204513</v>
      </c>
      <c r="S56" s="593"/>
    </row>
    <row r="57" spans="1:19" s="104" customFormat="1" ht="15.9" thickBot="1" x14ac:dyDescent="0.65">
      <c r="A57" s="99"/>
      <c r="B57" s="99"/>
      <c r="C57" s="945"/>
      <c r="D57" s="944"/>
      <c r="E57" s="960"/>
      <c r="F57" s="954">
        <v>3201734000000</v>
      </c>
      <c r="G57" s="954">
        <f>F57*Assumptions!$C$56/Assumptions!$C$8</f>
        <v>26561585264</v>
      </c>
      <c r="H57" s="1444"/>
      <c r="I57" s="237"/>
      <c r="J57" s="237"/>
      <c r="K57" s="237"/>
      <c r="L57" s="237"/>
      <c r="M57" s="955"/>
      <c r="N57" s="944"/>
      <c r="O57" s="108"/>
      <c r="P57" s="944"/>
      <c r="Q57" s="944"/>
      <c r="R57" s="942"/>
      <c r="S57" s="593"/>
    </row>
    <row r="58" spans="1:19" s="85" customFormat="1" ht="15.9" thickTop="1" x14ac:dyDescent="0.6">
      <c r="C58" s="174"/>
      <c r="D58" s="89"/>
      <c r="E58" s="174"/>
      <c r="G58" s="360">
        <f>G56/G57</f>
        <v>1</v>
      </c>
      <c r="H58" s="413"/>
      <c r="I58" s="156"/>
      <c r="J58" s="156"/>
      <c r="K58" s="156"/>
      <c r="L58" s="156"/>
      <c r="M58" s="156"/>
      <c r="N58" s="181"/>
      <c r="O58" s="70"/>
      <c r="P58" s="70"/>
      <c r="S58" s="70"/>
    </row>
    <row r="59" spans="1:19" s="85" customFormat="1" x14ac:dyDescent="0.6">
      <c r="C59" s="174"/>
      <c r="D59" s="89"/>
      <c r="E59" s="178"/>
      <c r="F59" s="957"/>
      <c r="G59" s="957"/>
      <c r="H59" s="1442"/>
      <c r="K59" s="156"/>
      <c r="L59" s="156"/>
      <c r="M59" s="156"/>
      <c r="N59" s="70"/>
      <c r="Q59" s="240" t="s">
        <v>504</v>
      </c>
      <c r="S59" s="70"/>
    </row>
    <row r="60" spans="1:19" s="85" customFormat="1" x14ac:dyDescent="0.6">
      <c r="C60" s="174"/>
      <c r="D60" s="89"/>
      <c r="E60" s="178"/>
      <c r="F60" s="1655" t="s">
        <v>1746</v>
      </c>
      <c r="G60" s="21">
        <f>LARGE($G$4:$G$54,1)</f>
        <v>2581773272</v>
      </c>
      <c r="H60" s="413"/>
      <c r="I60" s="156" t="s">
        <v>1746</v>
      </c>
      <c r="J60" s="156">
        <f>LARGE($J$4:$J$54,1)</f>
        <v>0.15724294497663882</v>
      </c>
      <c r="K60" s="156"/>
      <c r="L60" s="156"/>
      <c r="M60" s="156"/>
      <c r="N60" s="70"/>
      <c r="O60" s="70" t="s">
        <v>26</v>
      </c>
      <c r="P60" s="70">
        <f>N56-O56</f>
        <v>1654321742.2164841</v>
      </c>
      <c r="Q60" s="881">
        <f>P60/$G$56</f>
        <v>6.2282492771945121E-2</v>
      </c>
      <c r="S60" s="70"/>
    </row>
    <row r="61" spans="1:19" s="85" customFormat="1" x14ac:dyDescent="0.6">
      <c r="C61" s="174"/>
      <c r="D61" s="89"/>
      <c r="E61" s="174"/>
      <c r="F61" s="1658" t="s">
        <v>1744</v>
      </c>
      <c r="G61" s="21">
        <f>LARGE($G$4:$G$54,2)</f>
        <v>1956122136</v>
      </c>
      <c r="H61" s="526"/>
      <c r="I61" s="156" t="s">
        <v>1744</v>
      </c>
      <c r="J61" s="156">
        <f>LARGE($J$4:$J$54,2)</f>
        <v>0.15026621146267338</v>
      </c>
      <c r="K61" s="156"/>
      <c r="L61" s="156"/>
      <c r="M61" s="156"/>
      <c r="N61" s="70"/>
      <c r="O61" s="70" t="s">
        <v>654</v>
      </c>
      <c r="P61" s="70">
        <f>P56-O56</f>
        <v>1711579232.147522</v>
      </c>
      <c r="Q61" s="881">
        <f>P61/$G$56</f>
        <v>6.4438143097855505E-2</v>
      </c>
      <c r="S61" s="70"/>
    </row>
    <row r="62" spans="1:19" s="85" customFormat="1" x14ac:dyDescent="0.6">
      <c r="C62" s="174"/>
      <c r="D62" s="89"/>
      <c r="E62" s="174"/>
      <c r="F62" s="1660" t="s">
        <v>1745</v>
      </c>
      <c r="G62" s="21">
        <f>LARGE($G$4:$G$54,3)</f>
        <v>1785448528</v>
      </c>
      <c r="H62" s="526"/>
      <c r="I62" s="156" t="s">
        <v>1745</v>
      </c>
      <c r="J62" s="156">
        <f>LARGE($J$4:$J$54,3)</f>
        <v>0.1108369592609153</v>
      </c>
      <c r="K62" s="156"/>
      <c r="L62" s="156"/>
      <c r="M62" s="156"/>
      <c r="N62" s="70"/>
      <c r="O62" s="70" t="s">
        <v>602</v>
      </c>
      <c r="P62" s="70">
        <f>P60-P61</f>
        <v>-57257489.931037903</v>
      </c>
      <c r="Q62" s="881">
        <f>P62/$G$56</f>
        <v>-2.1556503259103784E-3</v>
      </c>
      <c r="S62" s="70"/>
    </row>
    <row r="63" spans="1:19" s="85" customFormat="1" x14ac:dyDescent="0.6">
      <c r="C63" s="174"/>
      <c r="D63" s="89"/>
      <c r="E63" s="174"/>
      <c r="H63" s="526"/>
      <c r="I63" s="156"/>
      <c r="J63" s="156"/>
      <c r="K63" s="156"/>
      <c r="L63" s="156"/>
      <c r="M63" s="156"/>
      <c r="N63" s="70"/>
      <c r="O63" s="70"/>
      <c r="Q63" s="70"/>
      <c r="S63" s="70"/>
    </row>
    <row r="64" spans="1:19" s="85" customFormat="1" x14ac:dyDescent="0.6">
      <c r="C64" s="174"/>
      <c r="D64" s="89"/>
      <c r="E64" s="174"/>
      <c r="H64" s="526"/>
      <c r="I64" s="156"/>
      <c r="J64" s="156"/>
      <c r="K64" s="156"/>
      <c r="L64" s="156"/>
      <c r="M64" s="156"/>
      <c r="N64" s="70"/>
      <c r="O64" s="70" t="s">
        <v>686</v>
      </c>
      <c r="Q64" s="506">
        <f>O56/G56</f>
        <v>0.91407090489776111</v>
      </c>
      <c r="R64" s="506"/>
      <c r="S64" s="70"/>
    </row>
    <row r="65" spans="3:19" s="85" customFormat="1" x14ac:dyDescent="0.6">
      <c r="C65" s="174"/>
      <c r="D65" s="89"/>
      <c r="E65" s="174"/>
      <c r="H65" s="526"/>
      <c r="I65" s="156"/>
      <c r="J65" s="156"/>
      <c r="K65" s="156"/>
      <c r="L65" s="156"/>
      <c r="M65" s="156"/>
      <c r="N65" s="70"/>
      <c r="O65" s="70" t="s">
        <v>645</v>
      </c>
      <c r="Q65" s="506">
        <f>N56/G56</f>
        <v>0.97635339766970619</v>
      </c>
      <c r="S65" s="70"/>
    </row>
    <row r="66" spans="3:19" s="85" customFormat="1" x14ac:dyDescent="0.6">
      <c r="C66" s="174"/>
      <c r="D66" s="89"/>
      <c r="E66" s="174"/>
      <c r="H66" s="526"/>
      <c r="I66" s="156"/>
      <c r="J66" s="156"/>
      <c r="K66" s="156"/>
      <c r="L66" s="156"/>
      <c r="M66" s="156"/>
      <c r="N66" s="70"/>
      <c r="O66" s="70"/>
      <c r="P66" s="70"/>
      <c r="S66" s="70"/>
    </row>
    <row r="67" spans="3:19" s="85" customFormat="1" x14ac:dyDescent="0.6">
      <c r="C67" s="174"/>
      <c r="D67" s="89"/>
      <c r="E67" s="174"/>
      <c r="H67" s="526"/>
      <c r="I67" s="156"/>
      <c r="J67" s="156"/>
      <c r="K67" s="156"/>
      <c r="L67" s="156"/>
      <c r="M67" s="156"/>
      <c r="N67" s="70"/>
      <c r="O67" s="17"/>
      <c r="P67" s="1" t="s">
        <v>1743</v>
      </c>
      <c r="Q67" s="17">
        <f>LARGE($Q$4:$Q$54,1)</f>
        <v>24223519.023923397</v>
      </c>
      <c r="R67" s="826"/>
      <c r="S67" s="70"/>
    </row>
    <row r="68" spans="3:19" s="85" customFormat="1" x14ac:dyDescent="0.6">
      <c r="C68" s="174"/>
      <c r="D68" s="89"/>
      <c r="E68" s="174"/>
      <c r="H68" s="526"/>
      <c r="I68" s="156"/>
      <c r="J68" s="156"/>
      <c r="K68" s="156"/>
      <c r="L68" s="156"/>
      <c r="M68" s="156"/>
      <c r="N68" s="70"/>
      <c r="O68" s="1"/>
      <c r="P68" s="1" t="s">
        <v>1744</v>
      </c>
      <c r="Q68" s="17">
        <f>LARGE($Q$4:$Q$54,2)</f>
        <v>16818101.958997726</v>
      </c>
      <c r="R68" s="17"/>
      <c r="S68" s="70"/>
    </row>
    <row r="69" spans="3:19" s="85" customFormat="1" x14ac:dyDescent="0.6">
      <c r="C69" s="174"/>
      <c r="D69" s="89"/>
      <c r="E69" s="174"/>
      <c r="H69" s="526"/>
      <c r="I69" s="156"/>
      <c r="J69" s="156"/>
      <c r="K69" s="156"/>
      <c r="L69" s="156"/>
      <c r="M69" s="156"/>
      <c r="N69" s="70"/>
      <c r="O69" s="1"/>
      <c r="P69" s="1" t="s">
        <v>1745</v>
      </c>
      <c r="Q69" s="17">
        <f>LARGE($Q$4:$Q$54,3)</f>
        <v>14316700.214707375</v>
      </c>
      <c r="R69" s="17"/>
      <c r="S69" s="70"/>
    </row>
    <row r="70" spans="3:19" s="85" customFormat="1" x14ac:dyDescent="0.6">
      <c r="C70" s="174"/>
      <c r="D70" s="89"/>
      <c r="E70" s="174"/>
      <c r="H70" s="526"/>
      <c r="I70" s="156"/>
      <c r="J70" s="156"/>
      <c r="K70" s="156"/>
      <c r="L70" s="156"/>
      <c r="M70" s="156"/>
      <c r="N70" s="70"/>
      <c r="O70" s="1"/>
      <c r="P70" s="1"/>
      <c r="Q70" s="70"/>
      <c r="R70" s="17"/>
      <c r="S70" s="70"/>
    </row>
    <row r="71" spans="3:19" s="85" customFormat="1" x14ac:dyDescent="0.6">
      <c r="C71" s="174"/>
      <c r="D71" s="89"/>
      <c r="E71" s="174"/>
      <c r="H71" s="526"/>
      <c r="I71" s="156"/>
      <c r="J71" s="156"/>
      <c r="K71" s="156"/>
      <c r="L71" s="156"/>
      <c r="M71" s="156"/>
      <c r="N71" s="70"/>
      <c r="O71" s="1"/>
      <c r="P71" s="85" t="s">
        <v>1750</v>
      </c>
      <c r="Q71" s="70">
        <f>SMALL($Q$4:$Q$54,1)</f>
        <v>-76650248.159999847</v>
      </c>
      <c r="S71" s="70"/>
    </row>
    <row r="72" spans="3:19" s="85" customFormat="1" x14ac:dyDescent="0.6">
      <c r="C72" s="174"/>
      <c r="D72" s="89"/>
      <c r="E72" s="174"/>
      <c r="H72" s="526"/>
      <c r="I72" s="156"/>
      <c r="J72" s="156"/>
      <c r="K72" s="156"/>
      <c r="L72" s="156"/>
      <c r="M72" s="156"/>
      <c r="N72" s="70"/>
      <c r="O72" s="1"/>
      <c r="P72" s="85" t="s">
        <v>1744</v>
      </c>
      <c r="Q72" s="70">
        <f>SMALL($Q$4:$Q$54,2)</f>
        <v>-41425980.220837593</v>
      </c>
      <c r="S72" s="70"/>
    </row>
    <row r="73" spans="3:19" s="85" customFormat="1" x14ac:dyDescent="0.6">
      <c r="C73" s="174"/>
      <c r="D73" s="89"/>
      <c r="E73" s="174"/>
      <c r="H73" s="526"/>
      <c r="I73" s="156"/>
      <c r="J73" s="156"/>
      <c r="K73" s="156"/>
      <c r="L73" s="156"/>
      <c r="M73" s="156"/>
      <c r="N73" s="70"/>
      <c r="O73" s="1"/>
      <c r="P73" s="1" t="s">
        <v>1745</v>
      </c>
      <c r="Q73" s="70">
        <f>SMALL($Q$4:$Q$54,3)</f>
        <v>-13281132.649999976</v>
      </c>
      <c r="R73" s="17"/>
      <c r="S73" s="70"/>
    </row>
    <row r="74" spans="3:19" s="85" customFormat="1" x14ac:dyDescent="0.6">
      <c r="C74" s="174"/>
      <c r="D74" s="89"/>
      <c r="E74" s="174"/>
      <c r="H74" s="526"/>
      <c r="I74" s="156"/>
      <c r="J74" s="156"/>
      <c r="K74" s="156"/>
      <c r="L74" s="156"/>
      <c r="M74" s="156"/>
      <c r="N74" s="70"/>
      <c r="O74" s="1"/>
      <c r="P74" s="1"/>
      <c r="Q74" s="891"/>
      <c r="R74" s="17"/>
      <c r="S74" s="70"/>
    </row>
    <row r="75" spans="3:19" s="85" customFormat="1" x14ac:dyDescent="0.6">
      <c r="C75" s="174"/>
      <c r="D75" s="89"/>
      <c r="E75" s="174"/>
      <c r="H75" s="526"/>
      <c r="I75" s="156"/>
      <c r="J75" s="156"/>
      <c r="K75" s="156"/>
      <c r="L75" s="156"/>
      <c r="M75" s="156"/>
      <c r="N75" s="70"/>
      <c r="O75" s="1"/>
      <c r="S75" s="70"/>
    </row>
    <row r="76" spans="3:19" s="85" customFormat="1" x14ac:dyDescent="0.6">
      <c r="C76" s="174"/>
      <c r="D76" s="89"/>
      <c r="E76" s="174"/>
      <c r="H76" s="526"/>
      <c r="I76" s="156"/>
      <c r="J76" s="156"/>
      <c r="K76" s="156"/>
      <c r="L76" s="156"/>
      <c r="M76" s="156"/>
      <c r="N76" s="70"/>
      <c r="O76" s="1"/>
      <c r="P76" s="1" t="s">
        <v>852</v>
      </c>
      <c r="Q76" s="891">
        <f>SUM(R4:R53)</f>
        <v>98580769.071204513</v>
      </c>
      <c r="R76" s="929">
        <f>COUNTIF(R4:R54,"&gt;0")</f>
        <v>11</v>
      </c>
      <c r="S76" s="70"/>
    </row>
    <row r="77" spans="3:19" s="85" customFormat="1" x14ac:dyDescent="0.6">
      <c r="C77" s="174"/>
      <c r="D77" s="89"/>
      <c r="E77" s="174"/>
      <c r="H77" s="526"/>
      <c r="I77" s="156"/>
      <c r="J77" s="156"/>
      <c r="K77" s="156"/>
      <c r="L77" s="156"/>
      <c r="M77" s="156"/>
      <c r="N77" s="70"/>
      <c r="O77" s="17"/>
      <c r="P77" s="1" t="s">
        <v>853</v>
      </c>
      <c r="Q77" s="891">
        <f>SUM(S4:S53)</f>
        <v>-155838259.00224271</v>
      </c>
      <c r="R77" s="929">
        <f>COUNTIF(S4:S53,"&lt;0")</f>
        <v>8</v>
      </c>
      <c r="S77" s="70"/>
    </row>
    <row r="78" spans="3:19" s="85" customFormat="1" x14ac:dyDescent="0.6">
      <c r="C78" s="174"/>
      <c r="D78" s="89"/>
      <c r="E78" s="174"/>
      <c r="H78" s="526"/>
      <c r="I78" s="156"/>
      <c r="J78" s="156"/>
      <c r="K78" s="156"/>
      <c r="L78" s="156"/>
      <c r="M78" s="156"/>
      <c r="N78" s="70"/>
      <c r="O78" s="17"/>
      <c r="P78" s="17"/>
      <c r="Q78" s="891"/>
      <c r="R78" s="1"/>
      <c r="S78" s="70"/>
    </row>
    <row r="79" spans="3:19" s="85" customFormat="1" x14ac:dyDescent="0.6">
      <c r="C79" s="174"/>
      <c r="D79" s="89"/>
      <c r="E79" s="174"/>
      <c r="H79" s="526"/>
      <c r="I79" s="156"/>
      <c r="J79" s="156"/>
      <c r="K79" s="156"/>
      <c r="L79" s="156"/>
      <c r="M79" s="156"/>
      <c r="N79" s="70"/>
      <c r="O79" s="17"/>
      <c r="P79" s="17"/>
      <c r="Q79" s="891"/>
      <c r="R79" s="1"/>
      <c r="S79" s="70"/>
    </row>
    <row r="80" spans="3:19" s="1" customFormat="1" x14ac:dyDescent="0.6">
      <c r="C80" s="96"/>
      <c r="D80" s="55"/>
      <c r="E80" s="96"/>
      <c r="F80" s="13"/>
      <c r="G80" s="13"/>
      <c r="H80" s="1441"/>
      <c r="I80" s="360"/>
      <c r="J80" s="360"/>
      <c r="K80" s="54"/>
      <c r="L80" s="54"/>
      <c r="M80" s="54"/>
      <c r="N80" s="17"/>
      <c r="O80" s="70"/>
      <c r="P80" s="17"/>
      <c r="S80" s="17"/>
    </row>
    <row r="81" spans="3:19" s="1" customFormat="1" x14ac:dyDescent="0.6">
      <c r="C81" s="96"/>
      <c r="D81" s="55"/>
      <c r="E81" s="96"/>
      <c r="F81" s="13"/>
      <c r="G81" s="13"/>
      <c r="H81" s="1441"/>
      <c r="I81" s="360"/>
      <c r="J81" s="360"/>
      <c r="S81" s="17"/>
    </row>
    <row r="82" spans="3:19" s="1" customFormat="1" x14ac:dyDescent="0.6">
      <c r="C82" s="174"/>
      <c r="D82" s="89"/>
      <c r="E82" s="174"/>
      <c r="F82" s="21"/>
      <c r="G82" s="21"/>
      <c r="H82" s="1445"/>
      <c r="I82" s="54"/>
      <c r="J82" s="54"/>
      <c r="S82" s="17"/>
    </row>
    <row r="83" spans="3:19" s="1" customFormat="1" x14ac:dyDescent="0.6">
      <c r="C83" s="96"/>
      <c r="D83" s="55"/>
      <c r="E83" s="96"/>
      <c r="F83" s="13"/>
      <c r="G83" s="13"/>
      <c r="H83" s="1441"/>
      <c r="I83" s="54"/>
      <c r="J83" s="54"/>
      <c r="S83" s="17"/>
    </row>
    <row r="84" spans="3:19" s="1" customFormat="1" x14ac:dyDescent="0.6">
      <c r="C84" s="96"/>
      <c r="D84" s="55"/>
      <c r="E84" s="96"/>
      <c r="F84" s="13"/>
      <c r="G84" s="13"/>
      <c r="H84" s="1441"/>
      <c r="I84" s="54"/>
      <c r="J84" s="54"/>
      <c r="S84" s="17"/>
    </row>
    <row r="85" spans="3:19" s="1" customFormat="1" x14ac:dyDescent="0.6">
      <c r="C85" s="96"/>
      <c r="D85" s="55"/>
      <c r="E85" s="96"/>
      <c r="F85" s="13"/>
      <c r="G85" s="13"/>
      <c r="H85" s="1441"/>
      <c r="I85" s="54"/>
      <c r="J85" s="54"/>
      <c r="S85" s="17"/>
    </row>
    <row r="86" spans="3:19" s="1" customFormat="1" x14ac:dyDescent="0.6">
      <c r="C86" s="96"/>
      <c r="D86" s="55"/>
      <c r="E86" s="96"/>
      <c r="F86" s="13"/>
      <c r="G86" s="13"/>
      <c r="H86" s="1441"/>
      <c r="I86" s="54"/>
      <c r="J86" s="54"/>
      <c r="S86" s="17"/>
    </row>
    <row r="87" spans="3:19" s="1" customFormat="1" x14ac:dyDescent="0.6">
      <c r="C87" s="96"/>
      <c r="D87" s="55"/>
      <c r="E87" s="96"/>
      <c r="F87" s="13"/>
      <c r="G87" s="13"/>
      <c r="H87" s="1441"/>
      <c r="I87" s="54"/>
      <c r="J87" s="54"/>
      <c r="S87" s="17"/>
    </row>
    <row r="88" spans="3:19" s="1" customFormat="1" x14ac:dyDescent="0.6">
      <c r="C88" s="96"/>
      <c r="D88" s="55"/>
      <c r="E88" s="96"/>
      <c r="F88" s="13"/>
      <c r="G88" s="13"/>
      <c r="H88" s="1441"/>
      <c r="I88" s="54"/>
      <c r="J88" s="54"/>
      <c r="S88" s="17"/>
    </row>
    <row r="89" spans="3:19" s="1" customFormat="1" x14ac:dyDescent="0.6">
      <c r="C89" s="96"/>
      <c r="D89" s="55"/>
      <c r="E89" s="96"/>
      <c r="F89" s="13"/>
      <c r="G89" s="13"/>
      <c r="H89" s="1441"/>
      <c r="I89" s="54"/>
      <c r="J89" s="54"/>
      <c r="S89" s="17"/>
    </row>
    <row r="90" spans="3:19" s="1" customFormat="1" x14ac:dyDescent="0.6">
      <c r="C90" s="96"/>
      <c r="D90" s="55"/>
      <c r="E90" s="96"/>
      <c r="F90" s="13"/>
      <c r="G90" s="13"/>
      <c r="H90" s="1441"/>
      <c r="I90" s="54"/>
      <c r="J90" s="54"/>
      <c r="S90" s="17"/>
    </row>
    <row r="91" spans="3:19" s="1" customFormat="1" x14ac:dyDescent="0.6">
      <c r="C91" s="96"/>
      <c r="D91" s="55"/>
      <c r="E91" s="96"/>
      <c r="F91" s="13"/>
      <c r="G91" s="13"/>
      <c r="H91" s="1441"/>
      <c r="I91" s="54"/>
      <c r="J91" s="54"/>
      <c r="S91" s="17"/>
    </row>
    <row r="92" spans="3:19" s="1" customFormat="1" x14ac:dyDescent="0.6">
      <c r="C92" s="96"/>
      <c r="D92" s="55"/>
      <c r="E92" s="96"/>
      <c r="F92" s="13"/>
      <c r="G92" s="13"/>
      <c r="H92" s="1441"/>
      <c r="I92" s="54"/>
      <c r="J92" s="54"/>
      <c r="S92" s="17"/>
    </row>
    <row r="93" spans="3:19" s="1" customFormat="1" x14ac:dyDescent="0.6">
      <c r="C93" s="96"/>
      <c r="D93" s="55"/>
      <c r="E93" s="96"/>
      <c r="F93" s="13"/>
      <c r="G93" s="13"/>
      <c r="H93" s="1441"/>
      <c r="I93" s="54"/>
      <c r="J93" s="54"/>
      <c r="S93" s="17"/>
    </row>
    <row r="94" spans="3:19" s="1" customFormat="1" x14ac:dyDescent="0.6">
      <c r="C94" s="96"/>
      <c r="D94" s="55"/>
      <c r="E94" s="96"/>
      <c r="F94" s="13"/>
      <c r="G94" s="13"/>
      <c r="H94" s="1441"/>
      <c r="I94" s="54"/>
      <c r="J94" s="54"/>
      <c r="S94" s="17"/>
    </row>
    <row r="95" spans="3:19" s="1" customFormat="1" x14ac:dyDescent="0.6">
      <c r="C95" s="96"/>
      <c r="D95" s="55"/>
      <c r="E95" s="96"/>
      <c r="F95" s="13"/>
      <c r="G95" s="13"/>
      <c r="H95" s="1441"/>
      <c r="I95" s="54"/>
      <c r="J95" s="54"/>
      <c r="S95" s="17"/>
    </row>
    <row r="96" spans="3:19" s="1" customFormat="1" x14ac:dyDescent="0.6">
      <c r="C96" s="96"/>
      <c r="D96" s="55"/>
      <c r="E96" s="96"/>
      <c r="F96" s="13"/>
      <c r="G96" s="13"/>
      <c r="H96" s="1441"/>
      <c r="I96" s="54"/>
      <c r="J96" s="54"/>
      <c r="S96" s="17"/>
    </row>
    <row r="97" spans="3:19" s="1" customFormat="1" x14ac:dyDescent="0.6">
      <c r="C97" s="96"/>
      <c r="D97" s="55"/>
      <c r="E97" s="96"/>
      <c r="F97" s="13"/>
      <c r="G97" s="13"/>
      <c r="H97" s="1441"/>
      <c r="S97" s="17"/>
    </row>
    <row r="98" spans="3:19" s="1" customFormat="1" x14ac:dyDescent="0.6">
      <c r="C98" s="96"/>
      <c r="D98" s="55"/>
      <c r="E98" s="96"/>
      <c r="F98" s="13"/>
      <c r="G98" s="13"/>
      <c r="H98" s="1441"/>
      <c r="S98" s="17"/>
    </row>
    <row r="99" spans="3:19" s="1" customFormat="1" x14ac:dyDescent="0.6">
      <c r="C99" s="174"/>
      <c r="D99" s="89"/>
      <c r="E99" s="174"/>
      <c r="F99" s="21"/>
      <c r="G99" s="21"/>
      <c r="H99" s="1445"/>
      <c r="S99" s="17"/>
    </row>
    <row r="100" spans="3:19" s="1" customFormat="1" x14ac:dyDescent="0.6">
      <c r="C100" s="96"/>
      <c r="D100" s="55"/>
      <c r="E100" s="96"/>
      <c r="F100" s="13"/>
      <c r="G100" s="13"/>
      <c r="H100" s="1441"/>
      <c r="S100" s="17"/>
    </row>
    <row r="101" spans="3:19" s="1" customFormat="1" x14ac:dyDescent="0.6">
      <c r="C101" s="174"/>
      <c r="D101" s="89"/>
      <c r="E101" s="174"/>
      <c r="F101" s="21"/>
      <c r="G101" s="21"/>
      <c r="H101" s="1445"/>
      <c r="S101" s="17"/>
    </row>
    <row r="102" spans="3:19" s="1" customFormat="1" x14ac:dyDescent="0.6">
      <c r="C102" s="96"/>
      <c r="D102" s="55"/>
      <c r="E102" s="96"/>
      <c r="F102" s="13"/>
      <c r="G102" s="13"/>
      <c r="H102" s="1441"/>
      <c r="S102" s="17"/>
    </row>
    <row r="103" spans="3:19" s="1" customFormat="1" x14ac:dyDescent="0.6">
      <c r="C103" s="96"/>
      <c r="D103" s="55"/>
      <c r="E103" s="96"/>
      <c r="F103" s="13"/>
      <c r="G103" s="13"/>
      <c r="H103" s="1441"/>
      <c r="S103" s="17"/>
    </row>
    <row r="104" spans="3:19" s="1" customFormat="1" x14ac:dyDescent="0.6">
      <c r="C104" s="96"/>
      <c r="D104" s="55"/>
      <c r="E104" s="96"/>
      <c r="F104" s="13"/>
      <c r="G104" s="13"/>
      <c r="H104" s="1441"/>
      <c r="S104" s="17"/>
    </row>
    <row r="105" spans="3:19" s="1" customFormat="1" x14ac:dyDescent="0.6">
      <c r="C105" s="96"/>
      <c r="D105" s="55"/>
      <c r="E105" s="96"/>
      <c r="F105" s="13"/>
      <c r="G105" s="13"/>
      <c r="H105" s="1441"/>
      <c r="S105" s="17"/>
    </row>
    <row r="106" spans="3:19" s="1" customFormat="1" x14ac:dyDescent="0.6">
      <c r="C106" s="96"/>
      <c r="D106" s="55"/>
      <c r="E106" s="96"/>
      <c r="F106" s="13"/>
      <c r="G106" s="13"/>
      <c r="H106" s="1441"/>
      <c r="S106" s="17"/>
    </row>
    <row r="107" spans="3:19" s="1" customFormat="1" x14ac:dyDescent="0.6">
      <c r="C107" s="174"/>
      <c r="D107" s="89"/>
      <c r="E107" s="174"/>
      <c r="F107" s="21"/>
      <c r="G107" s="21"/>
      <c r="H107" s="1445"/>
      <c r="S107" s="17"/>
    </row>
    <row r="108" spans="3:19" s="1" customFormat="1" x14ac:dyDescent="0.6">
      <c r="C108" s="96"/>
      <c r="D108" s="55"/>
      <c r="E108" s="96"/>
      <c r="F108" s="13"/>
      <c r="G108" s="13"/>
      <c r="H108" s="1441"/>
      <c r="S108" s="17"/>
    </row>
    <row r="109" spans="3:19" s="1" customFormat="1" x14ac:dyDescent="0.6">
      <c r="C109" s="96"/>
      <c r="D109" s="55"/>
      <c r="E109" s="96"/>
      <c r="F109" s="13"/>
      <c r="G109" s="13"/>
      <c r="H109" s="1441"/>
      <c r="S109" s="17"/>
    </row>
    <row r="110" spans="3:19" s="1" customFormat="1" x14ac:dyDescent="0.6">
      <c r="C110" s="96"/>
      <c r="D110" s="55"/>
      <c r="E110" s="96"/>
      <c r="F110" s="13"/>
      <c r="G110" s="13"/>
      <c r="H110" s="1441"/>
      <c r="S110" s="17"/>
    </row>
    <row r="111" spans="3:19" s="1" customFormat="1" x14ac:dyDescent="0.6">
      <c r="C111" s="174"/>
      <c r="D111" s="89"/>
      <c r="E111" s="174"/>
      <c r="F111" s="21"/>
      <c r="G111" s="21"/>
      <c r="H111" s="1445"/>
      <c r="S111" s="17"/>
    </row>
    <row r="112" spans="3:19" s="1" customFormat="1" x14ac:dyDescent="0.6">
      <c r="C112" s="96"/>
      <c r="D112" s="55"/>
      <c r="E112" s="96"/>
      <c r="F112" s="13"/>
      <c r="G112" s="13"/>
      <c r="H112" s="1441"/>
      <c r="S112" s="17"/>
    </row>
    <row r="113" spans="3:19" s="1" customFormat="1" x14ac:dyDescent="0.6">
      <c r="C113" s="96"/>
      <c r="D113" s="55"/>
      <c r="E113" s="96"/>
      <c r="F113" s="13"/>
      <c r="G113" s="13"/>
      <c r="H113" s="1441"/>
      <c r="S113" s="17"/>
    </row>
    <row r="114" spans="3:19" s="1" customFormat="1" x14ac:dyDescent="0.6">
      <c r="C114" s="96"/>
      <c r="D114" s="55"/>
      <c r="E114" s="96"/>
      <c r="F114" s="13"/>
      <c r="G114" s="13"/>
      <c r="H114" s="1441"/>
      <c r="S114" s="17"/>
    </row>
    <row r="115" spans="3:19" s="1" customFormat="1" x14ac:dyDescent="0.6">
      <c r="C115" s="96"/>
      <c r="D115" s="55"/>
      <c r="E115" s="96"/>
      <c r="F115" s="13"/>
      <c r="G115" s="13"/>
      <c r="H115" s="1441"/>
      <c r="S115" s="17"/>
    </row>
    <row r="116" spans="3:19" s="1" customFormat="1" x14ac:dyDescent="0.6">
      <c r="C116" s="96"/>
      <c r="D116" s="55"/>
      <c r="E116" s="96"/>
      <c r="F116" s="13"/>
      <c r="G116" s="13"/>
      <c r="H116" s="1441"/>
      <c r="S116" s="17"/>
    </row>
    <row r="117" spans="3:19" s="1" customFormat="1" x14ac:dyDescent="0.6">
      <c r="C117" s="174"/>
      <c r="D117" s="89"/>
      <c r="E117" s="174"/>
      <c r="F117" s="21"/>
      <c r="G117" s="21"/>
      <c r="H117" s="1445"/>
      <c r="S117" s="17"/>
    </row>
    <row r="118" spans="3:19" s="1" customFormat="1" x14ac:dyDescent="0.6">
      <c r="C118" s="96"/>
      <c r="D118" s="55"/>
      <c r="E118" s="96"/>
      <c r="F118" s="13"/>
      <c r="G118" s="13"/>
      <c r="H118" s="1441"/>
      <c r="S118" s="17"/>
    </row>
    <row r="119" spans="3:19" s="1" customFormat="1" x14ac:dyDescent="0.6">
      <c r="C119" s="96"/>
      <c r="D119" s="55"/>
      <c r="E119" s="96"/>
      <c r="F119" s="13"/>
      <c r="G119" s="13"/>
      <c r="H119" s="1441"/>
      <c r="S119" s="17"/>
    </row>
  </sheetData>
  <sortState xmlns:xlrd2="http://schemas.microsoft.com/office/spreadsheetml/2017/richdata2" ref="C62:D72">
    <sortCondition descending="1" ref="C62:C72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G9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19.84765625" style="1" customWidth="1"/>
    <col min="3" max="3" width="11.59765625" style="21" bestFit="1" customWidth="1"/>
    <col min="4" max="4" width="11.59765625" style="13" bestFit="1" customWidth="1"/>
    <col min="5" max="5" width="11.59765625" style="21" bestFit="1" customWidth="1"/>
    <col min="6" max="6" width="15.09765625" style="21" bestFit="1" customWidth="1"/>
    <col min="7" max="7" width="11.59765625" style="21" customWidth="1"/>
    <col min="8" max="8" width="17" style="21" customWidth="1"/>
    <col min="9" max="9" width="16.09765625" style="13" bestFit="1" customWidth="1"/>
    <col min="10" max="10" width="10.5" style="55" customWidth="1"/>
    <col min="11" max="11" width="13.59765625" style="7" bestFit="1" customWidth="1"/>
    <col min="12" max="12" width="18.59765625" style="4" bestFit="1" customWidth="1"/>
    <col min="13" max="13" width="11" style="27" customWidth="1"/>
    <col min="14" max="14" width="11" style="226" customWidth="1"/>
    <col min="15" max="15" width="13.59765625" style="5" customWidth="1"/>
    <col min="16" max="16" width="12.34765625" style="55" customWidth="1"/>
    <col min="17" max="17" width="9.5" style="28" customWidth="1"/>
    <col min="18" max="20" width="9.5" style="10" customWidth="1"/>
    <col min="21" max="21" width="15" style="17" bestFit="1" customWidth="1"/>
    <col min="22" max="22" width="9.5" style="271" customWidth="1"/>
    <col min="23" max="23" width="15.84765625" style="271" customWidth="1"/>
    <col min="24" max="24" width="9.5" style="10" customWidth="1"/>
    <col min="25" max="25" width="14" style="70" bestFit="1" customWidth="1"/>
    <col min="26" max="26" width="15.84765625" style="57" customWidth="1"/>
    <col min="27" max="27" width="14" style="17" bestFit="1" customWidth="1"/>
    <col min="28" max="28" width="15" style="276" bestFit="1" customWidth="1"/>
    <col min="29" max="29" width="14" style="10" bestFit="1" customWidth="1"/>
    <col min="30" max="30" width="17.5" style="17" bestFit="1" customWidth="1"/>
    <col min="31" max="31" width="10.84765625" style="1"/>
    <col min="32" max="33" width="11" customWidth="1"/>
    <col min="34" max="16384" width="10.84765625" style="1"/>
  </cols>
  <sheetData>
    <row r="1" spans="1:30" x14ac:dyDescent="0.6">
      <c r="A1" s="24" t="s">
        <v>662</v>
      </c>
      <c r="C1" s="74" t="s">
        <v>115</v>
      </c>
      <c r="E1" s="74"/>
      <c r="F1" s="74"/>
      <c r="G1" s="74"/>
      <c r="H1" s="74"/>
      <c r="J1" s="107"/>
      <c r="P1" s="10"/>
      <c r="X1" s="10">
        <f>SMALL(X6:X34,1)</f>
        <v>0</v>
      </c>
    </row>
    <row r="2" spans="1:30" s="2" customFormat="1" x14ac:dyDescent="0.6">
      <c r="C2" s="64" t="s">
        <v>24</v>
      </c>
      <c r="D2" s="14" t="s">
        <v>100</v>
      </c>
      <c r="E2" s="64" t="s">
        <v>858</v>
      </c>
      <c r="F2" s="64" t="s">
        <v>875</v>
      </c>
      <c r="G2" s="64" t="s">
        <v>1097</v>
      </c>
      <c r="H2" s="64" t="s">
        <v>1097</v>
      </c>
      <c r="I2" s="14" t="s">
        <v>42</v>
      </c>
      <c r="J2" s="56"/>
      <c r="K2" s="8"/>
      <c r="L2" s="1285" t="s">
        <v>128</v>
      </c>
      <c r="M2" s="481" t="s">
        <v>638</v>
      </c>
      <c r="N2" s="11" t="s">
        <v>638</v>
      </c>
      <c r="O2" s="6" t="s">
        <v>627</v>
      </c>
      <c r="P2" s="102" t="s">
        <v>636</v>
      </c>
      <c r="Q2" s="71" t="s">
        <v>194</v>
      </c>
      <c r="R2" s="332" t="s">
        <v>194</v>
      </c>
      <c r="S2" s="11" t="s">
        <v>194</v>
      </c>
      <c r="T2" s="11" t="s">
        <v>650</v>
      </c>
      <c r="U2" s="18" t="s">
        <v>397</v>
      </c>
      <c r="V2" s="272" t="s">
        <v>881</v>
      </c>
      <c r="W2" s="272" t="s">
        <v>42</v>
      </c>
      <c r="X2" s="11" t="s">
        <v>881</v>
      </c>
      <c r="Y2" s="114" t="s">
        <v>1623</v>
      </c>
      <c r="Z2" s="58"/>
      <c r="AA2" s="18" t="s">
        <v>42</v>
      </c>
      <c r="AB2" s="581"/>
      <c r="AC2" s="11" t="s">
        <v>645</v>
      </c>
      <c r="AD2" s="18"/>
    </row>
    <row r="3" spans="1:30" s="2" customFormat="1" x14ac:dyDescent="0.6">
      <c r="C3" s="64" t="s">
        <v>112</v>
      </c>
      <c r="D3" s="14" t="s">
        <v>24</v>
      </c>
      <c r="E3" s="64" t="s">
        <v>112</v>
      </c>
      <c r="F3" s="64" t="s">
        <v>1622</v>
      </c>
      <c r="G3" s="64" t="s">
        <v>112</v>
      </c>
      <c r="H3" s="64" t="s">
        <v>848</v>
      </c>
      <c r="I3" s="14" t="s">
        <v>848</v>
      </c>
      <c r="J3" s="56" t="s">
        <v>41</v>
      </c>
      <c r="K3" s="8" t="s">
        <v>1620</v>
      </c>
      <c r="L3" s="1285" t="s">
        <v>129</v>
      </c>
      <c r="M3" s="481" t="s">
        <v>649</v>
      </c>
      <c r="N3" s="11" t="s">
        <v>639</v>
      </c>
      <c r="O3" s="6" t="s">
        <v>648</v>
      </c>
      <c r="P3" s="102" t="s">
        <v>606</v>
      </c>
      <c r="Q3" s="71" t="s">
        <v>84</v>
      </c>
      <c r="R3" s="332" t="s">
        <v>651</v>
      </c>
      <c r="S3" s="11" t="s">
        <v>652</v>
      </c>
      <c r="T3" s="11" t="s">
        <v>403</v>
      </c>
      <c r="U3" s="18" t="s">
        <v>85</v>
      </c>
      <c r="V3" s="272" t="s">
        <v>79</v>
      </c>
      <c r="W3" s="272" t="s">
        <v>85</v>
      </c>
      <c r="X3" s="11" t="s">
        <v>198</v>
      </c>
      <c r="Y3" s="114" t="s">
        <v>198</v>
      </c>
      <c r="Z3" s="58" t="s">
        <v>76</v>
      </c>
      <c r="AA3" s="18" t="s">
        <v>77</v>
      </c>
      <c r="AB3" s="581" t="s">
        <v>34</v>
      </c>
      <c r="AC3" s="11" t="s">
        <v>639</v>
      </c>
      <c r="AD3" s="18" t="s">
        <v>642</v>
      </c>
    </row>
    <row r="4" spans="1:30" x14ac:dyDescent="0.6">
      <c r="A4" s="61">
        <v>1</v>
      </c>
      <c r="B4" s="44" t="s">
        <v>37</v>
      </c>
      <c r="C4" s="290">
        <v>15503092</v>
      </c>
      <c r="D4" s="287">
        <f>'NG transport'!C4+'NG Res'!C4+'NG Comm'!C4</f>
        <v>8463230</v>
      </c>
      <c r="E4" s="290">
        <f>C4-D4</f>
        <v>7039862</v>
      </c>
      <c r="F4" s="961">
        <f>E4*Assumptions!$C$48</f>
        <v>53429432301.153618</v>
      </c>
      <c r="G4" s="961">
        <f>9257319+1991554</f>
        <v>11248873</v>
      </c>
      <c r="H4" s="961">
        <f>G4*Assumptions!$C$48</f>
        <v>85373960230.722534</v>
      </c>
      <c r="I4" s="345">
        <f>H4+F4</f>
        <v>138803392531.87616</v>
      </c>
      <c r="J4" s="399">
        <v>1</v>
      </c>
      <c r="K4" s="33">
        <f>Assumptions!$C$46</f>
        <v>7.5895567698846396</v>
      </c>
      <c r="L4" s="1483">
        <f>Assumptions!$C$63</f>
        <v>27.295999999999999</v>
      </c>
      <c r="M4" s="389"/>
      <c r="N4" s="973">
        <f>L85</f>
        <v>0.43294489821293392</v>
      </c>
      <c r="O4" s="452"/>
      <c r="P4" s="842">
        <f>V4</f>
        <v>3.761365338294826E-2</v>
      </c>
      <c r="Q4" s="322"/>
      <c r="R4" s="482"/>
      <c r="S4" s="320"/>
      <c r="T4" s="320">
        <f>S4+R4</f>
        <v>0</v>
      </c>
      <c r="U4" s="847"/>
      <c r="V4" s="1460">
        <f>W4/I4</f>
        <v>3.761365338294826E-2</v>
      </c>
      <c r="W4" s="1047">
        <f>'State Sev Tax'!G56</f>
        <v>5220902695.0712986</v>
      </c>
      <c r="X4" s="968">
        <f>V4</f>
        <v>3.761365338294826E-2</v>
      </c>
      <c r="Y4" s="366">
        <f>W4</f>
        <v>5220902695.0712986</v>
      </c>
      <c r="Z4" s="336">
        <f>-'OECD NG subsidies'!F3</f>
        <v>-1110177584</v>
      </c>
      <c r="AA4" s="337">
        <f>Z4*J4</f>
        <v>-1110177584</v>
      </c>
      <c r="AB4" s="529">
        <f>Y4+AA4</f>
        <v>4110725111.0712986</v>
      </c>
      <c r="AC4" s="281">
        <f>(N4+P4)*(1+Q4)</f>
        <v>0.47055855159588217</v>
      </c>
      <c r="AD4" s="342">
        <f>AC4*I4+AA4</f>
        <v>64204945762.394333</v>
      </c>
    </row>
    <row r="5" spans="1:30" s="2" customFormat="1" x14ac:dyDescent="0.6">
      <c r="A5" s="46"/>
      <c r="B5" s="40" t="s">
        <v>35</v>
      </c>
      <c r="C5" s="356"/>
      <c r="D5" s="288"/>
      <c r="E5" s="356"/>
      <c r="F5" s="1153"/>
      <c r="G5" s="1153"/>
      <c r="H5" s="1153"/>
      <c r="I5" s="346"/>
      <c r="J5" s="418"/>
      <c r="K5" s="29"/>
      <c r="L5" s="1484"/>
      <c r="M5" s="385"/>
      <c r="N5" s="974"/>
      <c r="O5" s="456"/>
      <c r="P5" s="286"/>
      <c r="Q5" s="315"/>
      <c r="R5" s="316"/>
      <c r="S5" s="316"/>
      <c r="T5" s="316"/>
      <c r="U5" s="343"/>
      <c r="V5" s="1051"/>
      <c r="W5" s="1052"/>
      <c r="X5" s="311"/>
      <c r="Y5" s="367"/>
      <c r="Z5" s="338"/>
      <c r="AA5" s="339"/>
      <c r="AB5" s="530"/>
      <c r="AC5" s="316"/>
      <c r="AD5" s="343"/>
    </row>
    <row r="6" spans="1:30" x14ac:dyDescent="0.6">
      <c r="A6" s="46">
        <f>A4+1</f>
        <v>2</v>
      </c>
      <c r="B6" s="44" t="s">
        <v>0</v>
      </c>
      <c r="C6" s="290">
        <v>458826</v>
      </c>
      <c r="D6" s="287">
        <f>'NG transport'!C6+'NG Res'!C6+'NG Comm'!C6</f>
        <v>228968</v>
      </c>
      <c r="E6" s="290">
        <f t="shared" ref="E6:E65" si="0">C6-D6</f>
        <v>229858</v>
      </c>
      <c r="F6" s="961">
        <f>E6*Assumptions!$C$48</f>
        <v>1744520340.0121436</v>
      </c>
      <c r="G6" s="961">
        <f>84257+85579</f>
        <v>169836</v>
      </c>
      <c r="H6" s="961">
        <f>G6*Assumptions!$C$48</f>
        <v>1288979963.5701277</v>
      </c>
      <c r="I6" s="345">
        <f t="shared" ref="I6:I65" si="1">H6+F6</f>
        <v>3033500303.5822716</v>
      </c>
      <c r="J6" s="391">
        <f>Assumptions!$H$3</f>
        <v>1.1863330000000001</v>
      </c>
      <c r="K6" s="33">
        <f>Assumptions!$C$46</f>
        <v>7.5895567698846396</v>
      </c>
      <c r="L6" s="1483">
        <f>Assumptions!$C$63</f>
        <v>27.295999999999999</v>
      </c>
      <c r="M6" s="384">
        <v>24.9</v>
      </c>
      <c r="N6" s="973">
        <f t="shared" ref="N6:N18" si="2">M6*J6/L6</f>
        <v>1.0821985529015241</v>
      </c>
      <c r="O6" s="434">
        <v>1.2</v>
      </c>
      <c r="P6" s="286">
        <f t="shared" ref="P6:P18" si="3">O6*J6/L6</f>
        <v>5.2154147127784288E-2</v>
      </c>
      <c r="Q6" s="325"/>
      <c r="R6" s="281">
        <f>Q6*N6</f>
        <v>0</v>
      </c>
      <c r="S6" s="281">
        <f>Q6*P6</f>
        <v>0</v>
      </c>
      <c r="T6" s="281">
        <f>S6+R6</f>
        <v>0</v>
      </c>
      <c r="U6" s="342">
        <f>R6*I6</f>
        <v>0</v>
      </c>
      <c r="V6" s="1053">
        <f t="shared" ref="V6:V41" si="4">P6+T6</f>
        <v>5.2154147127784288E-2</v>
      </c>
      <c r="W6" s="1047">
        <f t="shared" ref="W6:W65" si="5">V6*I6</f>
        <v>158209621.14520809</v>
      </c>
      <c r="X6" s="268">
        <f>S6+P6</f>
        <v>5.2154147127784288E-2</v>
      </c>
      <c r="Y6" s="366">
        <f t="shared" ref="Y6:Y26" si="6">I6*X6</f>
        <v>158209621.14520809</v>
      </c>
      <c r="Z6" s="336">
        <f>-'OECD NG subsidies'!F95</f>
        <v>0</v>
      </c>
      <c r="AA6" s="337">
        <f t="shared" ref="AA6:AA39" si="7">Z6*J6</f>
        <v>0</v>
      </c>
      <c r="AB6" s="529">
        <f t="shared" ref="AB6:AB26" si="8">Y6+AA6</f>
        <v>158209621.14520809</v>
      </c>
      <c r="AC6" s="281">
        <f>(N6+P6)*(1+Q6)</f>
        <v>1.1343527000293083</v>
      </c>
      <c r="AD6" s="342">
        <f>AC6*I6+AA6</f>
        <v>3441059259.9082761</v>
      </c>
    </row>
    <row r="7" spans="1:30" x14ac:dyDescent="0.6">
      <c r="A7" s="46">
        <f>A6+1</f>
        <v>3</v>
      </c>
      <c r="B7" s="44" t="s">
        <v>1</v>
      </c>
      <c r="C7" s="290">
        <v>238187</v>
      </c>
      <c r="D7" s="287">
        <f>'NG transport'!C7+'NG Res'!C7+'NG Comm'!C7</f>
        <v>132018</v>
      </c>
      <c r="E7" s="290">
        <f t="shared" si="0"/>
        <v>106169</v>
      </c>
      <c r="F7" s="961">
        <f>E7*Assumptions!$C$48</f>
        <v>805775652.70188236</v>
      </c>
      <c r="G7" s="961">
        <f>4872+23352</f>
        <v>28224</v>
      </c>
      <c r="H7" s="961">
        <f>G7*Assumptions!$C$48</f>
        <v>214207650.27322409</v>
      </c>
      <c r="I7" s="345">
        <f t="shared" si="1"/>
        <v>1019983302.9751065</v>
      </c>
      <c r="J7" s="391">
        <f>Assumptions!$H$15</f>
        <v>4.5997000000000003E-2</v>
      </c>
      <c r="K7" s="33">
        <f>Assumptions!$C$46</f>
        <v>7.5895567698846396</v>
      </c>
      <c r="L7" s="1483">
        <f>Assumptions!$C$63</f>
        <v>27.295999999999999</v>
      </c>
      <c r="M7" s="387">
        <v>800.5</v>
      </c>
      <c r="N7" s="973">
        <f t="shared" si="2"/>
        <v>1.3489375183177024</v>
      </c>
      <c r="O7" s="435">
        <v>30.6</v>
      </c>
      <c r="P7" s="286">
        <f t="shared" si="3"/>
        <v>5.1564632180539277E-2</v>
      </c>
      <c r="Q7" s="325"/>
      <c r="R7" s="281">
        <f t="shared" ref="R7:R39" si="9">Q7*N7</f>
        <v>0</v>
      </c>
      <c r="S7" s="281">
        <f t="shared" ref="S7:S39" si="10">Q7*P7</f>
        <v>0</v>
      </c>
      <c r="T7" s="281">
        <f t="shared" ref="T7:T39" si="11">S7+R7</f>
        <v>0</v>
      </c>
      <c r="U7" s="342">
        <f t="shared" ref="U7:U39" si="12">R7*I7</f>
        <v>0</v>
      </c>
      <c r="V7" s="1053">
        <f t="shared" si="4"/>
        <v>5.1564632180539277E-2</v>
      </c>
      <c r="W7" s="1047">
        <f t="shared" si="5"/>
        <v>52595063.848202921</v>
      </c>
      <c r="X7" s="268">
        <f t="shared" ref="X7:X39" si="13">S7+P7</f>
        <v>5.1564632180539277E-2</v>
      </c>
      <c r="Y7" s="366">
        <f t="shared" si="6"/>
        <v>52595063.848202921</v>
      </c>
      <c r="Z7" s="336">
        <f>-'OECD NG subsidies'!F103</f>
        <v>-724292092</v>
      </c>
      <c r="AA7" s="337">
        <f t="shared" si="7"/>
        <v>-33315263.355724003</v>
      </c>
      <c r="AB7" s="529">
        <f t="shared" si="8"/>
        <v>19279800.492478918</v>
      </c>
      <c r="AC7" s="281">
        <f t="shared" ref="AC7:AC39" si="14">(N7+P7)*(1+Q7)</f>
        <v>1.4005021504982416</v>
      </c>
      <c r="AD7" s="342">
        <f t="shared" ref="AD7:AD65" si="15">AC7*I7+AA7</f>
        <v>1395173545.933212</v>
      </c>
    </row>
    <row r="8" spans="1:30" x14ac:dyDescent="0.6">
      <c r="A8" s="46">
        <f t="shared" ref="A8:A26" si="16">A7+1</f>
        <v>4</v>
      </c>
      <c r="B8" s="44" t="s">
        <v>2</v>
      </c>
      <c r="C8" s="290">
        <v>67606</v>
      </c>
      <c r="D8" s="287">
        <f>'NG transport'!C8+'NG Res'!C8+'NG Comm'!C8</f>
        <v>35359</v>
      </c>
      <c r="E8" s="290">
        <f t="shared" si="0"/>
        <v>32247</v>
      </c>
      <c r="F8" s="961">
        <f>E8*Assumptions!$C$48</f>
        <v>244740437.15846997</v>
      </c>
      <c r="G8" s="961">
        <f>20892</f>
        <v>20892</v>
      </c>
      <c r="H8" s="961">
        <f>G8*Assumptions!$C$48</f>
        <v>158561020.03642988</v>
      </c>
      <c r="I8" s="345">
        <f t="shared" si="1"/>
        <v>403301457.19489986</v>
      </c>
      <c r="J8" s="391">
        <f>Assumptions!$H$16</f>
        <v>0.15934999999999999</v>
      </c>
      <c r="K8" s="33">
        <f>Assumptions!$C$46</f>
        <v>7.5895567698846396</v>
      </c>
      <c r="L8" s="1483">
        <f>Assumptions!$C$63</f>
        <v>27.295999999999999</v>
      </c>
      <c r="M8" s="423"/>
      <c r="N8" s="1439">
        <f>Assumptions!$C$104</f>
        <v>1.5</v>
      </c>
      <c r="O8" s="1147">
        <v>14.1</v>
      </c>
      <c r="P8" s="306">
        <f t="shared" si="3"/>
        <v>8.2313708968347013E-2</v>
      </c>
      <c r="Q8" s="325"/>
      <c r="R8" s="281">
        <f t="shared" si="9"/>
        <v>0</v>
      </c>
      <c r="S8" s="281">
        <f t="shared" si="10"/>
        <v>0</v>
      </c>
      <c r="T8" s="281">
        <f t="shared" si="11"/>
        <v>0</v>
      </c>
      <c r="U8" s="342">
        <f t="shared" si="12"/>
        <v>0</v>
      </c>
      <c r="V8" s="1053">
        <f t="shared" si="4"/>
        <v>8.2313708968347013E-2</v>
      </c>
      <c r="W8" s="1047">
        <f t="shared" si="5"/>
        <v>33197238.774051249</v>
      </c>
      <c r="X8" s="268">
        <f t="shared" si="13"/>
        <v>8.2313708968347013E-2</v>
      </c>
      <c r="Y8" s="366">
        <f t="shared" si="6"/>
        <v>33197238.774051249</v>
      </c>
      <c r="Z8" s="336">
        <f>-'OECD NG subsidies'!F105</f>
        <v>0</v>
      </c>
      <c r="AA8" s="337">
        <f t="shared" si="7"/>
        <v>0</v>
      </c>
      <c r="AB8" s="529">
        <f t="shared" si="8"/>
        <v>33197238.774051249</v>
      </c>
      <c r="AC8" s="281">
        <f t="shared" si="14"/>
        <v>1.582313708968347</v>
      </c>
      <c r="AD8" s="342">
        <f t="shared" si="15"/>
        <v>638149424.566401</v>
      </c>
    </row>
    <row r="9" spans="1:30" x14ac:dyDescent="0.6">
      <c r="A9" s="46">
        <f t="shared" si="16"/>
        <v>5</v>
      </c>
      <c r="B9" s="44" t="s">
        <v>3</v>
      </c>
      <c r="C9" s="290">
        <v>2403892</v>
      </c>
      <c r="D9" s="287">
        <f>'NG transport'!C9+'NG Res'!C9+'NG Comm'!C9</f>
        <v>1423599</v>
      </c>
      <c r="E9" s="290">
        <f t="shared" si="0"/>
        <v>980293</v>
      </c>
      <c r="F9" s="961">
        <f>E9*Assumptions!$C$48</f>
        <v>7439989374.6205235</v>
      </c>
      <c r="G9" s="961">
        <f>70768+484683</f>
        <v>555451</v>
      </c>
      <c r="H9" s="961">
        <f>G9*Assumptions!$C$48</f>
        <v>4215626897.3891931</v>
      </c>
      <c r="I9" s="345">
        <f t="shared" si="1"/>
        <v>11655616272.009716</v>
      </c>
      <c r="J9" s="391">
        <f>Assumptions!$H$3</f>
        <v>1.1863330000000001</v>
      </c>
      <c r="K9" s="33">
        <f>Assumptions!$C$46</f>
        <v>7.5895567698846396</v>
      </c>
      <c r="L9" s="1483">
        <f>Assumptions!$C$63</f>
        <v>27.295999999999999</v>
      </c>
      <c r="M9" s="384">
        <v>27.61</v>
      </c>
      <c r="N9" s="973">
        <f t="shared" si="2"/>
        <v>1.1999800018317701</v>
      </c>
      <c r="O9" s="472">
        <v>4.03</v>
      </c>
      <c r="P9" s="306">
        <f t="shared" si="3"/>
        <v>0.17515101077080894</v>
      </c>
      <c r="Q9" s="325"/>
      <c r="R9" s="281">
        <f t="shared" si="9"/>
        <v>0</v>
      </c>
      <c r="S9" s="281">
        <f t="shared" si="10"/>
        <v>0</v>
      </c>
      <c r="T9" s="281">
        <f t="shared" si="11"/>
        <v>0</v>
      </c>
      <c r="U9" s="342">
        <f t="shared" si="12"/>
        <v>0</v>
      </c>
      <c r="V9" s="1053">
        <f t="shared" si="4"/>
        <v>0.17515101077080894</v>
      </c>
      <c r="W9" s="1047">
        <f t="shared" si="5"/>
        <v>2041492971.1991897</v>
      </c>
      <c r="X9" s="268">
        <f t="shared" si="13"/>
        <v>0.17515101077080894</v>
      </c>
      <c r="Y9" s="366">
        <f t="shared" si="6"/>
        <v>2041492971.1991897</v>
      </c>
      <c r="Z9" s="336">
        <f>-'OECD NG subsidies'!F110</f>
        <v>-911083091</v>
      </c>
      <c r="AA9" s="337">
        <f t="shared" si="7"/>
        <v>-1080847936.5953031</v>
      </c>
      <c r="AB9" s="529">
        <f t="shared" si="8"/>
        <v>960645034.6038866</v>
      </c>
      <c r="AC9" s="281">
        <f t="shared" si="14"/>
        <v>1.3751310126025791</v>
      </c>
      <c r="AD9" s="342">
        <f t="shared" si="15"/>
        <v>14947151470.040516</v>
      </c>
    </row>
    <row r="10" spans="1:30" x14ac:dyDescent="0.6">
      <c r="A10" s="46">
        <f t="shared" si="16"/>
        <v>6</v>
      </c>
      <c r="B10" s="44" t="s">
        <v>4</v>
      </c>
      <c r="C10" s="290">
        <v>10347</v>
      </c>
      <c r="D10" s="287">
        <f>'NG transport'!C10+'NG Res'!C10+'NG Comm'!C10</f>
        <v>5679</v>
      </c>
      <c r="E10" s="290">
        <f t="shared" si="0"/>
        <v>4668</v>
      </c>
      <c r="F10" s="961">
        <f>E10*Assumptions!$C$48</f>
        <v>35428051.001821496</v>
      </c>
      <c r="G10" s="961">
        <v>526</v>
      </c>
      <c r="H10" s="961">
        <f>G10*Assumptions!$C$48</f>
        <v>3992106.8609593203</v>
      </c>
      <c r="I10" s="345">
        <f t="shared" si="1"/>
        <v>39420157.862780817</v>
      </c>
      <c r="J10" s="391">
        <f>Assumptions!$H$3</f>
        <v>1.1863330000000001</v>
      </c>
      <c r="K10" s="33">
        <f>Assumptions!$C$46</f>
        <v>7.5895567698846396</v>
      </c>
      <c r="L10" s="1483">
        <f>Assumptions!$C$63</f>
        <v>27.295999999999999</v>
      </c>
      <c r="M10" s="384">
        <v>32.340000000000003</v>
      </c>
      <c r="N10" s="973">
        <f t="shared" si="2"/>
        <v>1.4055542650937871</v>
      </c>
      <c r="O10" s="472">
        <v>1.73</v>
      </c>
      <c r="P10" s="306">
        <f t="shared" si="3"/>
        <v>7.5188895442555692E-2</v>
      </c>
      <c r="Q10" s="325"/>
      <c r="R10" s="281">
        <f t="shared" si="9"/>
        <v>0</v>
      </c>
      <c r="S10" s="281">
        <f t="shared" si="10"/>
        <v>0</v>
      </c>
      <c r="T10" s="281">
        <f t="shared" si="11"/>
        <v>0</v>
      </c>
      <c r="U10" s="342">
        <f t="shared" si="12"/>
        <v>0</v>
      </c>
      <c r="V10" s="1053">
        <f t="shared" si="4"/>
        <v>7.5188895442555692E-2</v>
      </c>
      <c r="W10" s="1047">
        <f t="shared" si="5"/>
        <v>2963958.1278736666</v>
      </c>
      <c r="X10" s="268">
        <f t="shared" si="13"/>
        <v>7.5188895442555692E-2</v>
      </c>
      <c r="Y10" s="366">
        <f t="shared" si="6"/>
        <v>2963958.1278736666</v>
      </c>
      <c r="Z10" s="336">
        <f>-'OECD NG subsidies'!F116</f>
        <v>-340000</v>
      </c>
      <c r="AA10" s="337">
        <f t="shared" si="7"/>
        <v>-403353.22000000003</v>
      </c>
      <c r="AB10" s="529">
        <f t="shared" si="8"/>
        <v>2560604.9078736664</v>
      </c>
      <c r="AC10" s="281">
        <f t="shared" si="14"/>
        <v>1.4807431605363428</v>
      </c>
      <c r="AD10" s="342">
        <f t="shared" si="15"/>
        <v>57967775.92257563</v>
      </c>
    </row>
    <row r="11" spans="1:30" x14ac:dyDescent="0.6">
      <c r="A11" s="46">
        <f t="shared" si="16"/>
        <v>7</v>
      </c>
      <c r="B11" s="44" t="s">
        <v>5</v>
      </c>
      <c r="C11" s="290">
        <v>61250</v>
      </c>
      <c r="D11" s="287">
        <f>'NG transport'!C11+'NG Res'!C11+'NG Comm'!C11</f>
        <v>24960</v>
      </c>
      <c r="E11" s="290">
        <f t="shared" si="0"/>
        <v>36290</v>
      </c>
      <c r="F11" s="961">
        <f>E11*Assumptions!$C$48</f>
        <v>275425015.17911357</v>
      </c>
      <c r="G11" s="961">
        <f>51614+9643</f>
        <v>61257</v>
      </c>
      <c r="H11" s="961">
        <f>G11*Assumptions!$C$48</f>
        <v>464913479.05282336</v>
      </c>
      <c r="I11" s="345">
        <f t="shared" si="1"/>
        <v>740338494.23193693</v>
      </c>
      <c r="J11" s="391">
        <f>Assumptions!$H$3</f>
        <v>1.1863330000000001</v>
      </c>
      <c r="K11" s="33">
        <f>Assumptions!$C$46</f>
        <v>7.5895567698846396</v>
      </c>
      <c r="L11" s="1483">
        <f>Assumptions!$C$63</f>
        <v>27.295999999999999</v>
      </c>
      <c r="M11" s="384">
        <v>28.01</v>
      </c>
      <c r="N11" s="973">
        <f t="shared" si="2"/>
        <v>1.2173647175410318</v>
      </c>
      <c r="O11" s="472">
        <v>5.4</v>
      </c>
      <c r="P11" s="306">
        <f t="shared" si="3"/>
        <v>0.23469366207502937</v>
      </c>
      <c r="Q11" s="325"/>
      <c r="R11" s="281">
        <f t="shared" si="9"/>
        <v>0</v>
      </c>
      <c r="S11" s="281">
        <f t="shared" si="10"/>
        <v>0</v>
      </c>
      <c r="T11" s="281">
        <f t="shared" si="11"/>
        <v>0</v>
      </c>
      <c r="U11" s="342">
        <f t="shared" si="12"/>
        <v>0</v>
      </c>
      <c r="V11" s="1053">
        <f t="shared" si="4"/>
        <v>0.23469366207502937</v>
      </c>
      <c r="W11" s="1047">
        <f t="shared" si="5"/>
        <v>173752752.38640627</v>
      </c>
      <c r="X11" s="268">
        <f t="shared" si="13"/>
        <v>0.23469366207502937</v>
      </c>
      <c r="Y11" s="366">
        <f t="shared" si="6"/>
        <v>173752752.38640627</v>
      </c>
      <c r="Z11" s="336">
        <f>-'OECD NG subsidies'!F119</f>
        <v>-481939067</v>
      </c>
      <c r="AA11" s="337">
        <f t="shared" si="7"/>
        <v>-571740219.17131102</v>
      </c>
      <c r="AB11" s="529">
        <f t="shared" si="8"/>
        <v>-397987466.78490472</v>
      </c>
      <c r="AC11" s="281">
        <f t="shared" si="14"/>
        <v>1.4520583796160611</v>
      </c>
      <c r="AD11" s="342">
        <f t="shared" si="15"/>
        <v>503274495.13050997</v>
      </c>
    </row>
    <row r="12" spans="1:30" x14ac:dyDescent="0.6">
      <c r="A12" s="46">
        <f t="shared" si="16"/>
        <v>8</v>
      </c>
      <c r="B12" s="44" t="s">
        <v>6</v>
      </c>
      <c r="C12" s="290">
        <v>635328</v>
      </c>
      <c r="D12" s="287">
        <f>'NG transport'!C12+'NG Res'!C12+'NG Comm'!C12</f>
        <v>277713</v>
      </c>
      <c r="E12" s="290">
        <f t="shared" si="0"/>
        <v>357615</v>
      </c>
      <c r="F12" s="961">
        <f>E12*Assumptions!$C$48</f>
        <v>2714139344.2622952</v>
      </c>
      <c r="G12" s="961">
        <f>243076+141372</f>
        <v>384448</v>
      </c>
      <c r="H12" s="961">
        <f>G12*Assumptions!$C$48</f>
        <v>2917789921.0686102</v>
      </c>
      <c r="I12" s="345">
        <f t="shared" si="1"/>
        <v>5631929265.3309059</v>
      </c>
      <c r="J12" s="391">
        <f>Assumptions!$H$3</f>
        <v>1.1863330000000001</v>
      </c>
      <c r="K12" s="33">
        <f>Assumptions!$C$46</f>
        <v>7.5895567698846396</v>
      </c>
      <c r="L12" s="1483">
        <f>Assumptions!$C$63</f>
        <v>27.295999999999999</v>
      </c>
      <c r="M12" s="384">
        <v>29.43</v>
      </c>
      <c r="N12" s="973">
        <f t="shared" si="2"/>
        <v>1.2790804583089099</v>
      </c>
      <c r="O12" s="472">
        <v>0.54</v>
      </c>
      <c r="P12" s="306">
        <f t="shared" si="3"/>
        <v>2.3469366207502933E-2</v>
      </c>
      <c r="Q12" s="325"/>
      <c r="R12" s="281">
        <f t="shared" si="9"/>
        <v>0</v>
      </c>
      <c r="S12" s="281">
        <f t="shared" si="10"/>
        <v>0</v>
      </c>
      <c r="T12" s="281">
        <f t="shared" si="11"/>
        <v>0</v>
      </c>
      <c r="U12" s="342">
        <f t="shared" si="12"/>
        <v>0</v>
      </c>
      <c r="V12" s="1053">
        <f t="shared" si="4"/>
        <v>2.3469366207502933E-2</v>
      </c>
      <c r="W12" s="1047">
        <f t="shared" si="5"/>
        <v>132177810.38280399</v>
      </c>
      <c r="X12" s="268">
        <f t="shared" si="13"/>
        <v>2.3469366207502933E-2</v>
      </c>
      <c r="Y12" s="366">
        <f t="shared" si="6"/>
        <v>132177810.38280399</v>
      </c>
      <c r="Z12" s="336">
        <f>-'OECD NG subsidies'!F125</f>
        <v>0</v>
      </c>
      <c r="AA12" s="337">
        <f t="shared" si="7"/>
        <v>0</v>
      </c>
      <c r="AB12" s="529">
        <f t="shared" si="8"/>
        <v>132177810.38280399</v>
      </c>
      <c r="AC12" s="281">
        <f t="shared" si="14"/>
        <v>1.3025498245164129</v>
      </c>
      <c r="AD12" s="342">
        <f t="shared" si="15"/>
        <v>7335868476.2456217</v>
      </c>
    </row>
    <row r="13" spans="1:30" x14ac:dyDescent="0.6">
      <c r="A13" s="46">
        <f t="shared" si="16"/>
        <v>9</v>
      </c>
      <c r="B13" s="44" t="s">
        <v>7</v>
      </c>
      <c r="C13" s="290">
        <f>1278121</f>
        <v>1278121</v>
      </c>
      <c r="D13" s="287">
        <f>'NG transport'!C13+'NG Res'!C13+'NG Comm'!C13</f>
        <v>765178</v>
      </c>
      <c r="E13" s="290">
        <f t="shared" si="0"/>
        <v>512943</v>
      </c>
      <c r="F13" s="961">
        <f>E13*Assumptions!$C$48</f>
        <v>3893010018.2149367</v>
      </c>
      <c r="G13" s="961">
        <f>72999+96019</f>
        <v>169018</v>
      </c>
      <c r="H13" s="961">
        <f>G13*Assumptions!$C$48</f>
        <v>1282771706.1323621</v>
      </c>
      <c r="I13" s="345">
        <f t="shared" si="1"/>
        <v>5175781724.3472986</v>
      </c>
      <c r="J13" s="391">
        <f>Assumptions!$H$3</f>
        <v>1.1863330000000001</v>
      </c>
      <c r="K13" s="33">
        <f>Assumptions!$C$46</f>
        <v>7.5895567698846396</v>
      </c>
      <c r="L13" s="1483">
        <f>Assumptions!$C$63</f>
        <v>27.295999999999999</v>
      </c>
      <c r="M13" s="384">
        <v>34.25</v>
      </c>
      <c r="N13" s="973">
        <f t="shared" si="2"/>
        <v>1.4885662826055102</v>
      </c>
      <c r="O13" s="472">
        <v>2.76</v>
      </c>
      <c r="P13" s="306">
        <f t="shared" si="3"/>
        <v>0.11995453839390387</v>
      </c>
      <c r="Q13" s="325"/>
      <c r="R13" s="281">
        <f t="shared" si="9"/>
        <v>0</v>
      </c>
      <c r="S13" s="281">
        <f t="shared" si="10"/>
        <v>0</v>
      </c>
      <c r="T13" s="281">
        <f t="shared" si="11"/>
        <v>0</v>
      </c>
      <c r="U13" s="342">
        <f t="shared" si="12"/>
        <v>0</v>
      </c>
      <c r="V13" s="1053">
        <f t="shared" si="4"/>
        <v>0.11995453839390387</v>
      </c>
      <c r="W13" s="1047">
        <f t="shared" si="5"/>
        <v>620858507.571684</v>
      </c>
      <c r="X13" s="268">
        <f t="shared" si="13"/>
        <v>0.11995453839390387</v>
      </c>
      <c r="Y13" s="366">
        <f t="shared" si="6"/>
        <v>620858507.571684</v>
      </c>
      <c r="Z13" s="336">
        <f>-'OECD NG subsidies'!F127</f>
        <v>-170776114</v>
      </c>
      <c r="AA13" s="337">
        <f t="shared" si="7"/>
        <v>-202597339.64996201</v>
      </c>
      <c r="AB13" s="529">
        <f t="shared" si="8"/>
        <v>418261167.92172199</v>
      </c>
      <c r="AC13" s="281">
        <f t="shared" si="14"/>
        <v>1.608520820999414</v>
      </c>
      <c r="AD13" s="342">
        <f t="shared" si="15"/>
        <v>8122755328.9109173</v>
      </c>
    </row>
    <row r="14" spans="1:30" x14ac:dyDescent="0.6">
      <c r="A14" s="46">
        <f t="shared" si="16"/>
        <v>10</v>
      </c>
      <c r="B14" s="44" t="s">
        <v>8</v>
      </c>
      <c r="C14" s="290">
        <v>79927</v>
      </c>
      <c r="D14" s="287">
        <f>'NG transport'!C14+'NG Res'!C14+'NG Comm'!C14</f>
        <v>44305</v>
      </c>
      <c r="E14" s="290">
        <f t="shared" si="0"/>
        <v>35622</v>
      </c>
      <c r="F14" s="961">
        <f>E14*Assumptions!$C$48</f>
        <v>270355191.25683063</v>
      </c>
      <c r="G14" s="961">
        <f>75209+12969</f>
        <v>88178</v>
      </c>
      <c r="H14" s="961">
        <f>G14*Assumptions!$C$48</f>
        <v>669231936.85488772</v>
      </c>
      <c r="I14" s="345">
        <f t="shared" si="1"/>
        <v>939587128.11171842</v>
      </c>
      <c r="J14" s="391">
        <f>Assumptions!$H$3</f>
        <v>1.1863330000000001</v>
      </c>
      <c r="K14" s="33">
        <f>Assumptions!$C$46</f>
        <v>7.5895567698846396</v>
      </c>
      <c r="L14" s="1483">
        <f>Assumptions!$C$63</f>
        <v>27.295999999999999</v>
      </c>
      <c r="M14" s="384">
        <v>28.22</v>
      </c>
      <c r="N14" s="973">
        <f t="shared" si="2"/>
        <v>1.226491693288394</v>
      </c>
      <c r="O14" s="472">
        <v>3.7</v>
      </c>
      <c r="P14" s="306">
        <f t="shared" si="3"/>
        <v>0.16080862031066825</v>
      </c>
      <c r="Q14" s="325"/>
      <c r="R14" s="281">
        <f t="shared" si="9"/>
        <v>0</v>
      </c>
      <c r="S14" s="281">
        <f t="shared" si="10"/>
        <v>0</v>
      </c>
      <c r="T14" s="281">
        <f t="shared" si="11"/>
        <v>0</v>
      </c>
      <c r="U14" s="342">
        <f t="shared" si="12"/>
        <v>0</v>
      </c>
      <c r="V14" s="1053">
        <f t="shared" si="4"/>
        <v>0.16080862031066825</v>
      </c>
      <c r="W14" s="1047">
        <f t="shared" si="5"/>
        <v>151093709.73330852</v>
      </c>
      <c r="X14" s="268">
        <f t="shared" si="13"/>
        <v>0.16080862031066825</v>
      </c>
      <c r="Y14" s="366">
        <f t="shared" si="6"/>
        <v>151093709.73330852</v>
      </c>
      <c r="Z14" s="336">
        <f>-'OECD NG subsidies'!F141</f>
        <v>0</v>
      </c>
      <c r="AA14" s="337">
        <f t="shared" si="7"/>
        <v>0</v>
      </c>
      <c r="AB14" s="529">
        <f t="shared" si="8"/>
        <v>151093709.73330852</v>
      </c>
      <c r="AC14" s="281">
        <f t="shared" si="14"/>
        <v>1.3873003135990623</v>
      </c>
      <c r="AD14" s="342">
        <f t="shared" si="15"/>
        <v>1303489517.4830291</v>
      </c>
    </row>
    <row r="15" spans="1:30" x14ac:dyDescent="0.6">
      <c r="A15" s="46">
        <f t="shared" si="16"/>
        <v>11</v>
      </c>
      <c r="B15" s="44" t="s">
        <v>9</v>
      </c>
      <c r="C15" s="290">
        <v>1561041</v>
      </c>
      <c r="D15" s="287">
        <f>'NG transport'!C15+'NG Res'!C15+'NG Comm'!C15</f>
        <v>1143096</v>
      </c>
      <c r="E15" s="290">
        <f t="shared" si="0"/>
        <v>417945</v>
      </c>
      <c r="F15" s="961">
        <f>E15*Assumptions!$C$48</f>
        <v>3172017304.189436</v>
      </c>
      <c r="G15" s="961">
        <f>287812+659413</f>
        <v>947225</v>
      </c>
      <c r="H15" s="961">
        <f>G15*Assumptions!$C$48</f>
        <v>7189017911.3539782</v>
      </c>
      <c r="I15" s="345">
        <f t="shared" si="1"/>
        <v>10361035215.543415</v>
      </c>
      <c r="J15" s="391">
        <f>Assumptions!$H$3</f>
        <v>1.1863330000000001</v>
      </c>
      <c r="K15" s="33">
        <f>Assumptions!$C$46</f>
        <v>7.5895567698846396</v>
      </c>
      <c r="L15" s="1483">
        <f>Assumptions!$C$63</f>
        <v>27.295999999999999</v>
      </c>
      <c r="M15" s="483"/>
      <c r="N15" s="1439">
        <f>Assumptions!$C$104</f>
        <v>1.5</v>
      </c>
      <c r="O15" s="472">
        <v>0.32</v>
      </c>
      <c r="P15" s="306">
        <f t="shared" si="3"/>
        <v>1.3907772567409146E-2</v>
      </c>
      <c r="Q15" s="325"/>
      <c r="R15" s="281">
        <f t="shared" si="9"/>
        <v>0</v>
      </c>
      <c r="S15" s="281">
        <f t="shared" si="10"/>
        <v>0</v>
      </c>
      <c r="T15" s="281">
        <f t="shared" si="11"/>
        <v>0</v>
      </c>
      <c r="U15" s="342">
        <f t="shared" si="12"/>
        <v>0</v>
      </c>
      <c r="V15" s="1053">
        <f t="shared" si="4"/>
        <v>1.3907772567409146E-2</v>
      </c>
      <c r="W15" s="1047">
        <f t="shared" si="5"/>
        <v>144098921.34069481</v>
      </c>
      <c r="X15" s="268">
        <f t="shared" si="13"/>
        <v>1.3907772567409146E-2</v>
      </c>
      <c r="Y15" s="366">
        <f t="shared" si="6"/>
        <v>144098921.34069481</v>
      </c>
      <c r="Z15" s="336">
        <f>-'OECD NG subsidies'!F148</f>
        <v>-1153019174</v>
      </c>
      <c r="AA15" s="337">
        <f t="shared" si="7"/>
        <v>-1367864695.7489421</v>
      </c>
      <c r="AB15" s="529">
        <f t="shared" si="8"/>
        <v>-1223765774.4082472</v>
      </c>
      <c r="AC15" s="281">
        <f t="shared" si="14"/>
        <v>1.513907772567409</v>
      </c>
      <c r="AD15" s="342">
        <f t="shared" si="15"/>
        <v>14317787048.906876</v>
      </c>
    </row>
    <row r="16" spans="1:30" x14ac:dyDescent="0.6">
      <c r="A16" s="46">
        <f t="shared" si="16"/>
        <v>12</v>
      </c>
      <c r="B16" s="44" t="s">
        <v>10</v>
      </c>
      <c r="C16" s="290">
        <v>28058</v>
      </c>
      <c r="D16" s="287">
        <f>'NG transport'!C16+'NG Res'!C16+'NG Comm'!C16</f>
        <v>15034</v>
      </c>
      <c r="E16" s="290">
        <f t="shared" si="0"/>
        <v>13024</v>
      </c>
      <c r="F16" s="961">
        <f>E16*Assumptions!$C$48</f>
        <v>98846387.370977551</v>
      </c>
      <c r="G16" s="961">
        <f>4283+3591</f>
        <v>7874</v>
      </c>
      <c r="H16" s="961">
        <f>G16*Assumptions!$C$48</f>
        <v>59760170.006071657</v>
      </c>
      <c r="I16" s="345">
        <f t="shared" si="1"/>
        <v>158606557.37704921</v>
      </c>
      <c r="J16" s="391">
        <f>Assumptions!$H$3</f>
        <v>1.1863330000000001</v>
      </c>
      <c r="K16" s="33">
        <f>Assumptions!$C$46</f>
        <v>7.5895567698846396</v>
      </c>
      <c r="L16" s="1483">
        <f>Assumptions!$C$63</f>
        <v>27.295999999999999</v>
      </c>
      <c r="M16" s="384">
        <v>37.26</v>
      </c>
      <c r="N16" s="973">
        <f t="shared" si="2"/>
        <v>1.6193862683177023</v>
      </c>
      <c r="O16" s="472">
        <v>0.54</v>
      </c>
      <c r="P16" s="306">
        <f t="shared" si="3"/>
        <v>2.3469366207502933E-2</v>
      </c>
      <c r="Q16" s="325"/>
      <c r="R16" s="281">
        <f t="shared" si="9"/>
        <v>0</v>
      </c>
      <c r="S16" s="281">
        <f t="shared" si="10"/>
        <v>0</v>
      </c>
      <c r="T16" s="281">
        <f t="shared" si="11"/>
        <v>0</v>
      </c>
      <c r="U16" s="342">
        <f t="shared" si="12"/>
        <v>0</v>
      </c>
      <c r="V16" s="1053">
        <f t="shared" si="4"/>
        <v>2.3469366207502933E-2</v>
      </c>
      <c r="W16" s="1047">
        <f t="shared" si="5"/>
        <v>3722395.3779932936</v>
      </c>
      <c r="X16" s="268">
        <f t="shared" si="13"/>
        <v>2.3469366207502933E-2</v>
      </c>
      <c r="Y16" s="366">
        <f t="shared" si="6"/>
        <v>3722395.3779932936</v>
      </c>
      <c r="Z16" s="336">
        <f>-'OECD NG subsidies'!F159</f>
        <v>0</v>
      </c>
      <c r="AA16" s="337">
        <f t="shared" si="7"/>
        <v>0</v>
      </c>
      <c r="AB16" s="529">
        <f t="shared" si="8"/>
        <v>3722395.3779932936</v>
      </c>
      <c r="AC16" s="281">
        <f t="shared" si="14"/>
        <v>1.6428556345252052</v>
      </c>
      <c r="AD16" s="342">
        <f t="shared" si="15"/>
        <v>260567676.45953053</v>
      </c>
    </row>
    <row r="17" spans="1:30" x14ac:dyDescent="0.6">
      <c r="A17" s="46">
        <f t="shared" si="16"/>
        <v>13</v>
      </c>
      <c r="B17" s="44" t="s">
        <v>11</v>
      </c>
      <c r="C17" s="290">
        <v>266185</v>
      </c>
      <c r="D17" s="287">
        <f>'NG transport'!C17+'NG Res'!C17+'NG Comm'!C17</f>
        <v>182289</v>
      </c>
      <c r="E17" s="290">
        <f t="shared" si="0"/>
        <v>83896</v>
      </c>
      <c r="F17" s="961">
        <f>E17*Assumptions!$C$48</f>
        <v>636733454.76624179</v>
      </c>
      <c r="G17" s="961">
        <f>12192+36985</f>
        <v>49177</v>
      </c>
      <c r="H17" s="961">
        <f>G17*Assumptions!$C$48</f>
        <v>373231633.27261692</v>
      </c>
      <c r="I17" s="345">
        <f t="shared" si="1"/>
        <v>1009965088.0388587</v>
      </c>
      <c r="J17" s="391">
        <f>Assumptions!$H$17</f>
        <v>3.8049999999999998E-3</v>
      </c>
      <c r="K17" s="33">
        <f>Assumptions!$C$46</f>
        <v>7.5895567698846396</v>
      </c>
      <c r="L17" s="1483">
        <f>Assumptions!$C$63</f>
        <v>27.295999999999999</v>
      </c>
      <c r="M17" s="388">
        <v>9619</v>
      </c>
      <c r="N17" s="973">
        <f t="shared" si="2"/>
        <v>1.3408666104923797</v>
      </c>
      <c r="O17" s="430">
        <v>306</v>
      </c>
      <c r="P17" s="286">
        <f t="shared" si="3"/>
        <v>4.2655700468933175E-2</v>
      </c>
      <c r="Q17" s="325"/>
      <c r="R17" s="281">
        <f t="shared" si="9"/>
        <v>0</v>
      </c>
      <c r="S17" s="281">
        <f t="shared" si="10"/>
        <v>0</v>
      </c>
      <c r="T17" s="281">
        <f t="shared" si="11"/>
        <v>0</v>
      </c>
      <c r="U17" s="342">
        <f t="shared" si="12"/>
        <v>0</v>
      </c>
      <c r="V17" s="1053">
        <f t="shared" si="4"/>
        <v>4.2655700468933175E-2</v>
      </c>
      <c r="W17" s="1047">
        <f t="shared" si="5"/>
        <v>43080768.27946528</v>
      </c>
      <c r="X17" s="268">
        <f t="shared" si="13"/>
        <v>4.2655700468933175E-2</v>
      </c>
      <c r="Y17" s="366">
        <f t="shared" si="6"/>
        <v>43080768.27946528</v>
      </c>
      <c r="Z17" s="336">
        <f>-'OECD NG subsidies'!F162</f>
        <v>-105671863</v>
      </c>
      <c r="AA17" s="337">
        <f t="shared" si="7"/>
        <v>-402081.438715</v>
      </c>
      <c r="AB17" s="529">
        <f t="shared" si="8"/>
        <v>42678686.840750277</v>
      </c>
      <c r="AC17" s="281">
        <f t="shared" si="14"/>
        <v>1.3835223109613128</v>
      </c>
      <c r="AD17" s="342">
        <f t="shared" si="15"/>
        <v>1396907151.1550524</v>
      </c>
    </row>
    <row r="18" spans="1:30" x14ac:dyDescent="0.6">
      <c r="A18" s="46">
        <f t="shared" si="16"/>
        <v>14</v>
      </c>
      <c r="B18" s="44" t="s">
        <v>12</v>
      </c>
      <c r="C18" s="290">
        <v>874055</v>
      </c>
      <c r="D18" s="287">
        <f>'NG transport'!C18+'NG Res'!C18+'NG Comm'!C18</f>
        <v>459153</v>
      </c>
      <c r="E18" s="290">
        <f t="shared" si="0"/>
        <v>414902</v>
      </c>
      <c r="F18" s="961">
        <f>E18*Assumptions!$C$48</f>
        <v>3148922282.9386768</v>
      </c>
      <c r="G18" s="961">
        <f>124489+252212</f>
        <v>376701</v>
      </c>
      <c r="H18" s="961">
        <f>G18*Assumptions!$C$48</f>
        <v>2858993624.7723136</v>
      </c>
      <c r="I18" s="345">
        <f t="shared" si="1"/>
        <v>6007915907.7109909</v>
      </c>
      <c r="J18" s="391">
        <f>Assumptions!$H$3</f>
        <v>1.1863330000000001</v>
      </c>
      <c r="K18" s="33">
        <f>Assumptions!$C$46</f>
        <v>7.5895567698846396</v>
      </c>
      <c r="L18" s="1483">
        <f>Assumptions!$C$63</f>
        <v>27.295999999999999</v>
      </c>
      <c r="M18" s="422">
        <v>25.6</v>
      </c>
      <c r="N18" s="973">
        <f t="shared" si="2"/>
        <v>1.1126218053927317</v>
      </c>
      <c r="O18" s="427">
        <v>5.0999999999999996</v>
      </c>
      <c r="P18" s="286">
        <f t="shared" si="3"/>
        <v>0.22165512529308323</v>
      </c>
      <c r="Q18" s="325"/>
      <c r="R18" s="281">
        <f t="shared" si="9"/>
        <v>0</v>
      </c>
      <c r="S18" s="281">
        <f t="shared" si="10"/>
        <v>0</v>
      </c>
      <c r="T18" s="281">
        <f t="shared" si="11"/>
        <v>0</v>
      </c>
      <c r="U18" s="342">
        <f t="shared" si="12"/>
        <v>0</v>
      </c>
      <c r="V18" s="1053">
        <f t="shared" si="4"/>
        <v>0.22165512529308323</v>
      </c>
      <c r="W18" s="1047">
        <f t="shared" si="5"/>
        <v>1331685353.2739875</v>
      </c>
      <c r="X18" s="268">
        <f t="shared" si="13"/>
        <v>0.22165512529308323</v>
      </c>
      <c r="Y18" s="366">
        <f t="shared" si="6"/>
        <v>1331685353.2739875</v>
      </c>
      <c r="Z18" s="336">
        <f>-'OECD NG subsidies'!F168</f>
        <v>-106000000</v>
      </c>
      <c r="AA18" s="337">
        <f t="shared" si="7"/>
        <v>-125751298.00000001</v>
      </c>
      <c r="AB18" s="529">
        <f t="shared" si="8"/>
        <v>1205934055.2739875</v>
      </c>
      <c r="AC18" s="281">
        <f t="shared" si="14"/>
        <v>1.3342769306858149</v>
      </c>
      <c r="AD18" s="342">
        <f t="shared" si="15"/>
        <v>7890472299.1591024</v>
      </c>
    </row>
    <row r="19" spans="1:30" x14ac:dyDescent="0.6">
      <c r="A19" s="46">
        <f t="shared" si="16"/>
        <v>15</v>
      </c>
      <c r="B19" s="44" t="s">
        <v>13</v>
      </c>
      <c r="C19" s="290">
        <v>217206</v>
      </c>
      <c r="D19" s="287">
        <f>'NG transport'!C19+'NG Res'!C19+'NG Comm'!C19</f>
        <v>85271</v>
      </c>
      <c r="E19" s="290">
        <f t="shared" si="0"/>
        <v>131935</v>
      </c>
      <c r="F19" s="961">
        <f>E19*Assumptions!$C$48</f>
        <v>1001328172.4347299</v>
      </c>
      <c r="G19" s="961">
        <f>19608+52385</f>
        <v>71993</v>
      </c>
      <c r="H19" s="961">
        <f>G19*Assumptions!$C$48</f>
        <v>546394960.53430486</v>
      </c>
      <c r="I19" s="345">
        <f t="shared" si="1"/>
        <v>1547723132.9690347</v>
      </c>
      <c r="J19" s="391">
        <f>Assumptions!$H$3</f>
        <v>1.1863330000000001</v>
      </c>
      <c r="K19" s="33">
        <f>Assumptions!$C$46</f>
        <v>7.5895567698846396</v>
      </c>
      <c r="L19" s="1483">
        <f>Assumptions!$C$63</f>
        <v>27.295999999999999</v>
      </c>
      <c r="M19" s="384">
        <v>26.84</v>
      </c>
      <c r="N19" s="973">
        <f>M19*J19/L19</f>
        <v>1.166514424091442</v>
      </c>
      <c r="O19" s="434">
        <v>7.78</v>
      </c>
      <c r="P19" s="286">
        <f>O19*J19/L19</f>
        <v>0.33813272054513488</v>
      </c>
      <c r="Q19" s="325"/>
      <c r="R19" s="281">
        <f t="shared" si="9"/>
        <v>0</v>
      </c>
      <c r="S19" s="281">
        <f t="shared" si="10"/>
        <v>0</v>
      </c>
      <c r="T19" s="281">
        <f t="shared" si="11"/>
        <v>0</v>
      </c>
      <c r="U19" s="342">
        <f t="shared" si="12"/>
        <v>0</v>
      </c>
      <c r="V19" s="1053">
        <f t="shared" si="4"/>
        <v>0.33813272054513488</v>
      </c>
      <c r="W19" s="1047">
        <f t="shared" si="5"/>
        <v>523335833.60145921</v>
      </c>
      <c r="X19" s="268">
        <f t="shared" si="13"/>
        <v>0.33813272054513488</v>
      </c>
      <c r="Y19" s="366">
        <f t="shared" si="6"/>
        <v>523335833.60145921</v>
      </c>
      <c r="Z19" s="336">
        <f>-'OECD NG subsidies'!F174</f>
        <v>-249269498</v>
      </c>
      <c r="AA19" s="337">
        <f t="shared" si="7"/>
        <v>-295716631.37083399</v>
      </c>
      <c r="AB19" s="529">
        <f t="shared" si="8"/>
        <v>227619202.23062521</v>
      </c>
      <c r="AC19" s="281">
        <f t="shared" si="14"/>
        <v>1.5046471446365768</v>
      </c>
      <c r="AD19" s="342">
        <f t="shared" si="15"/>
        <v>2033060561.3390012</v>
      </c>
    </row>
    <row r="20" spans="1:30" x14ac:dyDescent="0.6">
      <c r="A20" s="46">
        <f t="shared" si="16"/>
        <v>16</v>
      </c>
      <c r="B20" s="44" t="s">
        <v>14</v>
      </c>
      <c r="C20" s="290">
        <v>493534</v>
      </c>
      <c r="D20" s="287">
        <f>'NG transport'!C20+'NG Res'!C20+'NG Comm'!C20</f>
        <v>243413</v>
      </c>
      <c r="E20" s="290">
        <f t="shared" si="0"/>
        <v>250121</v>
      </c>
      <c r="F20" s="961">
        <f>E20*Assumptions!$C$48</f>
        <v>1898307528.8403161</v>
      </c>
      <c r="G20" s="961">
        <v>57442</v>
      </c>
      <c r="H20" s="961">
        <f>G20*Assumptions!$C$48</f>
        <v>435959319.97571349</v>
      </c>
      <c r="I20" s="345">
        <f t="shared" si="1"/>
        <v>2334266848.8160295</v>
      </c>
      <c r="J20" s="391">
        <f>Assumptions!$H$18</f>
        <v>0.28262100000000001</v>
      </c>
      <c r="K20" s="33">
        <f>Assumptions!$C$46</f>
        <v>7.5895567698846396</v>
      </c>
      <c r="L20" s="1483">
        <f>Assumptions!$C$63</f>
        <v>27.295999999999999</v>
      </c>
      <c r="M20" s="420">
        <v>122.5</v>
      </c>
      <c r="N20" s="973">
        <f t="shared" ref="N20:N26" si="17">M20*J20/L20</f>
        <v>1.2683569936987107</v>
      </c>
      <c r="O20" s="431">
        <v>0.8</v>
      </c>
      <c r="P20" s="286">
        <f t="shared" ref="P20:P26" si="18">O20*J20/L20</f>
        <v>8.2831477139507625E-3</v>
      </c>
      <c r="Q20" s="325"/>
      <c r="R20" s="281">
        <f t="shared" si="9"/>
        <v>0</v>
      </c>
      <c r="S20" s="281">
        <f t="shared" si="10"/>
        <v>0</v>
      </c>
      <c r="T20" s="281">
        <f t="shared" si="11"/>
        <v>0</v>
      </c>
      <c r="U20" s="342">
        <f t="shared" si="12"/>
        <v>0</v>
      </c>
      <c r="V20" s="1053">
        <f t="shared" si="4"/>
        <v>8.2831477139507625E-3</v>
      </c>
      <c r="W20" s="1047">
        <f t="shared" si="5"/>
        <v>19335077.112521544</v>
      </c>
      <c r="X20" s="268">
        <f t="shared" si="13"/>
        <v>8.2831477139507625E-3</v>
      </c>
      <c r="Y20" s="366">
        <f t="shared" si="6"/>
        <v>19335077.112521544</v>
      </c>
      <c r="Z20" s="336">
        <f>-'OECD NG subsidies'!F177</f>
        <v>-75441984</v>
      </c>
      <c r="AA20" s="337">
        <f t="shared" si="7"/>
        <v>-21321488.960064001</v>
      </c>
      <c r="AB20" s="529">
        <f t="shared" si="8"/>
        <v>-1986411.8475424573</v>
      </c>
      <c r="AC20" s="281">
        <f t="shared" si="14"/>
        <v>1.2766401414126614</v>
      </c>
      <c r="AD20" s="342">
        <f t="shared" si="15"/>
        <v>2958697271.0073195</v>
      </c>
    </row>
    <row r="21" spans="1:30" x14ac:dyDescent="0.6">
      <c r="A21" s="46">
        <f t="shared" si="16"/>
        <v>17</v>
      </c>
      <c r="B21" s="44" t="s">
        <v>15</v>
      </c>
      <c r="C21" s="290">
        <v>76427</v>
      </c>
      <c r="D21" s="287">
        <f>'NG transport'!C21+'NG Res'!C21+'NG Comm'!C21</f>
        <v>23308</v>
      </c>
      <c r="E21" s="290">
        <f t="shared" si="0"/>
        <v>53119</v>
      </c>
      <c r="F21" s="961">
        <f>E21*Assumptions!$C$48</f>
        <v>403149666.05950218</v>
      </c>
      <c r="G21" s="961">
        <f>41708+55592</f>
        <v>97300</v>
      </c>
      <c r="H21" s="961">
        <f>G21*Assumptions!$C$48</f>
        <v>738463873.70977545</v>
      </c>
      <c r="I21" s="345">
        <f t="shared" si="1"/>
        <v>1141613539.7692776</v>
      </c>
      <c r="J21" s="391">
        <f>Assumptions!$H$3</f>
        <v>1.1863330000000001</v>
      </c>
      <c r="K21" s="33">
        <f>Assumptions!$C$46</f>
        <v>7.5895567698846396</v>
      </c>
      <c r="L21" s="1483">
        <f>Assumptions!$C$63</f>
        <v>27.295999999999999</v>
      </c>
      <c r="M21" s="384">
        <v>40.57</v>
      </c>
      <c r="N21" s="973">
        <f t="shared" si="17"/>
        <v>1.7632447908118407</v>
      </c>
      <c r="O21" s="427">
        <v>1.08</v>
      </c>
      <c r="P21" s="286">
        <f t="shared" si="18"/>
        <v>4.6938732415005867E-2</v>
      </c>
      <c r="Q21" s="325"/>
      <c r="R21" s="281">
        <f t="shared" si="9"/>
        <v>0</v>
      </c>
      <c r="S21" s="281">
        <f t="shared" si="10"/>
        <v>0</v>
      </c>
      <c r="T21" s="281">
        <f t="shared" si="11"/>
        <v>0</v>
      </c>
      <c r="U21" s="342">
        <f t="shared" si="12"/>
        <v>0</v>
      </c>
      <c r="V21" s="1053">
        <f t="shared" si="4"/>
        <v>4.6938732415005867E-2</v>
      </c>
      <c r="W21" s="1047">
        <f t="shared" si="5"/>
        <v>53585892.464577779</v>
      </c>
      <c r="X21" s="268">
        <f t="shared" si="13"/>
        <v>4.6938732415005867E-2</v>
      </c>
      <c r="Y21" s="366">
        <f t="shared" si="6"/>
        <v>53585892.464577779</v>
      </c>
      <c r="Z21" s="336">
        <f>-'OECD NG subsidies'!F182</f>
        <v>0</v>
      </c>
      <c r="AA21" s="337">
        <f t="shared" si="7"/>
        <v>0</v>
      </c>
      <c r="AB21" s="529">
        <f t="shared" si="8"/>
        <v>53585892.464577779</v>
      </c>
      <c r="AC21" s="281">
        <f t="shared" si="14"/>
        <v>1.8101835232268466</v>
      </c>
      <c r="AD21" s="342">
        <f t="shared" si="15"/>
        <v>2066530019.5830226</v>
      </c>
    </row>
    <row r="22" spans="1:30" x14ac:dyDescent="0.6">
      <c r="A22" s="46">
        <f t="shared" si="16"/>
        <v>18</v>
      </c>
      <c r="B22" s="44" t="s">
        <v>16</v>
      </c>
      <c r="C22" s="290">
        <v>26190</v>
      </c>
      <c r="D22" s="287">
        <f>'NG transport'!C22+'NG Res'!C22+'NG Comm'!C22</f>
        <v>7244</v>
      </c>
      <c r="E22" s="290">
        <f t="shared" si="0"/>
        <v>18946</v>
      </c>
      <c r="F22" s="961">
        <f>E22*Assumptions!$C$48</f>
        <v>143791742.56223437</v>
      </c>
      <c r="G22" s="961">
        <f>110+3478</f>
        <v>3588</v>
      </c>
      <c r="H22" s="961">
        <f>G22*Assumptions!$C$48</f>
        <v>27231329.690346088</v>
      </c>
      <c r="I22" s="345">
        <f t="shared" si="1"/>
        <v>171023072.25258046</v>
      </c>
      <c r="J22" s="391">
        <f>Assumptions!$H$3</f>
        <v>1.1863330000000001</v>
      </c>
      <c r="K22" s="33">
        <f>Assumptions!$C$46</f>
        <v>7.5895567698846396</v>
      </c>
      <c r="L22" s="1483">
        <f>Assumptions!$C$63</f>
        <v>27.295999999999999</v>
      </c>
      <c r="M22" s="384">
        <v>31.31</v>
      </c>
      <c r="N22" s="973">
        <f t="shared" si="17"/>
        <v>1.3607886221424386</v>
      </c>
      <c r="O22" s="427">
        <v>3.1</v>
      </c>
      <c r="P22" s="286">
        <f t="shared" si="18"/>
        <v>0.13473154674677609</v>
      </c>
      <c r="Q22" s="325"/>
      <c r="R22" s="281">
        <f t="shared" si="9"/>
        <v>0</v>
      </c>
      <c r="S22" s="281">
        <f t="shared" si="10"/>
        <v>0</v>
      </c>
      <c r="T22" s="281">
        <f t="shared" si="11"/>
        <v>0</v>
      </c>
      <c r="U22" s="342">
        <f t="shared" si="12"/>
        <v>0</v>
      </c>
      <c r="V22" s="1053">
        <f t="shared" si="4"/>
        <v>0.13473154674677609</v>
      </c>
      <c r="W22" s="1047">
        <f t="shared" si="5"/>
        <v>23042203.053975809</v>
      </c>
      <c r="X22" s="268">
        <f t="shared" si="13"/>
        <v>0.13473154674677609</v>
      </c>
      <c r="Y22" s="366">
        <f t="shared" si="6"/>
        <v>23042203.053975809</v>
      </c>
      <c r="Z22" s="336">
        <f>-'OECD NG subsidies'!F184</f>
        <v>-42311841</v>
      </c>
      <c r="AA22" s="337">
        <f t="shared" si="7"/>
        <v>-50195933.269053005</v>
      </c>
      <c r="AB22" s="529">
        <f t="shared" si="8"/>
        <v>-27153730.215077195</v>
      </c>
      <c r="AC22" s="281">
        <f t="shared" si="14"/>
        <v>1.4955201688892146</v>
      </c>
      <c r="AD22" s="342">
        <f t="shared" si="15"/>
        <v>205572520.63007846</v>
      </c>
    </row>
    <row r="23" spans="1:30" x14ac:dyDescent="0.6">
      <c r="A23" s="46">
        <f t="shared" si="16"/>
        <v>19</v>
      </c>
      <c r="B23" s="44" t="s">
        <v>17</v>
      </c>
      <c r="C23" s="290">
        <v>133337</v>
      </c>
      <c r="D23" s="287">
        <f>'NG transport'!C23+'NG Res'!C23+'NG Comm'!C23</f>
        <v>77637</v>
      </c>
      <c r="E23" s="290">
        <f t="shared" si="0"/>
        <v>55700</v>
      </c>
      <c r="F23" s="961">
        <f>E23*Assumptions!$C$48</f>
        <v>422738312.08257443</v>
      </c>
      <c r="G23" s="961">
        <f>3476+15903</f>
        <v>19379</v>
      </c>
      <c r="H23" s="961">
        <f>G23*Assumptions!$C$48</f>
        <v>147078020.64359444</v>
      </c>
      <c r="I23" s="345">
        <f t="shared" si="1"/>
        <v>569816332.72616887</v>
      </c>
      <c r="J23" s="391">
        <f>Assumptions!$H$3</f>
        <v>1.1863330000000001</v>
      </c>
      <c r="K23" s="33">
        <f>Assumptions!$C$46</f>
        <v>7.5895567698846396</v>
      </c>
      <c r="L23" s="1483">
        <f>Assumptions!$C$63</f>
        <v>27.295999999999999</v>
      </c>
      <c r="M23" s="384">
        <v>31.5</v>
      </c>
      <c r="N23" s="973">
        <f t="shared" si="17"/>
        <v>1.3690463621043376</v>
      </c>
      <c r="O23" s="427">
        <v>1.32</v>
      </c>
      <c r="P23" s="286">
        <f t="shared" si="18"/>
        <v>5.736956184056273E-2</v>
      </c>
      <c r="Q23" s="325"/>
      <c r="R23" s="281">
        <f t="shared" si="9"/>
        <v>0</v>
      </c>
      <c r="S23" s="281">
        <f t="shared" si="10"/>
        <v>0</v>
      </c>
      <c r="T23" s="281">
        <f t="shared" si="11"/>
        <v>0</v>
      </c>
      <c r="U23" s="342">
        <f t="shared" si="12"/>
        <v>0</v>
      </c>
      <c r="V23" s="1053">
        <f t="shared" si="4"/>
        <v>5.736956184056273E-2</v>
      </c>
      <c r="W23" s="1047">
        <f t="shared" si="5"/>
        <v>32690113.338096615</v>
      </c>
      <c r="X23" s="268">
        <f t="shared" si="13"/>
        <v>5.736956184056273E-2</v>
      </c>
      <c r="Y23" s="366">
        <f t="shared" si="6"/>
        <v>32690113.338096615</v>
      </c>
      <c r="Z23" s="336">
        <f>-'OECD NG subsidies'!F188</f>
        <v>-11665600.25</v>
      </c>
      <c r="AA23" s="337">
        <f t="shared" si="7"/>
        <v>-13839286.541383252</v>
      </c>
      <c r="AB23" s="529">
        <f t="shared" si="8"/>
        <v>18850826.796713363</v>
      </c>
      <c r="AC23" s="281">
        <f t="shared" si="14"/>
        <v>1.4264159239449004</v>
      </c>
      <c r="AD23" s="342">
        <f t="shared" si="15"/>
        <v>798955804.18310964</v>
      </c>
    </row>
    <row r="24" spans="1:30" x14ac:dyDescent="0.6">
      <c r="A24" s="46">
        <f t="shared" si="16"/>
        <v>20</v>
      </c>
      <c r="B24" s="44" t="s">
        <v>18</v>
      </c>
      <c r="C24" s="290">
        <v>29550</v>
      </c>
      <c r="D24" s="287">
        <f>'NG transport'!C24+'NG Res'!C24+'NG Comm'!C24</f>
        <v>2835</v>
      </c>
      <c r="E24" s="290">
        <f t="shared" si="0"/>
        <v>26715</v>
      </c>
      <c r="F24" s="961">
        <f>E24*Assumptions!$C$48</f>
        <v>202755009.10746816</v>
      </c>
      <c r="G24" s="961">
        <f>394+42442</f>
        <v>42836</v>
      </c>
      <c r="H24" s="961">
        <f>G24*Assumptions!$C$48</f>
        <v>325106253.79477841</v>
      </c>
      <c r="I24" s="345">
        <f t="shared" si="1"/>
        <v>527861262.90224659</v>
      </c>
      <c r="J24" s="391">
        <f>Assumptions!$H$3</f>
        <v>1.1863330000000001</v>
      </c>
      <c r="K24" s="33">
        <f>Assumptions!$C$46</f>
        <v>7.5895567698846396</v>
      </c>
      <c r="L24" s="1483">
        <f>Assumptions!$C$63</f>
        <v>27.295999999999999</v>
      </c>
      <c r="M24" s="384">
        <v>22.95</v>
      </c>
      <c r="N24" s="973">
        <f t="shared" si="17"/>
        <v>0.99744806381887452</v>
      </c>
      <c r="O24" s="434">
        <v>13.91</v>
      </c>
      <c r="P24" s="286">
        <f t="shared" si="18"/>
        <v>0.60455348878956627</v>
      </c>
      <c r="Q24" s="325"/>
      <c r="R24" s="281">
        <f t="shared" si="9"/>
        <v>0</v>
      </c>
      <c r="S24" s="281">
        <f t="shared" si="10"/>
        <v>0</v>
      </c>
      <c r="T24" s="281">
        <f t="shared" si="11"/>
        <v>0</v>
      </c>
      <c r="U24" s="342">
        <f t="shared" si="12"/>
        <v>0</v>
      </c>
      <c r="V24" s="1053">
        <f t="shared" si="4"/>
        <v>0.60455348878956627</v>
      </c>
      <c r="W24" s="1047">
        <f t="shared" si="5"/>
        <v>319120368.08441961</v>
      </c>
      <c r="X24" s="268">
        <f t="shared" si="13"/>
        <v>0.60455348878956627</v>
      </c>
      <c r="Y24" s="366">
        <f t="shared" si="6"/>
        <v>319120368.08441961</v>
      </c>
      <c r="Z24" s="336">
        <f>-'OECD NG subsidies'!F190</f>
        <v>-184094486</v>
      </c>
      <c r="AA24" s="337">
        <f t="shared" si="7"/>
        <v>-218397363.85983801</v>
      </c>
      <c r="AB24" s="529">
        <f t="shared" si="8"/>
        <v>100723004.2245816</v>
      </c>
      <c r="AC24" s="281">
        <f t="shared" si="14"/>
        <v>1.6020015526084408</v>
      </c>
      <c r="AD24" s="342">
        <f t="shared" si="15"/>
        <v>627237198.87141335</v>
      </c>
    </row>
    <row r="25" spans="1:30" x14ac:dyDescent="0.6">
      <c r="A25" s="46">
        <f t="shared" si="16"/>
        <v>21</v>
      </c>
      <c r="B25" s="44" t="s">
        <v>19</v>
      </c>
      <c r="C25" s="290">
        <v>30999</v>
      </c>
      <c r="D25" s="287">
        <f>'NG transport'!C25+'NG Res'!C25+'NG Comm'!C25</f>
        <v>7294</v>
      </c>
      <c r="E25" s="290">
        <f t="shared" si="0"/>
        <v>23705</v>
      </c>
      <c r="F25" s="961">
        <f>E25*Assumptions!$C$48</f>
        <v>179910443.23011538</v>
      </c>
      <c r="G25" s="961">
        <v>8082</v>
      </c>
      <c r="H25" s="961">
        <f>G25*Assumptions!$C$48</f>
        <v>61338797.814207658</v>
      </c>
      <c r="I25" s="345">
        <f t="shared" si="1"/>
        <v>241249241.04432303</v>
      </c>
      <c r="J25" s="391">
        <f>Assumptions!$H$19</f>
        <v>0.119739</v>
      </c>
      <c r="K25" s="33">
        <f>Assumptions!$C$46</f>
        <v>7.5895567698846396</v>
      </c>
      <c r="L25" s="1483">
        <f>Assumptions!$C$63</f>
        <v>27.295999999999999</v>
      </c>
      <c r="M25" s="425">
        <v>309.3</v>
      </c>
      <c r="N25" s="973">
        <f t="shared" si="17"/>
        <v>1.3568021944607269</v>
      </c>
      <c r="O25" s="432">
        <v>82.3</v>
      </c>
      <c r="P25" s="286">
        <f t="shared" si="18"/>
        <v>0.36102431491793668</v>
      </c>
      <c r="Q25" s="325"/>
      <c r="R25" s="281">
        <f t="shared" si="9"/>
        <v>0</v>
      </c>
      <c r="S25" s="281">
        <f t="shared" si="10"/>
        <v>0</v>
      </c>
      <c r="T25" s="281">
        <f t="shared" si="11"/>
        <v>0</v>
      </c>
      <c r="U25" s="342">
        <f t="shared" si="12"/>
        <v>0</v>
      </c>
      <c r="V25" s="1053">
        <f t="shared" si="4"/>
        <v>0.36102431491793668</v>
      </c>
      <c r="W25" s="1047">
        <f t="shared" si="5"/>
        <v>87096841.972498894</v>
      </c>
      <c r="X25" s="268">
        <f t="shared" si="13"/>
        <v>0.36102431491793668</v>
      </c>
      <c r="Y25" s="366">
        <f t="shared" si="6"/>
        <v>87096841.972498894</v>
      </c>
      <c r="Z25" s="336">
        <f>-'OECD NG subsidies'!F195</f>
        <v>-525948517</v>
      </c>
      <c r="AA25" s="337">
        <f t="shared" si="7"/>
        <v>-62976549.477063</v>
      </c>
      <c r="AB25" s="529">
        <f t="shared" si="8"/>
        <v>24120292.495435894</v>
      </c>
      <c r="AC25" s="281">
        <f t="shared" si="14"/>
        <v>1.7178265093786635</v>
      </c>
      <c r="AD25" s="342">
        <f t="shared" si="15"/>
        <v>351447792.15635824</v>
      </c>
    </row>
    <row r="26" spans="1:30" ht="15.9" thickBot="1" x14ac:dyDescent="0.65">
      <c r="A26" s="15">
        <f t="shared" si="16"/>
        <v>22</v>
      </c>
      <c r="B26" s="47" t="s">
        <v>20</v>
      </c>
      <c r="C26" s="291">
        <v>1765152</v>
      </c>
      <c r="D26" s="289">
        <f>'NG transport'!C26+'NG Res'!C26+'NG Comm'!C26</f>
        <v>1366448</v>
      </c>
      <c r="E26" s="291">
        <f t="shared" si="0"/>
        <v>398704</v>
      </c>
      <c r="F26" s="962">
        <f>E26*Assumptions!$C$48</f>
        <v>3025986642.3800855</v>
      </c>
      <c r="G26" s="962">
        <f>656064+110826</f>
        <v>766890</v>
      </c>
      <c r="H26" s="962">
        <f>G26*Assumptions!$C$48</f>
        <v>5820355191.2568312</v>
      </c>
      <c r="I26" s="347">
        <f t="shared" si="1"/>
        <v>8846341833.6369171</v>
      </c>
      <c r="J26" s="419">
        <f>Assumptions!$H$20</f>
        <v>1.337591</v>
      </c>
      <c r="K26" s="36">
        <f>Assumptions!$C$46</f>
        <v>7.5895567698846396</v>
      </c>
      <c r="L26" s="1485">
        <f>Assumptions!$C$63</f>
        <v>27.295999999999999</v>
      </c>
      <c r="M26" s="421">
        <v>21.05</v>
      </c>
      <c r="N26" s="976">
        <f t="shared" si="17"/>
        <v>1.0315170922479484</v>
      </c>
      <c r="O26" s="1489">
        <v>0.48</v>
      </c>
      <c r="P26" s="308">
        <f t="shared" si="18"/>
        <v>2.3521529894490037E-2</v>
      </c>
      <c r="Q26" s="376"/>
      <c r="R26" s="318">
        <f t="shared" si="9"/>
        <v>0</v>
      </c>
      <c r="S26" s="318">
        <f t="shared" si="10"/>
        <v>0</v>
      </c>
      <c r="T26" s="318">
        <f t="shared" si="11"/>
        <v>0</v>
      </c>
      <c r="U26" s="344">
        <f t="shared" si="12"/>
        <v>0</v>
      </c>
      <c r="V26" s="1054">
        <f t="shared" si="4"/>
        <v>2.3521529894490037E-2</v>
      </c>
      <c r="W26" s="1048">
        <f t="shared" si="5"/>
        <v>208079493.89676854</v>
      </c>
      <c r="X26" s="269">
        <f t="shared" si="13"/>
        <v>2.3521529894490037E-2</v>
      </c>
      <c r="Y26" s="368">
        <f t="shared" si="6"/>
        <v>208079493.89676854</v>
      </c>
      <c r="Z26" s="340">
        <f>-'OECD NG subsidies'!F208</f>
        <v>-3922406810.5</v>
      </c>
      <c r="AA26" s="341">
        <f t="shared" si="7"/>
        <v>-5246576048.0635052</v>
      </c>
      <c r="AB26" s="531">
        <f t="shared" si="8"/>
        <v>-5038496554.1667366</v>
      </c>
      <c r="AC26" s="318">
        <f t="shared" si="14"/>
        <v>1.0550386221424384</v>
      </c>
      <c r="AD26" s="344">
        <f t="shared" si="15"/>
        <v>4086656251.0977993</v>
      </c>
    </row>
    <row r="27" spans="1:30" ht="15.9" thickTop="1" x14ac:dyDescent="0.6">
      <c r="A27" s="48" t="s">
        <v>36</v>
      </c>
      <c r="B27" s="44"/>
      <c r="C27" s="290"/>
      <c r="D27" s="287"/>
      <c r="E27" s="290"/>
      <c r="F27" s="961"/>
      <c r="G27" s="961"/>
      <c r="H27" s="961"/>
      <c r="I27" s="345"/>
      <c r="J27" s="399"/>
      <c r="K27" s="33"/>
      <c r="L27" s="1483"/>
      <c r="M27" s="383"/>
      <c r="N27" s="973"/>
      <c r="O27" s="457"/>
      <c r="P27" s="306"/>
      <c r="Q27" s="322"/>
      <c r="R27" s="320">
        <f t="shared" si="9"/>
        <v>0</v>
      </c>
      <c r="S27" s="320">
        <f t="shared" si="10"/>
        <v>0</v>
      </c>
      <c r="T27" s="320">
        <f t="shared" si="11"/>
        <v>0</v>
      </c>
      <c r="U27" s="847">
        <f t="shared" si="12"/>
        <v>0</v>
      </c>
      <c r="V27" s="1053"/>
      <c r="W27" s="1047"/>
      <c r="X27" s="310"/>
      <c r="Y27" s="366"/>
      <c r="Z27" s="336"/>
      <c r="AA27" s="337"/>
      <c r="AB27" s="529"/>
      <c r="AC27" s="320"/>
      <c r="AD27" s="342"/>
    </row>
    <row r="28" spans="1:30" x14ac:dyDescent="0.6">
      <c r="A28" s="61">
        <f>A26+1</f>
        <v>23</v>
      </c>
      <c r="B28" s="44" t="s">
        <v>38</v>
      </c>
      <c r="C28" s="290">
        <v>2200308</v>
      </c>
      <c r="D28" s="287">
        <f>'NG transport'!C28+'NG Res'!C28+'NG Comm'!C28</f>
        <v>1364219</v>
      </c>
      <c r="E28" s="290">
        <f t="shared" si="0"/>
        <v>836089</v>
      </c>
      <c r="F28" s="961">
        <f>E28*Assumptions!$C$48</f>
        <v>6345544930.1760788</v>
      </c>
      <c r="G28" s="961">
        <f>529226+149264</f>
        <v>678490</v>
      </c>
      <c r="H28" s="961">
        <f>G28*Assumptions!$C$48</f>
        <v>5149438372.7990294</v>
      </c>
      <c r="I28" s="345">
        <f t="shared" si="1"/>
        <v>11494983302.975109</v>
      </c>
      <c r="J28" s="399">
        <f>Assumptions!$H$4</f>
        <v>0.78824099999999997</v>
      </c>
      <c r="K28" s="33">
        <f>Assumptions!$C$46</f>
        <v>7.5895567698846396</v>
      </c>
      <c r="L28" s="1483">
        <f>Assumptions!$C$63</f>
        <v>27.295999999999999</v>
      </c>
      <c r="M28" s="441">
        <v>11.81</v>
      </c>
      <c r="N28" s="973">
        <f t="shared" ref="N28:N34" si="19">M28*J28/L28</f>
        <v>0.34104360382473625</v>
      </c>
      <c r="O28" s="447">
        <v>0</v>
      </c>
      <c r="P28" s="306">
        <f t="shared" ref="P28:P34" si="20">O28*J28/L28</f>
        <v>0</v>
      </c>
      <c r="Q28" s="322"/>
      <c r="R28" s="320">
        <f t="shared" si="9"/>
        <v>0</v>
      </c>
      <c r="S28" s="320">
        <f t="shared" si="10"/>
        <v>0</v>
      </c>
      <c r="T28" s="320">
        <f t="shared" si="11"/>
        <v>0</v>
      </c>
      <c r="U28" s="847">
        <f t="shared" si="12"/>
        <v>0</v>
      </c>
      <c r="V28" s="1053">
        <f t="shared" si="4"/>
        <v>0</v>
      </c>
      <c r="W28" s="1047">
        <f t="shared" si="5"/>
        <v>0</v>
      </c>
      <c r="X28" s="310">
        <f t="shared" si="13"/>
        <v>0</v>
      </c>
      <c r="Y28" s="366">
        <f t="shared" ref="Y28:Y34" si="21">I28*X28</f>
        <v>0</v>
      </c>
      <c r="Z28" s="336">
        <f>-'OECD NG subsidies'!F230</f>
        <v>-704831547</v>
      </c>
      <c r="AA28" s="337">
        <f t="shared" si="7"/>
        <v>-555577123.43882704</v>
      </c>
      <c r="AB28" s="529">
        <f t="shared" ref="AB28:AB34" si="22">Y28+AA28</f>
        <v>-555577123.43882704</v>
      </c>
      <c r="AC28" s="320">
        <f t="shared" si="14"/>
        <v>0.34104360382473625</v>
      </c>
      <c r="AD28" s="342">
        <f t="shared" si="15"/>
        <v>3364713408.1129742</v>
      </c>
    </row>
    <row r="29" spans="1:30" x14ac:dyDescent="0.6">
      <c r="A29" s="61">
        <f t="shared" ref="A29:A34" si="23">A28+1</f>
        <v>24</v>
      </c>
      <c r="B29" s="44" t="s">
        <v>39</v>
      </c>
      <c r="C29" s="290">
        <v>44984</v>
      </c>
      <c r="D29" s="287">
        <f>'NG transport'!C29+'NG Res'!C29+'NG Comm'!C29</f>
        <v>6455</v>
      </c>
      <c r="E29" s="290">
        <f t="shared" si="0"/>
        <v>38529</v>
      </c>
      <c r="F29" s="961">
        <f>E29*Assumptions!$C$48</f>
        <v>292418032.78688526</v>
      </c>
      <c r="G29" s="961">
        <v>17174</v>
      </c>
      <c r="H29" s="961">
        <f>G29*Assumptions!$C$48</f>
        <v>130343047.9659988</v>
      </c>
      <c r="I29" s="345">
        <f t="shared" si="1"/>
        <v>422761080.75288403</v>
      </c>
      <c r="J29" s="399">
        <f>Assumptions!$H$5</f>
        <v>0.12035</v>
      </c>
      <c r="K29" s="33">
        <f>Assumptions!$C$46</f>
        <v>7.5895567698846396</v>
      </c>
      <c r="L29" s="1483">
        <f>Assumptions!$C$63</f>
        <v>27.295999999999999</v>
      </c>
      <c r="M29" s="442"/>
      <c r="N29" s="1439">
        <f>Assumptions!$C$104</f>
        <v>1.5</v>
      </c>
      <c r="O29" s="448">
        <f>O71+K96</f>
        <v>0.19629040330399999</v>
      </c>
      <c r="P29" s="306">
        <f>O29*J29</f>
        <v>2.3623550037636398E-2</v>
      </c>
      <c r="Q29" s="322"/>
      <c r="R29" s="320">
        <f t="shared" si="9"/>
        <v>0</v>
      </c>
      <c r="S29" s="320">
        <f t="shared" si="10"/>
        <v>0</v>
      </c>
      <c r="T29" s="320">
        <f t="shared" si="11"/>
        <v>0</v>
      </c>
      <c r="U29" s="847">
        <f t="shared" si="12"/>
        <v>0</v>
      </c>
      <c r="V29" s="1053">
        <f t="shared" si="4"/>
        <v>2.3623550037636398E-2</v>
      </c>
      <c r="W29" s="1047">
        <f t="shared" si="5"/>
        <v>9987117.5451309979</v>
      </c>
      <c r="X29" s="310">
        <f t="shared" si="13"/>
        <v>2.3623550037636398E-2</v>
      </c>
      <c r="Y29" s="366">
        <f t="shared" si="21"/>
        <v>9987117.5451309979</v>
      </c>
      <c r="Z29" s="336">
        <f>-'OECD NG subsidies'!F264</f>
        <v>-10353342400</v>
      </c>
      <c r="AA29" s="337">
        <f t="shared" si="7"/>
        <v>-1246024757.8399999</v>
      </c>
      <c r="AB29" s="529">
        <f t="shared" si="22"/>
        <v>-1236037640.2948689</v>
      </c>
      <c r="AC29" s="320">
        <f t="shared" si="14"/>
        <v>1.5236235500376365</v>
      </c>
      <c r="AD29" s="342">
        <f t="shared" si="15"/>
        <v>-601896019.16554284</v>
      </c>
    </row>
    <row r="30" spans="1:30" x14ac:dyDescent="0.6">
      <c r="A30" s="61">
        <f t="shared" si="23"/>
        <v>25</v>
      </c>
      <c r="B30" s="44" t="s">
        <v>40</v>
      </c>
      <c r="C30" s="290">
        <v>124398</v>
      </c>
      <c r="D30" s="287">
        <f>'NG transport'!C30+'NG Res'!C30+'NG Comm'!C30</f>
        <v>80611</v>
      </c>
      <c r="E30" s="290">
        <f t="shared" si="0"/>
        <v>43787</v>
      </c>
      <c r="F30" s="961">
        <f>E30*Assumptions!$C$48</f>
        <v>332323922.28293872</v>
      </c>
      <c r="G30" s="961">
        <v>4639</v>
      </c>
      <c r="H30" s="961">
        <f>G30*Assumptions!$C$48</f>
        <v>35207953.855494842</v>
      </c>
      <c r="I30" s="345">
        <f t="shared" si="1"/>
        <v>367531876.13843358</v>
      </c>
      <c r="J30" s="399">
        <f>Assumptions!$H$6</f>
        <v>1.010632</v>
      </c>
      <c r="K30" s="33">
        <f>Assumptions!$C$46</f>
        <v>7.5895567698846396</v>
      </c>
      <c r="L30" s="1483">
        <f>Assumptions!$C$63</f>
        <v>27.295999999999999</v>
      </c>
      <c r="M30" s="1487">
        <v>52.99</v>
      </c>
      <c r="N30" s="973">
        <f t="shared" si="19"/>
        <v>1.9619500908558032</v>
      </c>
      <c r="O30" s="1488">
        <v>11.08</v>
      </c>
      <c r="P30" s="306">
        <f t="shared" si="20"/>
        <v>0.41023602579132473</v>
      </c>
      <c r="Q30" s="322"/>
      <c r="R30" s="320">
        <f t="shared" si="9"/>
        <v>0</v>
      </c>
      <c r="S30" s="320">
        <f t="shared" si="10"/>
        <v>0</v>
      </c>
      <c r="T30" s="320">
        <f t="shared" si="11"/>
        <v>0</v>
      </c>
      <c r="U30" s="847">
        <f t="shared" si="12"/>
        <v>0</v>
      </c>
      <c r="V30" s="1053">
        <f t="shared" si="4"/>
        <v>0.41023602579132473</v>
      </c>
      <c r="W30" s="1047">
        <f t="shared" si="5"/>
        <v>150774816.21866041</v>
      </c>
      <c r="X30" s="310">
        <f t="shared" si="13"/>
        <v>0.41023602579132473</v>
      </c>
      <c r="Y30" s="366">
        <f t="shared" si="21"/>
        <v>150774816.21866041</v>
      </c>
      <c r="Z30" s="336">
        <f>-'OECD NG subsidies'!F275</f>
        <v>-131374872</v>
      </c>
      <c r="AA30" s="337">
        <f t="shared" si="7"/>
        <v>-132771649.63910399</v>
      </c>
      <c r="AB30" s="529">
        <f t="shared" si="22"/>
        <v>18003166.57955642</v>
      </c>
      <c r="AC30" s="320">
        <f t="shared" si="14"/>
        <v>2.3721861166471281</v>
      </c>
      <c r="AD30" s="342">
        <f t="shared" si="15"/>
        <v>739082364.36176002</v>
      </c>
    </row>
    <row r="31" spans="1:30" x14ac:dyDescent="0.6">
      <c r="A31" s="61">
        <f t="shared" si="23"/>
        <v>26</v>
      </c>
      <c r="B31" s="44" t="s">
        <v>31</v>
      </c>
      <c r="C31" s="290">
        <v>1370620</v>
      </c>
      <c r="D31" s="287">
        <f>'NG transport'!C31+'NG Res'!C31+'NG Comm'!C31</f>
        <v>838773</v>
      </c>
      <c r="E31" s="290">
        <f t="shared" si="0"/>
        <v>531847</v>
      </c>
      <c r="F31" s="961">
        <f>E31*Assumptions!$C$48</f>
        <v>4036482999.3928361</v>
      </c>
      <c r="G31" s="961">
        <f>3339643</f>
        <v>3339643</v>
      </c>
      <c r="H31" s="961">
        <f>G31*Assumptions!$C$48</f>
        <v>25346410139.64785</v>
      </c>
      <c r="I31" s="345">
        <f t="shared" si="1"/>
        <v>29382893139.040688</v>
      </c>
      <c r="J31" s="399">
        <f>Assumptions!$H$7</f>
        <v>8.829E-3</v>
      </c>
      <c r="K31" s="33">
        <f>Assumptions!$C$46</f>
        <v>7.5895567698846396</v>
      </c>
      <c r="L31" s="1483">
        <f>Assumptions!$C$63</f>
        <v>27.295999999999999</v>
      </c>
      <c r="M31" s="444">
        <v>7081</v>
      </c>
      <c r="N31" s="983">
        <f t="shared" si="19"/>
        <v>2.2903776743845254</v>
      </c>
      <c r="O31" s="450"/>
      <c r="P31" s="306">
        <f t="shared" si="20"/>
        <v>0</v>
      </c>
      <c r="Q31" s="322"/>
      <c r="R31" s="320">
        <f t="shared" si="9"/>
        <v>0</v>
      </c>
      <c r="S31" s="320">
        <f t="shared" si="10"/>
        <v>0</v>
      </c>
      <c r="T31" s="320">
        <f t="shared" si="11"/>
        <v>0</v>
      </c>
      <c r="U31" s="847">
        <f t="shared" si="12"/>
        <v>0</v>
      </c>
      <c r="V31" s="1053">
        <f t="shared" si="4"/>
        <v>0</v>
      </c>
      <c r="W31" s="1047">
        <f t="shared" si="5"/>
        <v>0</v>
      </c>
      <c r="X31" s="310">
        <f t="shared" si="13"/>
        <v>0</v>
      </c>
      <c r="Y31" s="366">
        <f t="shared" si="21"/>
        <v>0</v>
      </c>
      <c r="Z31" s="336">
        <f>-'OECD NG subsidies'!F282</f>
        <v>-139685445905</v>
      </c>
      <c r="AA31" s="337">
        <f t="shared" si="7"/>
        <v>-1233282801.8952451</v>
      </c>
      <c r="AB31" s="529">
        <f t="shared" si="22"/>
        <v>-1233282801.8952451</v>
      </c>
      <c r="AC31" s="320">
        <f t="shared" si="14"/>
        <v>2.2903776743845254</v>
      </c>
      <c r="AD31" s="342">
        <f t="shared" si="15"/>
        <v>66064639652.58979</v>
      </c>
    </row>
    <row r="32" spans="1:30" x14ac:dyDescent="0.6">
      <c r="A32" s="61">
        <f t="shared" si="23"/>
        <v>27</v>
      </c>
      <c r="B32" s="44" t="s">
        <v>47</v>
      </c>
      <c r="C32" s="290">
        <v>953826</v>
      </c>
      <c r="D32" s="287">
        <f>'NG transport'!C32+'NG Res'!C32+'NG Comm'!C32</f>
        <v>608838</v>
      </c>
      <c r="E32" s="290">
        <f t="shared" si="0"/>
        <v>344988</v>
      </c>
      <c r="F32" s="961">
        <f>E32*Assumptions!$C$48</f>
        <v>2618306010.9289622</v>
      </c>
      <c r="G32" s="961">
        <f>641929+247820</f>
        <v>889749</v>
      </c>
      <c r="H32" s="961">
        <f>G32*Assumptions!$C$48</f>
        <v>6752800546.4480886</v>
      </c>
      <c r="I32" s="345">
        <f t="shared" si="1"/>
        <v>9371106557.3770504</v>
      </c>
      <c r="J32" s="399">
        <f>Assumptions!$H$8</f>
        <v>9.3000000000000005E-4</v>
      </c>
      <c r="K32" s="33">
        <f>Assumptions!$C$46</f>
        <v>7.5895567698846396</v>
      </c>
      <c r="L32" s="1483">
        <f>Assumptions!$C$63</f>
        <v>27.295999999999999</v>
      </c>
      <c r="M32" s="446"/>
      <c r="N32" s="1439">
        <f>Assumptions!$C$104</f>
        <v>1.5</v>
      </c>
      <c r="O32" s="451"/>
      <c r="P32" s="306">
        <f t="shared" si="20"/>
        <v>0</v>
      </c>
      <c r="Q32" s="322"/>
      <c r="R32" s="320">
        <f t="shared" si="9"/>
        <v>0</v>
      </c>
      <c r="S32" s="320">
        <f t="shared" si="10"/>
        <v>0</v>
      </c>
      <c r="T32" s="320">
        <f t="shared" si="11"/>
        <v>0</v>
      </c>
      <c r="U32" s="847">
        <f t="shared" si="12"/>
        <v>0</v>
      </c>
      <c r="V32" s="1053">
        <f t="shared" si="4"/>
        <v>0</v>
      </c>
      <c r="W32" s="1047">
        <f t="shared" si="5"/>
        <v>0</v>
      </c>
      <c r="X32" s="310">
        <f t="shared" si="13"/>
        <v>0</v>
      </c>
      <c r="Y32" s="366">
        <f t="shared" si="21"/>
        <v>0</v>
      </c>
      <c r="Z32" s="336">
        <f>-'OECD NG subsidies'!F296</f>
        <v>-25447900000</v>
      </c>
      <c r="AA32" s="337">
        <f t="shared" si="7"/>
        <v>-23666547</v>
      </c>
      <c r="AB32" s="529">
        <f t="shared" si="22"/>
        <v>-23666547</v>
      </c>
      <c r="AC32" s="320">
        <f t="shared" si="14"/>
        <v>1.5</v>
      </c>
      <c r="AD32" s="342">
        <f t="shared" si="15"/>
        <v>14032993289.065575</v>
      </c>
    </row>
    <row r="33" spans="1:30" x14ac:dyDescent="0.6">
      <c r="A33" s="61">
        <f t="shared" si="23"/>
        <v>28</v>
      </c>
      <c r="B33" s="44" t="s">
        <v>32</v>
      </c>
      <c r="C33" s="290">
        <v>628755</v>
      </c>
      <c r="D33" s="287">
        <f>'NG transport'!C33+'NG Res'!C33+'NG Comm'!C33</f>
        <v>231188</v>
      </c>
      <c r="E33" s="290">
        <f t="shared" si="0"/>
        <v>397567</v>
      </c>
      <c r="F33" s="961">
        <f>E33*Assumptions!$C$48</f>
        <v>3017357316.3327265</v>
      </c>
      <c r="G33" s="961">
        <f>456482+96540</f>
        <v>553022</v>
      </c>
      <c r="H33" s="961">
        <f>G33*Assumptions!$C$48</f>
        <v>4197191863.9951434</v>
      </c>
      <c r="I33" s="345">
        <f t="shared" si="1"/>
        <v>7214549180.3278694</v>
      </c>
      <c r="J33" s="399">
        <f>Assumptions!$H$9</f>
        <v>0.77382200000000001</v>
      </c>
      <c r="K33" s="33">
        <f>Assumptions!$C$46</f>
        <v>7.5895567698846396</v>
      </c>
      <c r="L33" s="1483">
        <f>Assumptions!$C$63</f>
        <v>27.295999999999999</v>
      </c>
      <c r="M33" s="389">
        <v>8.5</v>
      </c>
      <c r="N33" s="983">
        <f>M33*J33/K33</f>
        <v>0.8666496871199999</v>
      </c>
      <c r="O33" s="452">
        <v>8.2000000000000003E-2</v>
      </c>
      <c r="P33" s="306">
        <f>O33*J33/K33</f>
        <v>8.3606205110399994E-3</v>
      </c>
      <c r="Q33" s="322"/>
      <c r="R33" s="320">
        <f t="shared" si="9"/>
        <v>0</v>
      </c>
      <c r="S33" s="320">
        <f t="shared" si="10"/>
        <v>0</v>
      </c>
      <c r="T33" s="320">
        <f t="shared" si="11"/>
        <v>0</v>
      </c>
      <c r="U33" s="847">
        <f t="shared" si="12"/>
        <v>0</v>
      </c>
      <c r="V33" s="1053">
        <f t="shared" si="4"/>
        <v>8.3606205110399994E-3</v>
      </c>
      <c r="W33" s="1047">
        <f t="shared" si="5"/>
        <v>60318107.854956001</v>
      </c>
      <c r="X33" s="310">
        <f t="shared" si="13"/>
        <v>8.3606205110399994E-3</v>
      </c>
      <c r="Y33" s="366">
        <f t="shared" si="21"/>
        <v>60318107.854956001</v>
      </c>
      <c r="Z33" s="336">
        <f>-'OECD NG subsidies'!F298</f>
        <v>-7028393</v>
      </c>
      <c r="AA33" s="337">
        <f t="shared" si="7"/>
        <v>-5438725.1280460004</v>
      </c>
      <c r="AB33" s="529">
        <f t="shared" si="22"/>
        <v>54879382.726910003</v>
      </c>
      <c r="AC33" s="320">
        <f t="shared" si="14"/>
        <v>0.87501030763103993</v>
      </c>
      <c r="AD33" s="342">
        <f t="shared" si="15"/>
        <v>6307366172.56991</v>
      </c>
    </row>
    <row r="34" spans="1:30" ht="15.9" thickBot="1" x14ac:dyDescent="0.65">
      <c r="A34" s="62">
        <f t="shared" si="23"/>
        <v>29</v>
      </c>
      <c r="B34" s="47" t="s">
        <v>33</v>
      </c>
      <c r="C34" s="291">
        <v>125197</v>
      </c>
      <c r="D34" s="289">
        <f>'NG transport'!C34+'NG Res'!C34+'NG Comm'!C34</f>
        <v>15648</v>
      </c>
      <c r="E34" s="291">
        <f t="shared" si="0"/>
        <v>109549</v>
      </c>
      <c r="F34" s="962">
        <f>E34*Assumptions!$C$48</f>
        <v>831428354.58409238</v>
      </c>
      <c r="G34" s="962">
        <f>41220+15222</f>
        <v>56442</v>
      </c>
      <c r="H34" s="962">
        <f>G34*Assumptions!$C$48</f>
        <v>428369763.20582885</v>
      </c>
      <c r="I34" s="347">
        <f t="shared" si="1"/>
        <v>1259798117.7899213</v>
      </c>
      <c r="J34" s="417">
        <f>Assumptions!$H$10</f>
        <v>0.70460400000000001</v>
      </c>
      <c r="K34" s="36">
        <f>Assumptions!$C$46</f>
        <v>7.5895567698846396</v>
      </c>
      <c r="L34" s="1485">
        <f>Assumptions!$C$63</f>
        <v>27.295999999999999</v>
      </c>
      <c r="M34" s="445">
        <v>24.37</v>
      </c>
      <c r="N34" s="976">
        <f t="shared" si="19"/>
        <v>0.62907383792497074</v>
      </c>
      <c r="O34" s="453">
        <v>1.74</v>
      </c>
      <c r="P34" s="309">
        <f t="shared" si="20"/>
        <v>4.4915407385697541E-2</v>
      </c>
      <c r="Q34" s="359"/>
      <c r="R34" s="321">
        <f t="shared" si="9"/>
        <v>0</v>
      </c>
      <c r="S34" s="321">
        <f t="shared" si="10"/>
        <v>0</v>
      </c>
      <c r="T34" s="321">
        <f t="shared" si="11"/>
        <v>0</v>
      </c>
      <c r="U34" s="848">
        <f t="shared" si="12"/>
        <v>0</v>
      </c>
      <c r="V34" s="1054">
        <f t="shared" si="4"/>
        <v>4.4915407385697541E-2</v>
      </c>
      <c r="W34" s="1048">
        <f t="shared" si="5"/>
        <v>56584345.684269294</v>
      </c>
      <c r="X34" s="312">
        <f t="shared" si="13"/>
        <v>4.4915407385697541E-2</v>
      </c>
      <c r="Y34" s="368">
        <f t="shared" si="21"/>
        <v>56584345.684269294</v>
      </c>
      <c r="Z34" s="340">
        <f>-'OECD NG subsidies'!F330</f>
        <v>0</v>
      </c>
      <c r="AA34" s="341">
        <f t="shared" si="7"/>
        <v>0</v>
      </c>
      <c r="AB34" s="531">
        <f t="shared" si="22"/>
        <v>56584345.684269294</v>
      </c>
      <c r="AC34" s="321">
        <f t="shared" si="14"/>
        <v>0.67398924531066828</v>
      </c>
      <c r="AD34" s="344">
        <f t="shared" si="15"/>
        <v>849090382.65302944</v>
      </c>
    </row>
    <row r="35" spans="1:30" ht="15.9" thickTop="1" x14ac:dyDescent="0.6">
      <c r="A35" s="49" t="s">
        <v>78</v>
      </c>
      <c r="B35" s="50"/>
      <c r="C35" s="290"/>
      <c r="D35" s="287"/>
      <c r="E35" s="290"/>
      <c r="F35" s="961"/>
      <c r="G35" s="961"/>
      <c r="H35" s="961"/>
      <c r="I35" s="345"/>
      <c r="J35" s="391"/>
      <c r="K35" s="33"/>
      <c r="L35" s="1483"/>
      <c r="M35" s="295"/>
      <c r="N35" s="983"/>
      <c r="O35" s="463"/>
      <c r="P35" s="306"/>
      <c r="Q35" s="322"/>
      <c r="R35" s="320">
        <f t="shared" si="9"/>
        <v>0</v>
      </c>
      <c r="S35" s="320">
        <f t="shared" si="10"/>
        <v>0</v>
      </c>
      <c r="T35" s="320">
        <f t="shared" si="11"/>
        <v>0</v>
      </c>
      <c r="U35" s="847">
        <f t="shared" si="12"/>
        <v>0</v>
      </c>
      <c r="V35" s="1053"/>
      <c r="W35" s="1047"/>
      <c r="X35" s="310"/>
      <c r="Y35" s="366"/>
      <c r="Z35" s="336"/>
      <c r="AA35" s="337"/>
      <c r="AB35" s="529"/>
      <c r="AC35" s="320"/>
      <c r="AD35" s="342"/>
    </row>
    <row r="36" spans="1:30" x14ac:dyDescent="0.6">
      <c r="A36" s="61">
        <f>A34+1</f>
        <v>30</v>
      </c>
      <c r="B36" s="50" t="s">
        <v>46</v>
      </c>
      <c r="C36" s="290">
        <v>4905531</v>
      </c>
      <c r="D36" s="290">
        <f>'NG transport'!C36+'NG Res'!C36+'NG Comm'!C36</f>
        <v>2645627</v>
      </c>
      <c r="E36" s="290">
        <f t="shared" si="0"/>
        <v>2259904</v>
      </c>
      <c r="F36" s="961">
        <f>E36*Assumptions!$C$48</f>
        <v>17151669702.489378</v>
      </c>
      <c r="G36" s="961">
        <v>1213114</v>
      </c>
      <c r="H36" s="961">
        <f>G36*Assumptions!$C$48</f>
        <v>9206997571.341835</v>
      </c>
      <c r="I36" s="348">
        <f t="shared" si="1"/>
        <v>26358667273.831215</v>
      </c>
      <c r="J36" s="399">
        <f>Assumptions!$H$11</f>
        <v>0.152529</v>
      </c>
      <c r="K36" s="33">
        <f>Assumptions!$C$46</f>
        <v>7.5895567698846396</v>
      </c>
      <c r="L36" s="1483">
        <f>Assumptions!$C$63</f>
        <v>27.295999999999999</v>
      </c>
      <c r="M36" s="295"/>
      <c r="N36" s="983">
        <f>'NG Comm'!I36</f>
        <v>0.62079303000000008</v>
      </c>
      <c r="O36" s="463"/>
      <c r="P36" s="306">
        <f t="shared" ref="P36:P39" si="24">O36*J36/L36</f>
        <v>0</v>
      </c>
      <c r="Q36" s="322"/>
      <c r="R36" s="320">
        <f t="shared" si="9"/>
        <v>0</v>
      </c>
      <c r="S36" s="320">
        <f t="shared" si="10"/>
        <v>0</v>
      </c>
      <c r="T36" s="320">
        <f t="shared" si="11"/>
        <v>0</v>
      </c>
      <c r="U36" s="847">
        <f t="shared" si="12"/>
        <v>0</v>
      </c>
      <c r="V36" s="1053">
        <f t="shared" si="4"/>
        <v>0</v>
      </c>
      <c r="W36" s="1047">
        <f t="shared" si="5"/>
        <v>0</v>
      </c>
      <c r="X36" s="310">
        <f t="shared" si="13"/>
        <v>0</v>
      </c>
      <c r="Y36" s="366">
        <f>I36*X36</f>
        <v>0</v>
      </c>
      <c r="Z36" s="336">
        <f>-'OECD NG subsidies'!F333</f>
        <v>-9110222259</v>
      </c>
      <c r="AA36" s="337">
        <f t="shared" si="7"/>
        <v>-1389573090.943011</v>
      </c>
      <c r="AB36" s="529">
        <f>Y36+AA36</f>
        <v>-1389573090.943011</v>
      </c>
      <c r="AC36" s="320">
        <f t="shared" si="14"/>
        <v>0.62079303000000008</v>
      </c>
      <c r="AD36" s="342">
        <f t="shared" si="15"/>
        <v>14973703832.740511</v>
      </c>
    </row>
    <row r="37" spans="1:30" x14ac:dyDescent="0.6">
      <c r="A37" s="46">
        <f>A36+1</f>
        <v>31</v>
      </c>
      <c r="B37" s="50" t="s">
        <v>49</v>
      </c>
      <c r="C37" s="290">
        <v>1346435</v>
      </c>
      <c r="D37" s="290">
        <f>'NG transport'!C37+'NG Res'!C37+'NG Comm'!C37</f>
        <v>174006</v>
      </c>
      <c r="E37" s="290">
        <f t="shared" si="0"/>
        <v>1172429</v>
      </c>
      <c r="F37" s="961">
        <f>E37*Assumptions!$C$48</f>
        <v>8898216454.1590786</v>
      </c>
      <c r="G37" s="961">
        <v>634158</v>
      </c>
      <c r="H37" s="961">
        <f>G37*Assumptions!$C$48</f>
        <v>4812978142.0765038</v>
      </c>
      <c r="I37" s="348">
        <f t="shared" si="1"/>
        <v>13711194596.235582</v>
      </c>
      <c r="J37" s="399">
        <f>Assumptions!$H$12</f>
        <v>1.5587E-2</v>
      </c>
      <c r="K37" s="33">
        <f>Assumptions!$C$46</f>
        <v>7.5895567698846396</v>
      </c>
      <c r="L37" s="1483">
        <f>Assumptions!$C$63</f>
        <v>27.295999999999999</v>
      </c>
      <c r="M37" s="295"/>
      <c r="N37" s="983">
        <f>'NG Res'!I37</f>
        <v>2.5</v>
      </c>
      <c r="O37" s="463"/>
      <c r="P37" s="306">
        <f t="shared" si="24"/>
        <v>0</v>
      </c>
      <c r="Q37" s="322"/>
      <c r="R37" s="320">
        <f t="shared" si="9"/>
        <v>0</v>
      </c>
      <c r="S37" s="320">
        <f t="shared" si="10"/>
        <v>0</v>
      </c>
      <c r="T37" s="320">
        <f t="shared" si="11"/>
        <v>0</v>
      </c>
      <c r="U37" s="847">
        <f t="shared" si="12"/>
        <v>0</v>
      </c>
      <c r="V37" s="1053">
        <f t="shared" si="4"/>
        <v>0</v>
      </c>
      <c r="W37" s="1047">
        <f t="shared" si="5"/>
        <v>0</v>
      </c>
      <c r="X37" s="310">
        <f t="shared" si="13"/>
        <v>0</v>
      </c>
      <c r="Y37" s="366">
        <f>I37*X37</f>
        <v>0</v>
      </c>
      <c r="Z37" s="336">
        <f>-'OECD NG subsidies'!F342</f>
        <v>-6763241131</v>
      </c>
      <c r="AA37" s="337">
        <f t="shared" si="7"/>
        <v>-105418639.50889701</v>
      </c>
      <c r="AB37" s="529">
        <f>Y37+AA37</f>
        <v>-105418639.50889701</v>
      </c>
      <c r="AC37" s="320">
        <f t="shared" si="14"/>
        <v>2.5</v>
      </c>
      <c r="AD37" s="342">
        <f t="shared" si="15"/>
        <v>34172567851.080059</v>
      </c>
    </row>
    <row r="38" spans="1:30" x14ac:dyDescent="0.6">
      <c r="A38" s="46">
        <f>A37+1</f>
        <v>32</v>
      </c>
      <c r="B38" s="44" t="s">
        <v>50</v>
      </c>
      <c r="C38" s="290">
        <v>591302</v>
      </c>
      <c r="D38" s="290">
        <f>'NG transport'!C38+'NG Res'!C38+'NG Comm'!C38</f>
        <v>123097</v>
      </c>
      <c r="E38" s="290">
        <f t="shared" si="0"/>
        <v>468205</v>
      </c>
      <c r="F38" s="961">
        <f>E38*Assumptions!$C$48</f>
        <v>3553468427.4438376</v>
      </c>
      <c r="G38" s="961">
        <f>603505+119261</f>
        <v>722766</v>
      </c>
      <c r="H38" s="961">
        <f>G38*Assumptions!$C$48</f>
        <v>5485473588.3424416</v>
      </c>
      <c r="I38" s="348">
        <f t="shared" si="1"/>
        <v>9038942015.7862797</v>
      </c>
      <c r="J38" s="399">
        <f>Assumptions!$H$13</f>
        <v>0.30204900000000001</v>
      </c>
      <c r="K38" s="33">
        <f>Assumptions!$C$46</f>
        <v>7.5895567698846396</v>
      </c>
      <c r="L38" s="1483">
        <f>Assumptions!$C$63</f>
        <v>27.295999999999999</v>
      </c>
      <c r="M38" s="293"/>
      <c r="N38" s="983">
        <f>'NG Res'!I38</f>
        <v>1.5</v>
      </c>
      <c r="O38" s="1518">
        <v>0.61107519346328321</v>
      </c>
      <c r="P38" s="306">
        <f>O38*J38</f>
        <v>0.18457465111039123</v>
      </c>
      <c r="Q38" s="322"/>
      <c r="R38" s="320">
        <f t="shared" si="9"/>
        <v>0</v>
      </c>
      <c r="S38" s="320">
        <f t="shared" si="10"/>
        <v>0</v>
      </c>
      <c r="T38" s="320">
        <f t="shared" si="11"/>
        <v>0</v>
      </c>
      <c r="U38" s="847">
        <f t="shared" si="12"/>
        <v>0</v>
      </c>
      <c r="V38" s="1053">
        <f t="shared" si="4"/>
        <v>0.18457465111039123</v>
      </c>
      <c r="W38" s="1047">
        <f t="shared" si="5"/>
        <v>1668359568.970809</v>
      </c>
      <c r="X38" s="310">
        <f t="shared" si="13"/>
        <v>0.18457465111039123</v>
      </c>
      <c r="Y38" s="366">
        <f>I38*X38</f>
        <v>1668359568.970809</v>
      </c>
      <c r="Z38" s="336">
        <f>-'OECD NG subsidies'!F346</f>
        <v>-7110140760</v>
      </c>
      <c r="AA38" s="337">
        <f t="shared" si="7"/>
        <v>-2147610906.4172401</v>
      </c>
      <c r="AB38" s="529">
        <f>Y38+AA38</f>
        <v>-479251337.44643116</v>
      </c>
      <c r="AC38" s="320">
        <f t="shared" si="14"/>
        <v>1.6845746511103912</v>
      </c>
      <c r="AD38" s="342">
        <f t="shared" si="15"/>
        <v>13079161686.232988</v>
      </c>
    </row>
    <row r="39" spans="1:30" ht="15.9" thickBot="1" x14ac:dyDescent="0.65">
      <c r="A39" s="15">
        <f>A38+1</f>
        <v>33</v>
      </c>
      <c r="B39" s="47" t="s">
        <v>51</v>
      </c>
      <c r="C39" s="291">
        <v>6569118</v>
      </c>
      <c r="D39" s="291">
        <f>'NG transport'!C39+'NG Res'!C39+'NG Comm'!C39</f>
        <v>3336308</v>
      </c>
      <c r="E39" s="291">
        <f t="shared" si="0"/>
        <v>3232810</v>
      </c>
      <c r="F39" s="962">
        <f>E39*Assumptions!$C$48</f>
        <v>24535595021.250763</v>
      </c>
      <c r="G39" s="962">
        <f>205137+7317627</f>
        <v>7522764</v>
      </c>
      <c r="H39" s="962">
        <f>G39*Assumptions!$C$48</f>
        <v>57094444444.44445</v>
      </c>
      <c r="I39" s="349">
        <f t="shared" si="1"/>
        <v>81630039465.695221</v>
      </c>
      <c r="J39" s="417">
        <f>Assumptions!$H$14</f>
        <v>1.7344999999999999E-2</v>
      </c>
      <c r="K39" s="36">
        <f>Assumptions!$C$46</f>
        <v>7.5895567698846396</v>
      </c>
      <c r="L39" s="1485">
        <f>Assumptions!$C$63</f>
        <v>27.295999999999999</v>
      </c>
      <c r="M39" s="296"/>
      <c r="N39" s="984">
        <f>4.8*Assumptions!C8/1000000</f>
        <v>0.6</v>
      </c>
      <c r="O39" s="464"/>
      <c r="P39" s="309">
        <f t="shared" si="24"/>
        <v>0</v>
      </c>
      <c r="Q39" s="359"/>
      <c r="R39" s="321">
        <f t="shared" si="9"/>
        <v>0</v>
      </c>
      <c r="S39" s="321">
        <f t="shared" si="10"/>
        <v>0</v>
      </c>
      <c r="T39" s="321">
        <f t="shared" si="11"/>
        <v>0</v>
      </c>
      <c r="U39" s="848">
        <f t="shared" si="12"/>
        <v>0</v>
      </c>
      <c r="V39" s="1054">
        <f t="shared" si="4"/>
        <v>0</v>
      </c>
      <c r="W39" s="1048">
        <f t="shared" si="5"/>
        <v>0</v>
      </c>
      <c r="X39" s="312">
        <f t="shared" si="13"/>
        <v>0</v>
      </c>
      <c r="Y39" s="368">
        <f>I39*X39</f>
        <v>0</v>
      </c>
      <c r="Z39" s="340">
        <f>-'OECD NG subsidies'!F351</f>
        <v>-1203837400</v>
      </c>
      <c r="AA39" s="341">
        <f t="shared" si="7"/>
        <v>-20880559.702999998</v>
      </c>
      <c r="AB39" s="531">
        <f>Y39+AA39</f>
        <v>-20880559.702999998</v>
      </c>
      <c r="AC39" s="321">
        <f t="shared" si="14"/>
        <v>0.6</v>
      </c>
      <c r="AD39" s="344">
        <f t="shared" si="15"/>
        <v>48957143119.714127</v>
      </c>
    </row>
    <row r="40" spans="1:30" ht="15.9" thickTop="1" x14ac:dyDescent="0.6">
      <c r="A40" s="48" t="s">
        <v>52</v>
      </c>
      <c r="B40" s="44"/>
      <c r="C40" s="290"/>
      <c r="D40" s="290"/>
      <c r="E40" s="290"/>
      <c r="F40" s="961"/>
      <c r="G40" s="961"/>
      <c r="H40" s="961"/>
      <c r="I40" s="348"/>
      <c r="J40" s="391"/>
      <c r="K40" s="33"/>
      <c r="L40" s="1483"/>
      <c r="M40" s="293"/>
      <c r="N40" s="301"/>
      <c r="O40" s="664"/>
      <c r="P40" s="394"/>
      <c r="Q40" s="322"/>
      <c r="R40" s="329"/>
      <c r="S40" s="320"/>
      <c r="T40" s="320"/>
      <c r="U40" s="314"/>
      <c r="V40" s="1046"/>
      <c r="W40" s="1047"/>
      <c r="X40" s="395"/>
      <c r="Y40" s="396"/>
      <c r="Z40" s="542"/>
      <c r="AA40" s="543"/>
      <c r="AB40" s="582"/>
      <c r="AC40" s="571"/>
      <c r="AD40" s="548"/>
    </row>
    <row r="41" spans="1:30" x14ac:dyDescent="0.6">
      <c r="A41" s="46">
        <f>A39+1</f>
        <v>34</v>
      </c>
      <c r="B41" s="44" t="s">
        <v>48</v>
      </c>
      <c r="C41" s="290">
        <v>648311</v>
      </c>
      <c r="D41" s="290">
        <f>'NG transport'!C41+'NG Res'!C41+'NG Comm'!C41</f>
        <v>49021</v>
      </c>
      <c r="E41" s="290">
        <f t="shared" si="0"/>
        <v>599290</v>
      </c>
      <c r="F41" s="961">
        <f>E41*Assumptions!$C$48</f>
        <v>4548345476.6241655</v>
      </c>
      <c r="G41" s="961">
        <f>1414124+195303</f>
        <v>1609427</v>
      </c>
      <c r="H41" s="961">
        <f>G41*Assumptions!$C$48</f>
        <v>12214837583.485126</v>
      </c>
      <c r="I41" s="348">
        <f t="shared" si="1"/>
        <v>16763183060.109291</v>
      </c>
      <c r="J41" s="399"/>
      <c r="K41" s="33">
        <f>Assumptions!$C$46</f>
        <v>7.5895567698846396</v>
      </c>
      <c r="L41" s="1483">
        <f>Assumptions!$C$63</f>
        <v>27.295999999999999</v>
      </c>
      <c r="M41" s="540"/>
      <c r="N41" s="975">
        <f>Assumptions!$C$104</f>
        <v>1.5</v>
      </c>
      <c r="O41" s="665"/>
      <c r="P41" s="394">
        <f t="shared" ref="P41:P65" si="25">O41*J41*K41</f>
        <v>0</v>
      </c>
      <c r="Q41" s="322"/>
      <c r="R41" s="329"/>
      <c r="S41" s="320"/>
      <c r="T41" s="320"/>
      <c r="U41" s="314"/>
      <c r="V41" s="1053">
        <f t="shared" si="4"/>
        <v>0</v>
      </c>
      <c r="W41" s="1047">
        <f t="shared" si="5"/>
        <v>0</v>
      </c>
      <c r="X41" s="395"/>
      <c r="Y41" s="396">
        <f t="shared" ref="Y41:Y65" si="26">I41*X41</f>
        <v>0</v>
      </c>
      <c r="Z41" s="336"/>
      <c r="AA41" s="342"/>
      <c r="AB41" s="583"/>
      <c r="AC41" s="363">
        <f>N41</f>
        <v>1.5</v>
      </c>
      <c r="AD41" s="342">
        <f t="shared" si="15"/>
        <v>25144774590.163937</v>
      </c>
    </row>
    <row r="42" spans="1:30" x14ac:dyDescent="0.6">
      <c r="A42" s="46">
        <f>A41+1</f>
        <v>35</v>
      </c>
      <c r="B42" s="44" t="s">
        <v>53</v>
      </c>
      <c r="C42" s="290">
        <v>685338</v>
      </c>
      <c r="D42" s="290">
        <f>'NG transport'!C42+'NG Res'!C42+'NG Comm'!C42</f>
        <v>340847</v>
      </c>
      <c r="E42" s="290">
        <f t="shared" si="0"/>
        <v>344491</v>
      </c>
      <c r="F42" s="961">
        <f>E42*Assumptions!$C$48</f>
        <v>2614534001.2143292</v>
      </c>
      <c r="G42" s="961">
        <v>701791</v>
      </c>
      <c r="H42" s="961">
        <f>G42*Assumptions!$C$48</f>
        <v>5326282635.0941114</v>
      </c>
      <c r="I42" s="348">
        <f t="shared" si="1"/>
        <v>7940816636.3084412</v>
      </c>
      <c r="J42" s="391"/>
      <c r="K42" s="33">
        <f>Assumptions!$C$46</f>
        <v>7.5895567698846396</v>
      </c>
      <c r="L42" s="1483">
        <f>Assumptions!$C$63</f>
        <v>27.295999999999999</v>
      </c>
      <c r="M42" s="540"/>
      <c r="N42" s="975">
        <f>Assumptions!$C$104</f>
        <v>1.5</v>
      </c>
      <c r="O42" s="665"/>
      <c r="P42" s="394">
        <f t="shared" si="25"/>
        <v>0</v>
      </c>
      <c r="Q42" s="322"/>
      <c r="R42" s="329"/>
      <c r="S42" s="320"/>
      <c r="T42" s="320"/>
      <c r="U42" s="314"/>
      <c r="V42" s="1046"/>
      <c r="W42" s="1047">
        <f t="shared" si="5"/>
        <v>0</v>
      </c>
      <c r="X42" s="395"/>
      <c r="Y42" s="394">
        <f t="shared" si="26"/>
        <v>0</v>
      </c>
      <c r="Z42" s="336"/>
      <c r="AA42" s="342"/>
      <c r="AB42" s="583"/>
      <c r="AC42" s="363">
        <f t="shared" ref="AC42:AC65" si="27">N42</f>
        <v>1.5</v>
      </c>
      <c r="AD42" s="342">
        <f t="shared" si="15"/>
        <v>11911224954.462662</v>
      </c>
    </row>
    <row r="43" spans="1:30" x14ac:dyDescent="0.6">
      <c r="A43" s="46">
        <f t="shared" ref="A43:A65" si="28">A42+1</f>
        <v>36</v>
      </c>
      <c r="B43" s="44" t="s">
        <v>54</v>
      </c>
      <c r="C43" s="290">
        <v>29260</v>
      </c>
      <c r="D43" s="290">
        <f>'NG transport'!C43+'NG Res'!C43+'NG Comm'!C43</f>
        <v>0</v>
      </c>
      <c r="E43" s="290">
        <f t="shared" si="0"/>
        <v>29260</v>
      </c>
      <c r="F43" s="961">
        <f>E43*Assumptions!$C$48</f>
        <v>222070431.08682457</v>
      </c>
      <c r="G43" s="961">
        <v>0</v>
      </c>
      <c r="H43" s="961">
        <f>G43*Assumptions!$C$48</f>
        <v>0</v>
      </c>
      <c r="I43" s="348">
        <f t="shared" si="1"/>
        <v>222070431.08682457</v>
      </c>
      <c r="J43" s="391"/>
      <c r="K43" s="33">
        <f>Assumptions!$C$46</f>
        <v>7.5895567698846396</v>
      </c>
      <c r="L43" s="1483">
        <f>Assumptions!$C$63</f>
        <v>27.295999999999999</v>
      </c>
      <c r="M43" s="540"/>
      <c r="N43" s="975">
        <f>Assumptions!$C$104</f>
        <v>1.5</v>
      </c>
      <c r="O43" s="665"/>
      <c r="P43" s="394">
        <f t="shared" si="25"/>
        <v>0</v>
      </c>
      <c r="Q43" s="322"/>
      <c r="R43" s="329"/>
      <c r="S43" s="320"/>
      <c r="T43" s="320"/>
      <c r="U43" s="314"/>
      <c r="V43" s="1046"/>
      <c r="W43" s="1047">
        <f t="shared" si="5"/>
        <v>0</v>
      </c>
      <c r="X43" s="395"/>
      <c r="Y43" s="396">
        <f t="shared" si="26"/>
        <v>0</v>
      </c>
      <c r="Z43" s="336"/>
      <c r="AA43" s="342"/>
      <c r="AB43" s="583"/>
      <c r="AC43" s="363">
        <f t="shared" si="27"/>
        <v>1.5</v>
      </c>
      <c r="AD43" s="342">
        <f t="shared" si="15"/>
        <v>333105646.63023686</v>
      </c>
    </row>
    <row r="44" spans="1:30" x14ac:dyDescent="0.6">
      <c r="A44" s="46">
        <f t="shared" si="28"/>
        <v>37</v>
      </c>
      <c r="B44" s="44" t="s">
        <v>55</v>
      </c>
      <c r="C44" s="290">
        <v>161977</v>
      </c>
      <c r="D44" s="290">
        <f>'NG transport'!C44+'NG Res'!C44+'NG Comm'!C44</f>
        <v>116207</v>
      </c>
      <c r="E44" s="290">
        <f t="shared" si="0"/>
        <v>45770</v>
      </c>
      <c r="F44" s="961">
        <f>E44*Assumptions!$C$48</f>
        <v>347374013.35761994</v>
      </c>
      <c r="G44" s="961">
        <f>139136+73636</f>
        <v>212772</v>
      </c>
      <c r="H44" s="961">
        <f>G44*Assumptions!$C$48</f>
        <v>1614845173.0418947</v>
      </c>
      <c r="I44" s="348">
        <f t="shared" si="1"/>
        <v>1962219186.3995147</v>
      </c>
      <c r="J44" s="391"/>
      <c r="K44" s="33">
        <f>Assumptions!$C$46</f>
        <v>7.5895567698846396</v>
      </c>
      <c r="L44" s="1483">
        <f>Assumptions!$C$63</f>
        <v>27.295999999999999</v>
      </c>
      <c r="M44" s="540"/>
      <c r="N44" s="975">
        <f>Assumptions!$C$104</f>
        <v>1.5</v>
      </c>
      <c r="O44" s="665"/>
      <c r="P44" s="400">
        <f t="shared" si="25"/>
        <v>0</v>
      </c>
      <c r="Q44" s="323"/>
      <c r="R44" s="329"/>
      <c r="S44" s="324"/>
      <c r="T44" s="324"/>
      <c r="U44" s="314"/>
      <c r="V44" s="1046"/>
      <c r="W44" s="1047">
        <f t="shared" si="5"/>
        <v>0</v>
      </c>
      <c r="X44" s="401"/>
      <c r="Y44" s="396">
        <f t="shared" si="26"/>
        <v>0</v>
      </c>
      <c r="Z44" s="336"/>
      <c r="AA44" s="342"/>
      <c r="AB44" s="583"/>
      <c r="AC44" s="363">
        <f t="shared" si="27"/>
        <v>1.5</v>
      </c>
      <c r="AD44" s="342">
        <f t="shared" si="15"/>
        <v>2943328779.5992718</v>
      </c>
    </row>
    <row r="45" spans="1:30" x14ac:dyDescent="0.6">
      <c r="A45" s="46">
        <f t="shared" si="28"/>
        <v>38</v>
      </c>
      <c r="B45" s="44" t="s">
        <v>56</v>
      </c>
      <c r="C45" s="290">
        <v>98603</v>
      </c>
      <c r="D45" s="290">
        <f>'NG transport'!C45+'NG Res'!C45+'NG Comm'!C45</f>
        <v>0</v>
      </c>
      <c r="E45" s="290">
        <f t="shared" si="0"/>
        <v>98603</v>
      </c>
      <c r="F45" s="961">
        <f>E45*Assumptions!$C$48</f>
        <v>748353066.18093514</v>
      </c>
      <c r="G45" s="961">
        <v>404675</v>
      </c>
      <c r="H45" s="961">
        <f>G45*Assumptions!$C$48</f>
        <v>3071303885.8530664</v>
      </c>
      <c r="I45" s="348">
        <f t="shared" si="1"/>
        <v>3819656952.0340014</v>
      </c>
      <c r="J45" s="391"/>
      <c r="K45" s="33">
        <f>Assumptions!$C$46</f>
        <v>7.5895567698846396</v>
      </c>
      <c r="L45" s="1483">
        <f>Assumptions!$C$63</f>
        <v>27.295999999999999</v>
      </c>
      <c r="M45" s="540"/>
      <c r="N45" s="975">
        <f>Assumptions!$C$104</f>
        <v>1.5</v>
      </c>
      <c r="O45" s="665"/>
      <c r="P45" s="400">
        <f t="shared" si="25"/>
        <v>0</v>
      </c>
      <c r="Q45" s="323"/>
      <c r="R45" s="329"/>
      <c r="S45" s="324"/>
      <c r="T45" s="324"/>
      <c r="U45" s="314"/>
      <c r="V45" s="1046"/>
      <c r="W45" s="1047">
        <f t="shared" si="5"/>
        <v>0</v>
      </c>
      <c r="X45" s="401"/>
      <c r="Y45" s="396">
        <f t="shared" si="26"/>
        <v>0</v>
      </c>
      <c r="Z45" s="336"/>
      <c r="AA45" s="342"/>
      <c r="AB45" s="583"/>
      <c r="AC45" s="363">
        <f t="shared" si="27"/>
        <v>1.5</v>
      </c>
      <c r="AD45" s="342">
        <f t="shared" si="15"/>
        <v>5729485428.0510025</v>
      </c>
    </row>
    <row r="46" spans="1:30" x14ac:dyDescent="0.6">
      <c r="A46" s="46">
        <f t="shared" si="28"/>
        <v>39</v>
      </c>
      <c r="B46" s="44" t="s">
        <v>57</v>
      </c>
      <c r="C46" s="290">
        <v>2537</v>
      </c>
      <c r="D46" s="290">
        <f>'NG transport'!C46+'NG Res'!C46+'NG Comm'!C46</f>
        <v>736</v>
      </c>
      <c r="E46" s="290">
        <f t="shared" si="0"/>
        <v>1801</v>
      </c>
      <c r="F46" s="961">
        <f>E46*Assumptions!$C$48</f>
        <v>13668791.742562236</v>
      </c>
      <c r="G46" s="961">
        <f>40725+5708</f>
        <v>46433</v>
      </c>
      <c r="H46" s="961">
        <f>G46*Assumptions!$C$48</f>
        <v>352405889.49605346</v>
      </c>
      <c r="I46" s="348">
        <f t="shared" si="1"/>
        <v>366074681.23861569</v>
      </c>
      <c r="J46" s="391"/>
      <c r="K46" s="33">
        <f>Assumptions!$C$46</f>
        <v>7.5895567698846396</v>
      </c>
      <c r="L46" s="1483">
        <f>Assumptions!$C$63</f>
        <v>27.295999999999999</v>
      </c>
      <c r="M46" s="540"/>
      <c r="N46" s="975">
        <f>Assumptions!$C$104</f>
        <v>1.5</v>
      </c>
      <c r="O46" s="665"/>
      <c r="P46" s="400">
        <f t="shared" si="25"/>
        <v>0</v>
      </c>
      <c r="Q46" s="323"/>
      <c r="R46" s="329"/>
      <c r="S46" s="324"/>
      <c r="T46" s="324"/>
      <c r="U46" s="314"/>
      <c r="V46" s="1046"/>
      <c r="W46" s="1047">
        <f t="shared" si="5"/>
        <v>0</v>
      </c>
      <c r="X46" s="401"/>
      <c r="Y46" s="396">
        <f t="shared" si="26"/>
        <v>0</v>
      </c>
      <c r="Z46" s="336"/>
      <c r="AA46" s="342"/>
      <c r="AB46" s="583"/>
      <c r="AC46" s="363">
        <f t="shared" si="27"/>
        <v>1.5</v>
      </c>
      <c r="AD46" s="342">
        <f t="shared" si="15"/>
        <v>549112021.85792351</v>
      </c>
    </row>
    <row r="47" spans="1:30" x14ac:dyDescent="0.6">
      <c r="A47" s="46">
        <f t="shared" si="28"/>
        <v>40</v>
      </c>
      <c r="B47" s="44" t="s">
        <v>58</v>
      </c>
      <c r="C47" s="290">
        <v>588</v>
      </c>
      <c r="D47" s="290">
        <f>'NG transport'!C47+'NG Res'!C47+'NG Comm'!C47</f>
        <v>13</v>
      </c>
      <c r="E47" s="290">
        <f t="shared" si="0"/>
        <v>575</v>
      </c>
      <c r="F47" s="961">
        <f>E47*Assumptions!$C$48</f>
        <v>4363995.1426836681</v>
      </c>
      <c r="G47" s="961">
        <v>25307</v>
      </c>
      <c r="H47" s="961">
        <f>G47*Assumptions!$C$48</f>
        <v>192068913.17547059</v>
      </c>
      <c r="I47" s="348">
        <f t="shared" si="1"/>
        <v>196432908.31815425</v>
      </c>
      <c r="J47" s="391"/>
      <c r="K47" s="33">
        <f>Assumptions!$C$46</f>
        <v>7.5895567698846396</v>
      </c>
      <c r="L47" s="1483">
        <f>Assumptions!$C$63</f>
        <v>27.295999999999999</v>
      </c>
      <c r="M47" s="540"/>
      <c r="N47" s="975">
        <f>Assumptions!$C$104</f>
        <v>1.5</v>
      </c>
      <c r="O47" s="665"/>
      <c r="P47" s="392">
        <f t="shared" si="25"/>
        <v>0</v>
      </c>
      <c r="Q47" s="325"/>
      <c r="R47" s="329"/>
      <c r="S47" s="281"/>
      <c r="T47" s="281"/>
      <c r="U47" s="314"/>
      <c r="V47" s="1046"/>
      <c r="W47" s="1047">
        <f t="shared" si="5"/>
        <v>0</v>
      </c>
      <c r="X47" s="402"/>
      <c r="Y47" s="403">
        <f t="shared" si="26"/>
        <v>0</v>
      </c>
      <c r="Z47" s="336"/>
      <c r="AA47" s="342"/>
      <c r="AB47" s="583"/>
      <c r="AC47" s="363">
        <f t="shared" si="27"/>
        <v>1.5</v>
      </c>
      <c r="AD47" s="342">
        <f t="shared" si="15"/>
        <v>294649362.47723138</v>
      </c>
    </row>
    <row r="48" spans="1:30" x14ac:dyDescent="0.6">
      <c r="A48" s="46">
        <f t="shared" si="28"/>
        <v>41</v>
      </c>
      <c r="B48" s="44" t="s">
        <v>59</v>
      </c>
      <c r="C48" s="290">
        <v>466772</v>
      </c>
      <c r="D48" s="290">
        <f>'NG transport'!C48+'NG Res'!C48+'NG Comm'!C48</f>
        <v>86491</v>
      </c>
      <c r="E48" s="290">
        <f t="shared" si="0"/>
        <v>380281</v>
      </c>
      <c r="F48" s="961">
        <f>E48*Assumptions!$C$48</f>
        <v>2886164238.0085006</v>
      </c>
      <c r="G48" s="961">
        <v>1067300</v>
      </c>
      <c r="H48" s="961">
        <f>G48*Assumptions!$C$48</f>
        <v>8100333940.4978762</v>
      </c>
      <c r="I48" s="348">
        <f t="shared" si="1"/>
        <v>10986498178.506376</v>
      </c>
      <c r="J48" s="391"/>
      <c r="K48" s="33">
        <f>Assumptions!$C$46</f>
        <v>7.5895567698846396</v>
      </c>
      <c r="L48" s="1483">
        <f>Assumptions!$C$63</f>
        <v>27.295999999999999</v>
      </c>
      <c r="M48" s="540"/>
      <c r="N48" s="975">
        <f>Assumptions!$C$104</f>
        <v>1.5</v>
      </c>
      <c r="O48" s="665"/>
      <c r="P48" s="392">
        <f t="shared" si="25"/>
        <v>0</v>
      </c>
      <c r="Q48" s="325"/>
      <c r="R48" s="329"/>
      <c r="S48" s="281"/>
      <c r="T48" s="281"/>
      <c r="U48" s="314"/>
      <c r="V48" s="1046"/>
      <c r="W48" s="1047">
        <f t="shared" si="5"/>
        <v>0</v>
      </c>
      <c r="X48" s="402"/>
      <c r="Y48" s="396">
        <f t="shared" si="26"/>
        <v>0</v>
      </c>
      <c r="Z48" s="336"/>
      <c r="AA48" s="342"/>
      <c r="AB48" s="583"/>
      <c r="AC48" s="363">
        <f t="shared" si="27"/>
        <v>1.5</v>
      </c>
      <c r="AD48" s="342">
        <f t="shared" si="15"/>
        <v>16479747267.759563</v>
      </c>
    </row>
    <row r="49" spans="1:30" x14ac:dyDescent="0.6">
      <c r="A49" s="46">
        <f t="shared" si="28"/>
        <v>42</v>
      </c>
      <c r="B49" s="44" t="s">
        <v>60</v>
      </c>
      <c r="C49" s="290">
        <v>114</v>
      </c>
      <c r="D49" s="290">
        <f>'NG transport'!C49+'NG Res'!C49+'NG Comm'!C49</f>
        <v>0</v>
      </c>
      <c r="E49" s="290">
        <f t="shared" si="0"/>
        <v>114</v>
      </c>
      <c r="F49" s="961">
        <f>E49*Assumptions!$C$48</f>
        <v>865209.47176684893</v>
      </c>
      <c r="G49" s="961">
        <v>13264</v>
      </c>
      <c r="H49" s="961">
        <f>G49*Assumptions!$C$48</f>
        <v>100667880.99574986</v>
      </c>
      <c r="I49" s="348">
        <f t="shared" si="1"/>
        <v>101533090.46751671</v>
      </c>
      <c r="J49" s="391"/>
      <c r="K49" s="33">
        <f>Assumptions!$C$46</f>
        <v>7.5895567698846396</v>
      </c>
      <c r="L49" s="1483">
        <f>Assumptions!$C$63</f>
        <v>27.295999999999999</v>
      </c>
      <c r="M49" s="540"/>
      <c r="N49" s="975">
        <f>Assumptions!$C$104</f>
        <v>1.5</v>
      </c>
      <c r="O49" s="665"/>
      <c r="P49" s="392">
        <f t="shared" si="25"/>
        <v>0</v>
      </c>
      <c r="Q49" s="325"/>
      <c r="R49" s="329"/>
      <c r="S49" s="281"/>
      <c r="T49" s="281"/>
      <c r="U49" s="314"/>
      <c r="V49" s="1046"/>
      <c r="W49" s="1047">
        <f t="shared" si="5"/>
        <v>0</v>
      </c>
      <c r="X49" s="402"/>
      <c r="Y49" s="396">
        <f t="shared" si="26"/>
        <v>0</v>
      </c>
      <c r="Z49" s="336"/>
      <c r="AA49" s="342"/>
      <c r="AB49" s="583"/>
      <c r="AC49" s="363">
        <f t="shared" si="27"/>
        <v>1.5</v>
      </c>
      <c r="AD49" s="342">
        <f t="shared" si="15"/>
        <v>152299635.70127505</v>
      </c>
    </row>
    <row r="50" spans="1:30" x14ac:dyDescent="0.6">
      <c r="A50" s="46">
        <f t="shared" si="28"/>
        <v>43</v>
      </c>
      <c r="B50" s="44" t="s">
        <v>61</v>
      </c>
      <c r="C50" s="290">
        <v>792961</v>
      </c>
      <c r="D50" s="290">
        <f>'NG transport'!C50+'NG Res'!C50+'NG Comm'!C50</f>
        <v>11504</v>
      </c>
      <c r="E50" s="290">
        <f t="shared" si="0"/>
        <v>781457</v>
      </c>
      <c r="F50" s="961">
        <f>E50*Assumptions!$C$48</f>
        <v>5930912264.7237406</v>
      </c>
      <c r="G50" s="961">
        <v>594812</v>
      </c>
      <c r="H50" s="961">
        <f>G50*Assumptions!$C$48</f>
        <v>4514359441.4086227</v>
      </c>
      <c r="I50" s="348">
        <f t="shared" si="1"/>
        <v>10445271706.132362</v>
      </c>
      <c r="J50" s="398"/>
      <c r="K50" s="33">
        <f>Assumptions!$C$46</f>
        <v>7.5895567698846396</v>
      </c>
      <c r="L50" s="1483">
        <f>Assumptions!$C$63</f>
        <v>27.295999999999999</v>
      </c>
      <c r="M50" s="540"/>
      <c r="N50" s="975">
        <f>Assumptions!$C$104</f>
        <v>1.5</v>
      </c>
      <c r="O50" s="665"/>
      <c r="P50" s="400">
        <f t="shared" si="25"/>
        <v>0</v>
      </c>
      <c r="Q50" s="323"/>
      <c r="R50" s="329"/>
      <c r="S50" s="324"/>
      <c r="T50" s="324"/>
      <c r="U50" s="314"/>
      <c r="V50" s="1046"/>
      <c r="W50" s="1047">
        <f t="shared" si="5"/>
        <v>0</v>
      </c>
      <c r="X50" s="401"/>
      <c r="Y50" s="396">
        <f t="shared" si="26"/>
        <v>0</v>
      </c>
      <c r="Z50" s="336"/>
      <c r="AA50" s="342"/>
      <c r="AB50" s="583"/>
      <c r="AC50" s="363">
        <f t="shared" si="27"/>
        <v>1.5</v>
      </c>
      <c r="AD50" s="342">
        <f t="shared" si="15"/>
        <v>15667907559.198544</v>
      </c>
    </row>
    <row r="51" spans="1:30" x14ac:dyDescent="0.6">
      <c r="A51" s="46">
        <f t="shared" si="28"/>
        <v>44</v>
      </c>
      <c r="B51" s="44" t="s">
        <v>62</v>
      </c>
      <c r="C51" s="290">
        <v>56684</v>
      </c>
      <c r="D51" s="290">
        <f>'NG transport'!C51+'NG Res'!C51+'NG Comm'!C51</f>
        <v>0</v>
      </c>
      <c r="E51" s="290">
        <f t="shared" si="0"/>
        <v>56684</v>
      </c>
      <c r="F51" s="961">
        <f>E51*Assumptions!$C$48</f>
        <v>430206435.94414091</v>
      </c>
      <c r="G51" s="961">
        <v>207313</v>
      </c>
      <c r="H51" s="961">
        <f>G51*Assumptions!$C$48</f>
        <v>1573413782.6350944</v>
      </c>
      <c r="I51" s="348">
        <f t="shared" si="1"/>
        <v>2003620218.5792353</v>
      </c>
      <c r="J51" s="391"/>
      <c r="K51" s="33">
        <f>Assumptions!$C$46</f>
        <v>7.5895567698846396</v>
      </c>
      <c r="L51" s="1483">
        <f>Assumptions!$C$63</f>
        <v>27.295999999999999</v>
      </c>
      <c r="M51" s="540"/>
      <c r="N51" s="975">
        <f>Assumptions!$C$104</f>
        <v>1.5</v>
      </c>
      <c r="O51" s="665"/>
      <c r="P51" s="392">
        <f t="shared" si="25"/>
        <v>0</v>
      </c>
      <c r="Q51" s="325"/>
      <c r="R51" s="329"/>
      <c r="S51" s="281"/>
      <c r="T51" s="281"/>
      <c r="U51" s="314"/>
      <c r="V51" s="1046"/>
      <c r="W51" s="1047">
        <f t="shared" si="5"/>
        <v>0</v>
      </c>
      <c r="X51" s="402"/>
      <c r="Y51" s="396">
        <f t="shared" si="26"/>
        <v>0</v>
      </c>
      <c r="Z51" s="336"/>
      <c r="AA51" s="342"/>
      <c r="AB51" s="583"/>
      <c r="AC51" s="363">
        <f t="shared" si="27"/>
        <v>1.5</v>
      </c>
      <c r="AD51" s="342">
        <f t="shared" si="15"/>
        <v>3005430327.8688531</v>
      </c>
    </row>
    <row r="52" spans="1:30" x14ac:dyDescent="0.6">
      <c r="A52" s="46">
        <f t="shared" si="28"/>
        <v>45</v>
      </c>
      <c r="B52" s="44" t="s">
        <v>63</v>
      </c>
      <c r="C52" s="290">
        <v>4433460</v>
      </c>
      <c r="D52" s="290">
        <f>'NG transport'!C52+'NG Res'!C52+'NG Comm'!C52</f>
        <v>2416229</v>
      </c>
      <c r="E52" s="290">
        <f t="shared" si="0"/>
        <v>2017231</v>
      </c>
      <c r="F52" s="961">
        <f>E52*Assumptions!$C$48</f>
        <v>15309889192.471163</v>
      </c>
      <c r="G52" s="961">
        <v>2299343</v>
      </c>
      <c r="H52" s="961">
        <f>G52*Assumptions!$C$48</f>
        <v>17450994231.936859</v>
      </c>
      <c r="I52" s="348">
        <f t="shared" si="1"/>
        <v>32760883424.40802</v>
      </c>
      <c r="J52" s="391"/>
      <c r="K52" s="33">
        <f>Assumptions!$C$46</f>
        <v>7.5895567698846396</v>
      </c>
      <c r="L52" s="1483">
        <f>Assumptions!$C$63</f>
        <v>27.295999999999999</v>
      </c>
      <c r="M52" s="540"/>
      <c r="N52" s="975">
        <f>Assumptions!$C$104</f>
        <v>1.5</v>
      </c>
      <c r="O52" s="665"/>
      <c r="P52" s="392">
        <f t="shared" si="25"/>
        <v>0</v>
      </c>
      <c r="Q52" s="325"/>
      <c r="R52" s="329"/>
      <c r="S52" s="281"/>
      <c r="T52" s="281"/>
      <c r="U52" s="314"/>
      <c r="V52" s="1046"/>
      <c r="W52" s="1047">
        <f t="shared" si="5"/>
        <v>0</v>
      </c>
      <c r="X52" s="402"/>
      <c r="Y52" s="396">
        <f t="shared" si="26"/>
        <v>0</v>
      </c>
      <c r="Z52" s="336"/>
      <c r="AA52" s="342"/>
      <c r="AB52" s="583"/>
      <c r="AC52" s="363">
        <f t="shared" si="27"/>
        <v>1.5</v>
      </c>
      <c r="AD52" s="342">
        <f t="shared" si="15"/>
        <v>49141325136.61203</v>
      </c>
    </row>
    <row r="53" spans="1:30" x14ac:dyDescent="0.6">
      <c r="A53" s="46">
        <f t="shared" si="28"/>
        <v>46</v>
      </c>
      <c r="B53" s="44" t="s">
        <v>64</v>
      </c>
      <c r="C53" s="290">
        <v>148247</v>
      </c>
      <c r="D53" s="290">
        <f>'NG transport'!C53+'NG Res'!C53+'NG Comm'!C53</f>
        <v>50348</v>
      </c>
      <c r="E53" s="290">
        <f t="shared" si="0"/>
        <v>97899</v>
      </c>
      <c r="F53" s="961">
        <f>E53*Assumptions!$C$48</f>
        <v>743010018.21493638</v>
      </c>
      <c r="G53" s="961">
        <v>225843</v>
      </c>
      <c r="H53" s="961">
        <f>G53*Assumptions!$C$48</f>
        <v>1714048269.5810566</v>
      </c>
      <c r="I53" s="348">
        <f t="shared" si="1"/>
        <v>2457058287.7959929</v>
      </c>
      <c r="J53" s="391"/>
      <c r="K53" s="33">
        <f>Assumptions!$C$46</f>
        <v>7.5895567698846396</v>
      </c>
      <c r="L53" s="1483">
        <f>Assumptions!$C$63</f>
        <v>27.295999999999999</v>
      </c>
      <c r="M53" s="540"/>
      <c r="N53" s="975">
        <f>Assumptions!$C$104</f>
        <v>1.5</v>
      </c>
      <c r="O53" s="665"/>
      <c r="P53" s="392">
        <f t="shared" si="25"/>
        <v>0</v>
      </c>
      <c r="Q53" s="325"/>
      <c r="R53" s="329"/>
      <c r="S53" s="281"/>
      <c r="T53" s="281"/>
      <c r="U53" s="314"/>
      <c r="V53" s="1046"/>
      <c r="W53" s="1047">
        <f t="shared" si="5"/>
        <v>0</v>
      </c>
      <c r="X53" s="402"/>
      <c r="Y53" s="396">
        <f t="shared" si="26"/>
        <v>0</v>
      </c>
      <c r="Z53" s="336"/>
      <c r="AA53" s="342"/>
      <c r="AB53" s="583"/>
      <c r="AC53" s="363">
        <f t="shared" si="27"/>
        <v>1.5</v>
      </c>
      <c r="AD53" s="342">
        <f t="shared" si="15"/>
        <v>3685587431.6939893</v>
      </c>
    </row>
    <row r="54" spans="1:30" x14ac:dyDescent="0.6">
      <c r="A54" s="46">
        <f t="shared" si="28"/>
        <v>47</v>
      </c>
      <c r="B54" s="44" t="s">
        <v>65</v>
      </c>
      <c r="C54" s="290">
        <v>261902</v>
      </c>
      <c r="D54" s="290">
        <f>'NG transport'!C54+'NG Res'!C54+'NG Comm'!C54</f>
        <v>0</v>
      </c>
      <c r="E54" s="290">
        <f t="shared" si="0"/>
        <v>261902</v>
      </c>
      <c r="F54" s="961">
        <f>E54*Assumptions!$C$48</f>
        <v>1987720097.146327</v>
      </c>
      <c r="G54" s="961">
        <v>282681</v>
      </c>
      <c r="H54" s="961">
        <f>G54*Assumptions!$C$48</f>
        <v>2145423497.2677598</v>
      </c>
      <c r="I54" s="348">
        <f t="shared" si="1"/>
        <v>4133143594.4140868</v>
      </c>
      <c r="J54" s="391"/>
      <c r="K54" s="33">
        <f>Assumptions!$C$46</f>
        <v>7.5895567698846396</v>
      </c>
      <c r="L54" s="1483">
        <f>Assumptions!$C$63</f>
        <v>27.295999999999999</v>
      </c>
      <c r="M54" s="540"/>
      <c r="N54" s="975">
        <f>Assumptions!$C$104</f>
        <v>1.5</v>
      </c>
      <c r="O54" s="665"/>
      <c r="P54" s="392">
        <f t="shared" si="25"/>
        <v>0</v>
      </c>
      <c r="Q54" s="325"/>
      <c r="R54" s="329"/>
      <c r="S54" s="281"/>
      <c r="T54" s="281"/>
      <c r="U54" s="314"/>
      <c r="V54" s="1046"/>
      <c r="W54" s="1047">
        <f t="shared" si="5"/>
        <v>0</v>
      </c>
      <c r="X54" s="402"/>
      <c r="Y54" s="396">
        <f t="shared" si="26"/>
        <v>0</v>
      </c>
      <c r="Z54" s="336"/>
      <c r="AA54" s="544"/>
      <c r="AB54" s="583"/>
      <c r="AC54" s="363">
        <f t="shared" si="27"/>
        <v>1.5</v>
      </c>
      <c r="AD54" s="342">
        <f t="shared" si="15"/>
        <v>6199715391.62113</v>
      </c>
    </row>
    <row r="55" spans="1:30" x14ac:dyDescent="0.6">
      <c r="A55" s="46">
        <f t="shared" si="28"/>
        <v>48</v>
      </c>
      <c r="B55" s="44" t="s">
        <v>66</v>
      </c>
      <c r="C55" s="290">
        <v>6029</v>
      </c>
      <c r="D55" s="290">
        <f>'NG transport'!C55+'NG Res'!C55+'NG Comm'!C55</f>
        <v>0</v>
      </c>
      <c r="E55" s="290">
        <f t="shared" si="0"/>
        <v>6029</v>
      </c>
      <c r="F55" s="961">
        <f>E55*Assumptions!$C$48</f>
        <v>45757437.765634492</v>
      </c>
      <c r="G55" s="961">
        <v>216316</v>
      </c>
      <c r="H55" s="961">
        <f>G55*Assumptions!$C$48</f>
        <v>1641742562.2343657</v>
      </c>
      <c r="I55" s="348">
        <f t="shared" si="1"/>
        <v>1687500000.0000002</v>
      </c>
      <c r="J55" s="391"/>
      <c r="K55" s="33">
        <f>Assumptions!$C$46</f>
        <v>7.5895567698846396</v>
      </c>
      <c r="L55" s="1483">
        <f>Assumptions!$C$63</f>
        <v>27.295999999999999</v>
      </c>
      <c r="M55" s="540"/>
      <c r="N55" s="975">
        <f>Assumptions!$C$104</f>
        <v>1.5</v>
      </c>
      <c r="O55" s="665"/>
      <c r="P55" s="392">
        <f t="shared" si="25"/>
        <v>0</v>
      </c>
      <c r="Q55" s="325"/>
      <c r="R55" s="329"/>
      <c r="S55" s="281"/>
      <c r="T55" s="281"/>
      <c r="U55" s="314"/>
      <c r="V55" s="1046"/>
      <c r="W55" s="1047">
        <f t="shared" si="5"/>
        <v>0</v>
      </c>
      <c r="X55" s="402"/>
      <c r="Y55" s="396">
        <f t="shared" si="26"/>
        <v>0</v>
      </c>
      <c r="Z55" s="336"/>
      <c r="AA55" s="544"/>
      <c r="AB55" s="583"/>
      <c r="AC55" s="363">
        <f t="shared" si="27"/>
        <v>1.5</v>
      </c>
      <c r="AD55" s="342">
        <f t="shared" si="15"/>
        <v>2531250000.0000005</v>
      </c>
    </row>
    <row r="56" spans="1:30" x14ac:dyDescent="0.6">
      <c r="A56" s="46">
        <f t="shared" si="28"/>
        <v>49</v>
      </c>
      <c r="B56" s="44" t="s">
        <v>67</v>
      </c>
      <c r="C56" s="290">
        <v>445011</v>
      </c>
      <c r="D56" s="290">
        <f>'NG transport'!C56+'NG Res'!C56+'NG Comm'!C56</f>
        <v>13398</v>
      </c>
      <c r="E56" s="290">
        <f t="shared" si="0"/>
        <v>431613</v>
      </c>
      <c r="F56" s="961">
        <f>E56*Assumptions!$C$48</f>
        <v>3275751366.1202192</v>
      </c>
      <c r="G56" s="961">
        <v>790391</v>
      </c>
      <c r="H56" s="961">
        <f>G56*Assumptions!$C$48</f>
        <v>5998717364.9058905</v>
      </c>
      <c r="I56" s="348">
        <f t="shared" si="1"/>
        <v>9274468731.0261097</v>
      </c>
      <c r="J56" s="391"/>
      <c r="K56" s="33">
        <f>Assumptions!$C$46</f>
        <v>7.5895567698846396</v>
      </c>
      <c r="L56" s="1483">
        <f>Assumptions!$C$63</f>
        <v>27.295999999999999</v>
      </c>
      <c r="M56" s="540"/>
      <c r="N56" s="975">
        <f>Assumptions!$C$104</f>
        <v>1.5</v>
      </c>
      <c r="O56" s="665"/>
      <c r="P56" s="392">
        <f t="shared" si="25"/>
        <v>0</v>
      </c>
      <c r="Q56" s="325"/>
      <c r="R56" s="329"/>
      <c r="S56" s="281"/>
      <c r="T56" s="281"/>
      <c r="U56" s="314"/>
      <c r="V56" s="1046"/>
      <c r="W56" s="1047">
        <f t="shared" si="5"/>
        <v>0</v>
      </c>
      <c r="X56" s="402"/>
      <c r="Y56" s="396">
        <f t="shared" si="26"/>
        <v>0</v>
      </c>
      <c r="Z56" s="336"/>
      <c r="AA56" s="544"/>
      <c r="AB56" s="583"/>
      <c r="AC56" s="363">
        <f t="shared" si="27"/>
        <v>1.5</v>
      </c>
      <c r="AD56" s="342">
        <f t="shared" si="15"/>
        <v>13911703096.539165</v>
      </c>
    </row>
    <row r="57" spans="1:30" x14ac:dyDescent="0.6">
      <c r="A57" s="46">
        <f t="shared" si="28"/>
        <v>50</v>
      </c>
      <c r="B57" s="44" t="s">
        <v>68</v>
      </c>
      <c r="C57" s="290">
        <v>183355</v>
      </c>
      <c r="D57" s="290">
        <f>'NG transport'!C57+'NG Res'!C57+'NG Comm'!C57</f>
        <v>0</v>
      </c>
      <c r="E57" s="290">
        <f t="shared" si="0"/>
        <v>183355</v>
      </c>
      <c r="F57" s="961">
        <f>E57*Assumptions!$C$48</f>
        <v>1391583181.5421982</v>
      </c>
      <c r="G57" s="961">
        <v>257080</v>
      </c>
      <c r="H57" s="961">
        <f>G57*Assumptions!$C$48</f>
        <v>1951123254.4019432</v>
      </c>
      <c r="I57" s="348">
        <f t="shared" si="1"/>
        <v>3342706435.9441414</v>
      </c>
      <c r="J57" s="391"/>
      <c r="K57" s="33">
        <f>Assumptions!$C$46</f>
        <v>7.5895567698846396</v>
      </c>
      <c r="L57" s="1483">
        <f>Assumptions!$C$63</f>
        <v>27.295999999999999</v>
      </c>
      <c r="M57" s="540"/>
      <c r="N57" s="975">
        <f>Assumptions!$C$104</f>
        <v>1.5</v>
      </c>
      <c r="O57" s="665"/>
      <c r="P57" s="392">
        <f t="shared" si="25"/>
        <v>0</v>
      </c>
      <c r="Q57" s="325"/>
      <c r="R57" s="329"/>
      <c r="S57" s="281"/>
      <c r="T57" s="281"/>
      <c r="U57" s="314"/>
      <c r="V57" s="1046"/>
      <c r="W57" s="1047">
        <f t="shared" si="5"/>
        <v>0</v>
      </c>
      <c r="X57" s="402"/>
      <c r="Y57" s="396">
        <f t="shared" si="26"/>
        <v>0</v>
      </c>
      <c r="Z57" s="336"/>
      <c r="AA57" s="544"/>
      <c r="AB57" s="583"/>
      <c r="AC57" s="363">
        <f t="shared" si="27"/>
        <v>1.5</v>
      </c>
      <c r="AD57" s="342">
        <f t="shared" si="15"/>
        <v>5014059653.9162121</v>
      </c>
    </row>
    <row r="58" spans="1:30" x14ac:dyDescent="0.6">
      <c r="A58" s="46">
        <f t="shared" si="28"/>
        <v>51</v>
      </c>
      <c r="B58" s="44" t="s">
        <v>695</v>
      </c>
      <c r="C58" s="290">
        <v>523961</v>
      </c>
      <c r="D58" s="290">
        <f>'NG transport'!C58+'NG Res'!C58+'NG Comm'!C58</f>
        <v>0</v>
      </c>
      <c r="E58" s="290">
        <f>C58-D58</f>
        <v>523961</v>
      </c>
      <c r="F58" s="961">
        <f>E58*Assumptions!$C$48</f>
        <v>3976631754.7055259</v>
      </c>
      <c r="G58" s="961">
        <v>317548</v>
      </c>
      <c r="H58" s="961">
        <f>G58*Assumptions!$C$48</f>
        <v>2410048573.1633277</v>
      </c>
      <c r="I58" s="348">
        <f t="shared" si="1"/>
        <v>6386680327.8688536</v>
      </c>
      <c r="J58" s="391"/>
      <c r="K58" s="33">
        <f>Assumptions!$C$46</f>
        <v>7.5895567698846396</v>
      </c>
      <c r="L58" s="1483">
        <f>Assumptions!$C$63</f>
        <v>27.295999999999999</v>
      </c>
      <c r="M58" s="540"/>
      <c r="N58" s="975">
        <f>Assumptions!$C$104</f>
        <v>1.5</v>
      </c>
      <c r="O58" s="665"/>
      <c r="P58" s="392"/>
      <c r="Q58" s="325"/>
      <c r="R58" s="329"/>
      <c r="S58" s="281"/>
      <c r="T58" s="281"/>
      <c r="U58" s="314"/>
      <c r="V58" s="1046"/>
      <c r="W58" s="1047">
        <f t="shared" si="5"/>
        <v>0</v>
      </c>
      <c r="X58" s="402"/>
      <c r="Y58" s="396"/>
      <c r="Z58" s="336"/>
      <c r="AA58" s="544"/>
      <c r="AB58" s="583"/>
      <c r="AC58" s="363">
        <f t="shared" si="27"/>
        <v>1.5</v>
      </c>
      <c r="AD58" s="342">
        <f>AC58*I58+AA58</f>
        <v>9580020491.8032799</v>
      </c>
    </row>
    <row r="59" spans="1:30" x14ac:dyDescent="0.6">
      <c r="A59" s="46">
        <f t="shared" si="28"/>
        <v>52</v>
      </c>
      <c r="B59" s="44" t="s">
        <v>69</v>
      </c>
      <c r="C59" s="290">
        <v>367444</v>
      </c>
      <c r="D59" s="290">
        <f>'NG transport'!C59+'NG Res'!C59+'NG Comm'!C59</f>
        <v>0</v>
      </c>
      <c r="E59" s="290">
        <f t="shared" si="0"/>
        <v>367444</v>
      </c>
      <c r="F59" s="961">
        <f>E59*Assumptions!$C$48</f>
        <v>2788737097.7534914</v>
      </c>
      <c r="G59" s="961">
        <v>399818</v>
      </c>
      <c r="H59" s="961">
        <f>G59*Assumptions!$C$48</f>
        <v>3034441408.621737</v>
      </c>
      <c r="I59" s="348">
        <f t="shared" si="1"/>
        <v>5823178506.3752289</v>
      </c>
      <c r="J59" s="391"/>
      <c r="K59" s="33">
        <f>Assumptions!$C$46</f>
        <v>7.5895567698846396</v>
      </c>
      <c r="L59" s="1483">
        <f>Assumptions!$C$63</f>
        <v>27.295999999999999</v>
      </c>
      <c r="M59" s="540"/>
      <c r="N59" s="975">
        <f>Assumptions!$C$104</f>
        <v>1.5</v>
      </c>
      <c r="O59" s="665"/>
      <c r="P59" s="392">
        <f t="shared" si="25"/>
        <v>0</v>
      </c>
      <c r="Q59" s="325"/>
      <c r="R59" s="329"/>
      <c r="S59" s="281"/>
      <c r="T59" s="281"/>
      <c r="U59" s="314"/>
      <c r="V59" s="1046"/>
      <c r="W59" s="1047">
        <f t="shared" si="5"/>
        <v>0</v>
      </c>
      <c r="X59" s="402"/>
      <c r="Y59" s="396">
        <f t="shared" si="26"/>
        <v>0</v>
      </c>
      <c r="Z59" s="336"/>
      <c r="AA59" s="544"/>
      <c r="AB59" s="583"/>
      <c r="AC59" s="363">
        <f t="shared" si="27"/>
        <v>1.5</v>
      </c>
      <c r="AD59" s="342">
        <f t="shared" si="15"/>
        <v>8734767759.5628433</v>
      </c>
    </row>
    <row r="60" spans="1:30" x14ac:dyDescent="0.6">
      <c r="A60" s="46">
        <f t="shared" si="28"/>
        <v>53</v>
      </c>
      <c r="B60" s="44" t="s">
        <v>70</v>
      </c>
      <c r="C60" s="290">
        <v>988530</v>
      </c>
      <c r="D60" s="290">
        <f>'NG transport'!C60+'NG Res'!C60+'NG Comm'!C60</f>
        <v>0</v>
      </c>
      <c r="E60" s="290">
        <f t="shared" si="0"/>
        <v>988530</v>
      </c>
      <c r="F60" s="961">
        <f>E60*Assumptions!$C$48</f>
        <v>7502504553.7340631</v>
      </c>
      <c r="G60" s="961">
        <v>2194514</v>
      </c>
      <c r="H60" s="961">
        <f>G60*Assumptions!$C$48</f>
        <v>16655388585.30662</v>
      </c>
      <c r="I60" s="348">
        <f t="shared" si="1"/>
        <v>24157893139.040684</v>
      </c>
      <c r="J60" s="391"/>
      <c r="K60" s="33">
        <f>Assumptions!$C$46</f>
        <v>7.5895567698846396</v>
      </c>
      <c r="L60" s="1483">
        <f>Assumptions!$C$63</f>
        <v>27.295999999999999</v>
      </c>
      <c r="M60" s="540"/>
      <c r="N60" s="975">
        <f>Assumptions!$C$104</f>
        <v>1.5</v>
      </c>
      <c r="O60" s="665"/>
      <c r="P60" s="392">
        <f t="shared" si="25"/>
        <v>0</v>
      </c>
      <c r="Q60" s="325"/>
      <c r="R60" s="329"/>
      <c r="S60" s="281"/>
      <c r="T60" s="281"/>
      <c r="U60" s="314"/>
      <c r="V60" s="1046"/>
      <c r="W60" s="1047">
        <f t="shared" si="5"/>
        <v>0</v>
      </c>
      <c r="X60" s="402"/>
      <c r="Y60" s="396">
        <f t="shared" si="26"/>
        <v>0</v>
      </c>
      <c r="Z60" s="336"/>
      <c r="AA60" s="544"/>
      <c r="AB60" s="583"/>
      <c r="AC60" s="363">
        <f t="shared" si="27"/>
        <v>1.5</v>
      </c>
      <c r="AD60" s="342">
        <f t="shared" si="15"/>
        <v>36236839708.561028</v>
      </c>
    </row>
    <row r="61" spans="1:30" x14ac:dyDescent="0.6">
      <c r="A61" s="46">
        <f t="shared" si="28"/>
        <v>54</v>
      </c>
      <c r="B61" s="44" t="s">
        <v>71</v>
      </c>
      <c r="C61" s="290">
        <v>535742</v>
      </c>
      <c r="D61" s="290">
        <f>'NG transport'!C61+'NG Res'!C61+'NG Comm'!C61</f>
        <v>3622</v>
      </c>
      <c r="E61" s="290">
        <f t="shared" si="0"/>
        <v>532120</v>
      </c>
      <c r="F61" s="961">
        <f>E61*Assumptions!$C$48</f>
        <v>4038554948.3910146</v>
      </c>
      <c r="G61" s="961">
        <v>118721</v>
      </c>
      <c r="H61" s="961">
        <f>G61*Assumptions!$C$48</f>
        <v>901039769.27747428</v>
      </c>
      <c r="I61" s="348">
        <f t="shared" si="1"/>
        <v>4939594717.6684885</v>
      </c>
      <c r="J61" s="391"/>
      <c r="K61" s="33">
        <f>Assumptions!$C$46</f>
        <v>7.5895567698846396</v>
      </c>
      <c r="L61" s="1483">
        <f>Assumptions!$C$63</f>
        <v>27.295999999999999</v>
      </c>
      <c r="M61" s="540"/>
      <c r="N61" s="975">
        <f>Assumptions!$C$104</f>
        <v>1.5</v>
      </c>
      <c r="O61" s="665"/>
      <c r="P61" s="392">
        <f t="shared" si="25"/>
        <v>0</v>
      </c>
      <c r="Q61" s="325"/>
      <c r="R61" s="329"/>
      <c r="S61" s="281"/>
      <c r="T61" s="281"/>
      <c r="U61" s="314"/>
      <c r="V61" s="1046"/>
      <c r="W61" s="1047">
        <f t="shared" si="5"/>
        <v>0</v>
      </c>
      <c r="X61" s="402"/>
      <c r="Y61" s="396">
        <f t="shared" si="26"/>
        <v>0</v>
      </c>
      <c r="Z61" s="336"/>
      <c r="AA61" s="544"/>
      <c r="AB61" s="583"/>
      <c r="AC61" s="363">
        <f t="shared" si="27"/>
        <v>1.5</v>
      </c>
      <c r="AD61" s="342">
        <f t="shared" si="15"/>
        <v>7409392076.5027332</v>
      </c>
    </row>
    <row r="62" spans="1:30" x14ac:dyDescent="0.6">
      <c r="A62" s="46">
        <f t="shared" si="28"/>
        <v>55</v>
      </c>
      <c r="B62" s="44" t="s">
        <v>72</v>
      </c>
      <c r="C62" s="290">
        <v>486014</v>
      </c>
      <c r="D62" s="290">
        <f>'NG transport'!C62+'NG Res'!C62+'NG Comm'!C62</f>
        <v>410840</v>
      </c>
      <c r="E62" s="290">
        <f t="shared" si="0"/>
        <v>75174</v>
      </c>
      <c r="F62" s="961">
        <f>E62*Assumptions!$C$48</f>
        <v>570537340.61930788</v>
      </c>
      <c r="G62" s="961">
        <v>410752</v>
      </c>
      <c r="H62" s="961">
        <f>G62*Assumptions!$C$48</f>
        <v>3117425622.3436556</v>
      </c>
      <c r="I62" s="348">
        <f t="shared" si="1"/>
        <v>3687962962.9629636</v>
      </c>
      <c r="J62" s="391"/>
      <c r="K62" s="33">
        <f>Assumptions!$C$46</f>
        <v>7.5895567698846396</v>
      </c>
      <c r="L62" s="1483">
        <f>Assumptions!$C$63</f>
        <v>27.295999999999999</v>
      </c>
      <c r="M62" s="540"/>
      <c r="N62" s="975">
        <f>Assumptions!$C$104</f>
        <v>1.5</v>
      </c>
      <c r="O62" s="665"/>
      <c r="P62" s="392">
        <f t="shared" si="25"/>
        <v>0</v>
      </c>
      <c r="Q62" s="325"/>
      <c r="R62" s="329"/>
      <c r="S62" s="281"/>
      <c r="T62" s="281"/>
      <c r="U62" s="314"/>
      <c r="V62" s="1046"/>
      <c r="W62" s="1047">
        <f t="shared" si="5"/>
        <v>0</v>
      </c>
      <c r="X62" s="402"/>
      <c r="Y62" s="396">
        <f t="shared" si="26"/>
        <v>0</v>
      </c>
      <c r="Z62" s="336"/>
      <c r="AA62" s="544"/>
      <c r="AB62" s="583"/>
      <c r="AC62" s="363">
        <f t="shared" si="27"/>
        <v>1.5</v>
      </c>
      <c r="AD62" s="342">
        <f t="shared" si="15"/>
        <v>5531944444.4444456</v>
      </c>
    </row>
    <row r="63" spans="1:30" x14ac:dyDescent="0.6">
      <c r="A63" s="46">
        <f t="shared" si="28"/>
        <v>56</v>
      </c>
      <c r="B63" s="44" t="s">
        <v>73</v>
      </c>
      <c r="C63" s="290">
        <v>1247636</v>
      </c>
      <c r="D63" s="290">
        <f>'NG transport'!C63+'NG Res'!C63+'NG Comm'!C63</f>
        <v>0</v>
      </c>
      <c r="E63" s="290">
        <f t="shared" si="0"/>
        <v>1247636</v>
      </c>
      <c r="F63" s="961">
        <f>E63*Assumptions!$C$48</f>
        <v>9469004250.1517925</v>
      </c>
      <c r="G63" s="961">
        <v>1395228</v>
      </c>
      <c r="H63" s="961">
        <f>G63*Assumptions!$C$48</f>
        <v>10589162112.932606</v>
      </c>
      <c r="I63" s="348">
        <f t="shared" si="1"/>
        <v>20058166363.084396</v>
      </c>
      <c r="J63" s="391"/>
      <c r="K63" s="33">
        <f>Assumptions!$C$46</f>
        <v>7.5895567698846396</v>
      </c>
      <c r="L63" s="1483">
        <f>Assumptions!$C$63</f>
        <v>27.295999999999999</v>
      </c>
      <c r="M63" s="540"/>
      <c r="N63" s="975">
        <f>Assumptions!$C$104</f>
        <v>1.5</v>
      </c>
      <c r="O63" s="665"/>
      <c r="P63" s="392">
        <f t="shared" si="25"/>
        <v>0</v>
      </c>
      <c r="Q63" s="325"/>
      <c r="R63" s="329"/>
      <c r="S63" s="281"/>
      <c r="T63" s="281"/>
      <c r="U63" s="314"/>
      <c r="V63" s="1046"/>
      <c r="W63" s="1047">
        <f t="shared" si="5"/>
        <v>0</v>
      </c>
      <c r="X63" s="402"/>
      <c r="Y63" s="396">
        <f t="shared" si="26"/>
        <v>0</v>
      </c>
      <c r="Z63" s="336"/>
      <c r="AA63" s="544"/>
      <c r="AB63" s="583"/>
      <c r="AC63" s="363">
        <f t="shared" si="27"/>
        <v>1.5</v>
      </c>
      <c r="AD63" s="342">
        <f t="shared" si="15"/>
        <v>30087249544.626595</v>
      </c>
    </row>
    <row r="64" spans="1:30" x14ac:dyDescent="0.6">
      <c r="A64" s="46">
        <f t="shared" si="28"/>
        <v>57</v>
      </c>
      <c r="B64" s="44" t="s">
        <v>74</v>
      </c>
      <c r="C64" s="290">
        <v>936170</v>
      </c>
      <c r="D64" s="290">
        <f>'NG transport'!C64+'NG Res'!C64+'NG Comm'!C64</f>
        <v>652600</v>
      </c>
      <c r="E64" s="290">
        <f t="shared" si="0"/>
        <v>283570</v>
      </c>
      <c r="F64" s="961">
        <f>E64*Assumptions!$C$48</f>
        <v>2152170613.2361875</v>
      </c>
      <c r="G64" s="961">
        <f>301552+308246</f>
        <v>609798</v>
      </c>
      <c r="H64" s="961">
        <f>G64*Assumptions!$C$48</f>
        <v>4628096539.1621132</v>
      </c>
      <c r="I64" s="348">
        <f t="shared" si="1"/>
        <v>6780267152.3983002</v>
      </c>
      <c r="J64" s="391"/>
      <c r="K64" s="33">
        <f>Assumptions!$C$46</f>
        <v>7.5895567698846396</v>
      </c>
      <c r="L64" s="1483">
        <f>Assumptions!$C$63</f>
        <v>27.295999999999999</v>
      </c>
      <c r="M64" s="540"/>
      <c r="N64" s="975">
        <f>Assumptions!$C$104</f>
        <v>1.5</v>
      </c>
      <c r="O64" s="665"/>
      <c r="P64" s="392">
        <f t="shared" si="25"/>
        <v>0</v>
      </c>
      <c r="Q64" s="325"/>
      <c r="R64" s="329"/>
      <c r="S64" s="281"/>
      <c r="T64" s="281"/>
      <c r="U64" s="314"/>
      <c r="V64" s="1046"/>
      <c r="W64" s="1047">
        <f t="shared" si="5"/>
        <v>0</v>
      </c>
      <c r="X64" s="402"/>
      <c r="Y64" s="396">
        <f t="shared" si="26"/>
        <v>0</v>
      </c>
      <c r="Z64" s="336"/>
      <c r="AA64" s="544"/>
      <c r="AB64" s="583"/>
      <c r="AC64" s="363">
        <f t="shared" si="27"/>
        <v>1.5</v>
      </c>
      <c r="AD64" s="342">
        <f t="shared" si="15"/>
        <v>10170400728.59745</v>
      </c>
    </row>
    <row r="65" spans="1:30" x14ac:dyDescent="0.6">
      <c r="A65" s="51">
        <f t="shared" si="28"/>
        <v>58</v>
      </c>
      <c r="B65" s="52" t="s">
        <v>75</v>
      </c>
      <c r="C65" s="292">
        <v>366658</v>
      </c>
      <c r="D65" s="292">
        <f>'NG transport'!C65+'NG Res'!C65+'NG Comm'!C65</f>
        <v>54769</v>
      </c>
      <c r="E65" s="292">
        <f t="shared" si="0"/>
        <v>311889</v>
      </c>
      <c r="F65" s="963">
        <f>E65*Assumptions!$C$48</f>
        <v>2367099271.4025502</v>
      </c>
      <c r="G65" s="963">
        <v>275778</v>
      </c>
      <c r="H65" s="963">
        <f>G65*Assumptions!$C$48</f>
        <v>2093032786.8852463</v>
      </c>
      <c r="I65" s="350">
        <f t="shared" si="1"/>
        <v>4460132058.287796</v>
      </c>
      <c r="J65" s="405"/>
      <c r="K65" s="45">
        <f>Assumptions!$C$46</f>
        <v>7.5895567698846396</v>
      </c>
      <c r="L65" s="1486">
        <f>Assumptions!$C$63</f>
        <v>27.295999999999999</v>
      </c>
      <c r="M65" s="541"/>
      <c r="N65" s="1024">
        <f>Assumptions!$C$104</f>
        <v>1.5</v>
      </c>
      <c r="O65" s="982"/>
      <c r="P65" s="406">
        <f t="shared" si="25"/>
        <v>0</v>
      </c>
      <c r="Q65" s="326"/>
      <c r="R65" s="335"/>
      <c r="S65" s="327"/>
      <c r="T65" s="327"/>
      <c r="U65" s="328"/>
      <c r="V65" s="1049"/>
      <c r="W65" s="1050">
        <f t="shared" si="5"/>
        <v>0</v>
      </c>
      <c r="X65" s="408"/>
      <c r="Y65" s="409">
        <f t="shared" si="26"/>
        <v>0</v>
      </c>
      <c r="Z65" s="545"/>
      <c r="AA65" s="546"/>
      <c r="AB65" s="584"/>
      <c r="AC65" s="572">
        <f t="shared" si="27"/>
        <v>1.5</v>
      </c>
      <c r="AD65" s="551">
        <f t="shared" si="15"/>
        <v>6690198087.431694</v>
      </c>
    </row>
    <row r="66" spans="1:30" x14ac:dyDescent="0.6">
      <c r="B66" s="1" t="s">
        <v>42</v>
      </c>
      <c r="C66" s="21">
        <f t="shared" ref="C66:E66" si="29">SUM(C4:C65)</f>
        <v>58972088</v>
      </c>
      <c r="D66" s="21">
        <f t="shared" si="29"/>
        <v>28645426</v>
      </c>
      <c r="E66" s="21">
        <f t="shared" si="29"/>
        <v>30326662</v>
      </c>
      <c r="G66" s="21">
        <f>SUM(G4:G65)</f>
        <v>45484056</v>
      </c>
      <c r="J66" s="398"/>
      <c r="V66" s="414"/>
      <c r="W66" s="414"/>
      <c r="AC66" s="1"/>
      <c r="AD66" s="1"/>
    </row>
    <row r="67" spans="1:30" x14ac:dyDescent="0.6">
      <c r="B67" s="1" t="s">
        <v>596</v>
      </c>
      <c r="C67" s="21">
        <v>65199246</v>
      </c>
      <c r="D67" s="13">
        <f>4540988+19535627+8444644</f>
        <v>32521259</v>
      </c>
      <c r="E67" s="21">
        <f>C67-D67</f>
        <v>32677987</v>
      </c>
      <c r="G67" s="21">
        <f>38879040+14102496</f>
        <v>52981536</v>
      </c>
      <c r="J67" s="398"/>
      <c r="V67" s="414"/>
      <c r="W67" s="414"/>
      <c r="AC67" s="1"/>
      <c r="AD67" s="1"/>
    </row>
    <row r="68" spans="1:30" x14ac:dyDescent="0.6">
      <c r="C68" s="360">
        <f t="shared" ref="C68:E68" si="30">C66/C67</f>
        <v>0.90449033720420635</v>
      </c>
      <c r="D68" s="28">
        <f t="shared" si="30"/>
        <v>0.88082155736959633</v>
      </c>
      <c r="E68" s="360">
        <f t="shared" si="30"/>
        <v>0.92804559840237411</v>
      </c>
      <c r="G68" s="360">
        <f>G66/G67</f>
        <v>0.85848881391434173</v>
      </c>
      <c r="I68" s="28"/>
      <c r="J68" s="1490" t="s">
        <v>1624</v>
      </c>
      <c r="K68" s="1491"/>
      <c r="L68" s="1492"/>
      <c r="M68" s="1493"/>
      <c r="N68" s="1494"/>
      <c r="V68" s="414"/>
      <c r="W68" s="414"/>
      <c r="Z68" s="219"/>
      <c r="AD68" s="1"/>
    </row>
    <row r="69" spans="1:30" x14ac:dyDescent="0.6">
      <c r="J69" s="1495"/>
      <c r="K69" s="1496"/>
      <c r="L69" s="1497"/>
      <c r="M69" s="1498"/>
      <c r="N69" s="1499"/>
      <c r="V69" s="414"/>
      <c r="W69" s="414"/>
      <c r="AC69" s="1"/>
      <c r="AD69" s="1"/>
    </row>
    <row r="70" spans="1:30" x14ac:dyDescent="0.6">
      <c r="J70" s="1495" t="s">
        <v>1625</v>
      </c>
      <c r="K70" s="1496"/>
      <c r="L70" s="1500">
        <v>3.93</v>
      </c>
      <c r="M70" s="1498" t="s">
        <v>1505</v>
      </c>
      <c r="N70" s="1499"/>
      <c r="V70" s="414"/>
      <c r="W70" s="414"/>
      <c r="AD70" s="1"/>
    </row>
    <row r="71" spans="1:30" x14ac:dyDescent="0.6">
      <c r="J71" s="1495"/>
      <c r="K71" s="1496"/>
      <c r="L71" s="1501">
        <f>Assumptions!$C$56</f>
        <v>1037</v>
      </c>
      <c r="M71" s="1498" t="s">
        <v>1627</v>
      </c>
      <c r="N71" s="1499"/>
      <c r="P71" s="3"/>
      <c r="V71" s="414"/>
      <c r="W71" s="414"/>
      <c r="AD71" s="1"/>
    </row>
    <row r="72" spans="1:30" x14ac:dyDescent="0.6">
      <c r="J72" s="1495"/>
      <c r="K72" s="1496"/>
      <c r="L72" s="1501">
        <f>L71*1000</f>
        <v>1037000</v>
      </c>
      <c r="M72" s="1498" t="s">
        <v>1626</v>
      </c>
      <c r="N72" s="1499"/>
      <c r="P72" s="3"/>
      <c r="V72" s="414"/>
      <c r="W72" s="414"/>
      <c r="AD72" s="1"/>
    </row>
    <row r="73" spans="1:30" x14ac:dyDescent="0.6">
      <c r="J73" s="1495"/>
      <c r="K73" s="1496"/>
      <c r="L73" s="1497">
        <f>L72/Assumptions!$C$8</f>
        <v>8.2959999999999994</v>
      </c>
      <c r="M73" s="1498" t="s">
        <v>1628</v>
      </c>
      <c r="N73" s="1499"/>
      <c r="P73" s="4"/>
      <c r="V73" s="414"/>
      <c r="W73" s="414"/>
      <c r="AD73" s="1"/>
    </row>
    <row r="74" spans="1:30" x14ac:dyDescent="0.6">
      <c r="J74" s="1495"/>
      <c r="K74" s="1496"/>
      <c r="L74" s="1502">
        <f>L70/L73</f>
        <v>0.4737222757955642</v>
      </c>
      <c r="M74" s="1498" t="s">
        <v>674</v>
      </c>
      <c r="N74" s="1499"/>
      <c r="P74" s="3"/>
      <c r="V74" s="414"/>
      <c r="W74" s="414"/>
      <c r="AD74" s="1"/>
    </row>
    <row r="75" spans="1:30" x14ac:dyDescent="0.6">
      <c r="A75" s="1"/>
      <c r="C75" s="85"/>
      <c r="D75" s="1"/>
      <c r="E75" s="85"/>
      <c r="F75" s="85"/>
      <c r="G75" s="85"/>
      <c r="H75" s="85"/>
      <c r="I75" s="1"/>
      <c r="J75" s="1495"/>
      <c r="K75" s="1503"/>
      <c r="L75" s="1497"/>
      <c r="M75" s="1504"/>
      <c r="N75" s="1505"/>
      <c r="O75" s="1"/>
      <c r="Q75" s="1"/>
      <c r="R75" s="1"/>
      <c r="S75" s="1"/>
      <c r="T75" s="1"/>
      <c r="V75" s="414"/>
      <c r="W75" s="414"/>
      <c r="Y75" s="85"/>
      <c r="Z75" s="1"/>
      <c r="AA75" s="1"/>
      <c r="AB75" s="83"/>
      <c r="AD75" s="1"/>
    </row>
    <row r="76" spans="1:30" x14ac:dyDescent="0.6">
      <c r="J76" s="1495" t="s">
        <v>1630</v>
      </c>
      <c r="K76" s="1496"/>
      <c r="L76" s="1500">
        <v>3.38</v>
      </c>
      <c r="M76" s="1498" t="s">
        <v>1505</v>
      </c>
      <c r="N76" s="1499"/>
      <c r="V76" s="414"/>
      <c r="W76" s="414"/>
      <c r="AD76" s="1"/>
    </row>
    <row r="77" spans="1:30" x14ac:dyDescent="0.6">
      <c r="J77" s="1495"/>
      <c r="K77" s="1496"/>
      <c r="L77" s="1501">
        <f>Assumptions!$C$56</f>
        <v>1037</v>
      </c>
      <c r="M77" s="1498" t="s">
        <v>1627</v>
      </c>
      <c r="N77" s="1499"/>
      <c r="V77" s="414"/>
      <c r="W77" s="414"/>
      <c r="AD77" s="1"/>
    </row>
    <row r="78" spans="1:30" x14ac:dyDescent="0.6">
      <c r="J78" s="1495"/>
      <c r="K78" s="1496"/>
      <c r="L78" s="1501">
        <f>L77*1000</f>
        <v>1037000</v>
      </c>
      <c r="M78" s="1498" t="s">
        <v>1626</v>
      </c>
      <c r="N78" s="1499"/>
      <c r="V78" s="414"/>
      <c r="W78" s="414"/>
      <c r="AD78" s="1"/>
    </row>
    <row r="79" spans="1:30" x14ac:dyDescent="0.6">
      <c r="J79" s="1495"/>
      <c r="K79" s="1496"/>
      <c r="L79" s="1497">
        <f>L78/Assumptions!$C$8</f>
        <v>8.2959999999999994</v>
      </c>
      <c r="M79" s="1498" t="s">
        <v>1628</v>
      </c>
      <c r="N79" s="1499"/>
      <c r="V79" s="414"/>
      <c r="W79" s="414"/>
      <c r="AD79" s="1"/>
    </row>
    <row r="80" spans="1:30" x14ac:dyDescent="0.6">
      <c r="J80" s="1495"/>
      <c r="K80" s="1496"/>
      <c r="L80" s="1502">
        <f>L76/L79</f>
        <v>0.40742526518804245</v>
      </c>
      <c r="M80" s="1498" t="s">
        <v>674</v>
      </c>
      <c r="N80" s="1499"/>
    </row>
    <row r="81" spans="10:14" x14ac:dyDescent="0.6">
      <c r="J81" s="1495"/>
      <c r="K81" s="1496"/>
      <c r="L81" s="1497"/>
      <c r="M81" s="1498"/>
      <c r="N81" s="1499"/>
    </row>
    <row r="82" spans="10:14" x14ac:dyDescent="0.6">
      <c r="J82" s="1495" t="s">
        <v>1629</v>
      </c>
      <c r="K82" s="1496"/>
      <c r="L82" s="1506">
        <f>L74*F4</f>
        <v>25310712264.167519</v>
      </c>
      <c r="M82" s="1498"/>
      <c r="N82" s="1499"/>
    </row>
    <row r="83" spans="10:14" x14ac:dyDescent="0.6">
      <c r="J83" s="1495" t="s">
        <v>1631</v>
      </c>
      <c r="K83" s="1496"/>
      <c r="L83" s="1506">
        <f>L80*H4</f>
        <v>34783508387.155518</v>
      </c>
      <c r="M83" s="1498"/>
      <c r="N83" s="1499"/>
    </row>
    <row r="84" spans="10:14" x14ac:dyDescent="0.6">
      <c r="J84" s="1495" t="s">
        <v>42</v>
      </c>
      <c r="K84" s="1496"/>
      <c r="L84" s="1506">
        <f>L83+L82</f>
        <v>60094220651.323036</v>
      </c>
      <c r="M84" s="1498"/>
      <c r="N84" s="1499"/>
    </row>
    <row r="85" spans="10:14" x14ac:dyDescent="0.6">
      <c r="J85" s="1507"/>
      <c r="K85" s="1508"/>
      <c r="L85" s="1509">
        <f>L84/I4</f>
        <v>0.43294489821293392</v>
      </c>
      <c r="M85" s="1510"/>
      <c r="N85" s="1511"/>
    </row>
    <row r="89" spans="10:14" x14ac:dyDescent="0.6">
      <c r="J89" s="55" t="s">
        <v>1632</v>
      </c>
    </row>
    <row r="90" spans="10:14" x14ac:dyDescent="0.6">
      <c r="K90" s="27">
        <v>0.67</v>
      </c>
      <c r="L90" s="4" t="s">
        <v>1633</v>
      </c>
    </row>
    <row r="91" spans="10:14" x14ac:dyDescent="0.6">
      <c r="K91" s="12">
        <f>Assumptions!$C$55</f>
        <v>35.314700000000002</v>
      </c>
      <c r="L91" s="4" t="s">
        <v>1634</v>
      </c>
    </row>
    <row r="92" spans="10:14" x14ac:dyDescent="0.6">
      <c r="K92" s="3">
        <f>K90/K91*1000</f>
        <v>18.972269338264237</v>
      </c>
      <c r="L92" s="4" t="s">
        <v>1635</v>
      </c>
    </row>
    <row r="93" spans="10:14" x14ac:dyDescent="0.6">
      <c r="K93" s="13">
        <f>Assumptions!$C$56</f>
        <v>1037</v>
      </c>
      <c r="L93" s="4" t="s">
        <v>1636</v>
      </c>
    </row>
    <row r="94" spans="10:14" x14ac:dyDescent="0.6">
      <c r="K94" s="13">
        <f>K93*K91</f>
        <v>36621.3439</v>
      </c>
      <c r="L94" s="4" t="s">
        <v>1637</v>
      </c>
    </row>
    <row r="95" spans="10:14" x14ac:dyDescent="0.6">
      <c r="K95" s="7">
        <f>K94/Assumptions!$C$8</f>
        <v>0.29297075119999999</v>
      </c>
      <c r="L95" s="4" t="s">
        <v>1638</v>
      </c>
    </row>
    <row r="96" spans="10:14" x14ac:dyDescent="0.6">
      <c r="K96" s="4">
        <f>K95*K90</f>
        <v>0.19629040330399999</v>
      </c>
      <c r="L96" s="4" t="s">
        <v>1639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" style="2" customWidth="1"/>
    <col min="2" max="2" width="26.59765625" style="1" customWidth="1"/>
    <col min="3" max="3" width="9.5" style="13" bestFit="1" customWidth="1"/>
    <col min="4" max="4" width="18.59765625" style="13" bestFit="1" customWidth="1"/>
    <col min="5" max="5" width="10.5" style="55" customWidth="1"/>
    <col min="6" max="6" width="11.09765625" style="7" bestFit="1" customWidth="1"/>
    <col min="7" max="7" width="11.09765625" style="1" bestFit="1" customWidth="1"/>
    <col min="8" max="8" width="11.09765625" style="10" bestFit="1" customWidth="1"/>
    <col min="9" max="9" width="12.5" style="5" bestFit="1" customWidth="1"/>
    <col min="10" max="10" width="13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customWidth="1"/>
    <col min="20" max="20" width="19.59765625" style="57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8.5" style="17" bestFit="1" customWidth="1"/>
    <col min="25" max="25" width="17.5" style="10" bestFit="1" customWidth="1"/>
    <col min="26" max="16384" width="10.84765625" style="1"/>
  </cols>
  <sheetData>
    <row r="1" spans="1:25" x14ac:dyDescent="0.6">
      <c r="A1" s="24" t="s">
        <v>21</v>
      </c>
      <c r="C1" s="19" t="s">
        <v>855</v>
      </c>
      <c r="E1" s="107"/>
      <c r="J1" s="54"/>
    </row>
    <row r="2" spans="1:25" s="2" customFormat="1" x14ac:dyDescent="0.6">
      <c r="A2" s="24"/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6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881</v>
      </c>
      <c r="S2" s="114"/>
      <c r="T2" s="58" t="s">
        <v>622</v>
      </c>
      <c r="U2" s="18" t="s">
        <v>42</v>
      </c>
      <c r="V2" s="18"/>
      <c r="W2" s="11" t="s">
        <v>645</v>
      </c>
      <c r="X2" s="18"/>
      <c r="Y2" s="11"/>
    </row>
    <row r="3" spans="1:25" s="2" customFormat="1" x14ac:dyDescent="0.6">
      <c r="C3" s="14" t="s">
        <v>93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707</v>
      </c>
      <c r="U3" s="18" t="s">
        <v>77</v>
      </c>
      <c r="V3" s="18" t="s">
        <v>34</v>
      </c>
      <c r="W3" s="11" t="s">
        <v>639</v>
      </c>
      <c r="X3" s="18" t="s">
        <v>642</v>
      </c>
      <c r="Y3" s="11"/>
    </row>
    <row r="4" spans="1:25" x14ac:dyDescent="0.6">
      <c r="A4" s="61">
        <v>1</v>
      </c>
      <c r="B4" s="44" t="s">
        <v>37</v>
      </c>
      <c r="C4" s="290">
        <v>354883</v>
      </c>
      <c r="D4" s="345">
        <f>C4*Assumptions!$C$5</f>
        <v>108375808461.53845</v>
      </c>
      <c r="E4" s="399">
        <v>1</v>
      </c>
      <c r="F4" s="297">
        <f>Assumptions!$C$115</f>
        <v>3.7854100000000002</v>
      </c>
      <c r="G4" s="389"/>
      <c r="H4" s="301">
        <f>'State gasoline'!V63</f>
        <v>2.0782926464873803</v>
      </c>
      <c r="I4" s="87"/>
      <c r="J4" s="842">
        <f>'State gasoline'!V61+'State gasoline'!V60</f>
        <v>0.44405130198692122</v>
      </c>
      <c r="K4" s="329"/>
      <c r="L4" s="329">
        <f>K4*H4</f>
        <v>0</v>
      </c>
      <c r="M4" s="329">
        <f>L4*I4</f>
        <v>0</v>
      </c>
      <c r="N4" s="313"/>
      <c r="O4" s="314">
        <f>'State gasoline'!V60*D4</f>
        <v>16388702059.043858</v>
      </c>
      <c r="P4" s="1053">
        <f>J4+N4</f>
        <v>0.44405130198692122</v>
      </c>
      <c r="Q4" s="1047">
        <f>P4*D4</f>
        <v>48124418851.231346</v>
      </c>
      <c r="R4" s="310">
        <f>'State gasoline'!V61</f>
        <v>0.29283026574560866</v>
      </c>
      <c r="S4" s="366">
        <f>D4*R4</f>
        <v>31735716792.187489</v>
      </c>
      <c r="T4" s="336">
        <f>-'OECD gasoline subsidies'!C3</f>
        <v>-151976573</v>
      </c>
      <c r="U4" s="342">
        <f>T4*E4</f>
        <v>-151976573</v>
      </c>
      <c r="V4" s="111">
        <f>S4+U4</f>
        <v>31583740219.187489</v>
      </c>
      <c r="W4" s="320">
        <f>(H4+J4)*(1+K4)</f>
        <v>2.5223439484743015</v>
      </c>
      <c r="X4" s="342">
        <f>W4*D4+U4</f>
        <v>273209088060.97153</v>
      </c>
    </row>
    <row r="5" spans="1:25" s="2" customFormat="1" x14ac:dyDescent="0.6">
      <c r="A5" s="40" t="s">
        <v>640</v>
      </c>
      <c r="B5" s="40"/>
      <c r="C5" s="356"/>
      <c r="D5" s="346"/>
      <c r="E5" s="418"/>
      <c r="F5" s="298"/>
      <c r="G5" s="385"/>
      <c r="H5" s="302"/>
      <c r="I5" s="42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  <c r="Y5" s="11"/>
    </row>
    <row r="6" spans="1:25" x14ac:dyDescent="0.6">
      <c r="A6" s="46">
        <f>A4+1</f>
        <v>2</v>
      </c>
      <c r="B6" s="44" t="s">
        <v>0</v>
      </c>
      <c r="C6" s="290">
        <v>1294</v>
      </c>
      <c r="D6" s="345">
        <f>C6*Assumptions!$C$5</f>
        <v>395167692.30769229</v>
      </c>
      <c r="E6" s="391">
        <f>Assumptions!$H$3</f>
        <v>1.1863330000000001</v>
      </c>
      <c r="F6" s="297">
        <f>Assumptions!$C$115</f>
        <v>3.7854100000000002</v>
      </c>
      <c r="G6" s="422">
        <v>0.60299999999999998</v>
      </c>
      <c r="H6" s="301">
        <f>G6*E6*F6</f>
        <v>2.7079263513225902</v>
      </c>
      <c r="I6" s="427">
        <v>0.61899999999999999</v>
      </c>
      <c r="J6" s="286">
        <f t="shared" ref="J6:J34" si="0">I6*F6*E6</f>
        <v>2.7797784601470701</v>
      </c>
      <c r="K6" s="322">
        <v>0.21</v>
      </c>
      <c r="L6" s="329">
        <f t="shared" ref="L6:L26" si="1">K6*H6</f>
        <v>0.56866453377774395</v>
      </c>
      <c r="M6" s="281">
        <f t="shared" ref="M6:M26" si="2">K6*J6</f>
        <v>0.58375347663088473</v>
      </c>
      <c r="N6" s="281">
        <f t="shared" ref="N6:N26" si="3">M6+L6</f>
        <v>1.1524180104086286</v>
      </c>
      <c r="O6" s="314">
        <f t="shared" ref="O6:O26" si="4">L6*D6</f>
        <v>224717851.5101808</v>
      </c>
      <c r="P6" s="1053">
        <f t="shared" ref="P6:P39" si="5">J6+N6</f>
        <v>3.9321964705556987</v>
      </c>
      <c r="Q6" s="1047">
        <f t="shared" ref="Q6:Q39" si="6">P6*D6</f>
        <v>1553877004.9699478</v>
      </c>
      <c r="R6" s="268">
        <f t="shared" ref="R6:R26" si="7">M6+J6</f>
        <v>3.3635319367779548</v>
      </c>
      <c r="S6" s="366">
        <f t="shared" ref="S6:S26" si="8">D6*R6</f>
        <v>1329159153.4597671</v>
      </c>
      <c r="T6" s="336">
        <f>-'OECD gasoline subsidies'!C28</f>
        <v>0</v>
      </c>
      <c r="U6" s="342">
        <f t="shared" ref="U6:U26" si="9">T6*E6</f>
        <v>0</v>
      </c>
      <c r="V6" s="111">
        <f t="shared" ref="V6:V26" si="10">S6+U6</f>
        <v>1329159153.4597671</v>
      </c>
      <c r="W6" s="281">
        <f t="shared" ref="W6:W26" si="11">(H6+J6)*(1+K6)</f>
        <v>6.6401228218782888</v>
      </c>
      <c r="X6" s="342">
        <f t="shared" ref="X6:X26" si="12">W6*D6+U6</f>
        <v>2623962012.1612849</v>
      </c>
    </row>
    <row r="7" spans="1:25" x14ac:dyDescent="0.6">
      <c r="A7" s="46">
        <f t="shared" ref="A7:A26" si="13">A6+1</f>
        <v>3</v>
      </c>
      <c r="B7" s="44" t="s">
        <v>1</v>
      </c>
      <c r="C7" s="290">
        <v>1478</v>
      </c>
      <c r="D7" s="345">
        <f>C7*Assumptions!$C$5</f>
        <v>451358461.53846151</v>
      </c>
      <c r="E7" s="391">
        <f>Assumptions!$H$15</f>
        <v>4.5997000000000003E-2</v>
      </c>
      <c r="F7" s="297">
        <f>Assumptions!$C$115</f>
        <v>3.7854100000000002</v>
      </c>
      <c r="G7" s="386">
        <v>11.73</v>
      </c>
      <c r="H7" s="301">
        <f t="shared" ref="H7:H26" si="14">E7*G7*F7</f>
        <v>2.0423983192221002</v>
      </c>
      <c r="I7" s="428">
        <v>12.84</v>
      </c>
      <c r="J7" s="286">
        <f t="shared" si="0"/>
        <v>2.2356687484068005</v>
      </c>
      <c r="K7" s="322">
        <v>0.21</v>
      </c>
      <c r="L7" s="329">
        <f t="shared" si="1"/>
        <v>0.42890364703664102</v>
      </c>
      <c r="M7" s="281">
        <f t="shared" si="2"/>
        <v>0.4694904371654281</v>
      </c>
      <c r="N7" s="281">
        <f t="shared" si="3"/>
        <v>0.89839408420206912</v>
      </c>
      <c r="O7" s="314">
        <f t="shared" si="4"/>
        <v>193589290.27469361</v>
      </c>
      <c r="P7" s="1053">
        <f t="shared" si="5"/>
        <v>3.1340628326088695</v>
      </c>
      <c r="Q7" s="1047">
        <f t="shared" si="6"/>
        <v>1414585778.4912121</v>
      </c>
      <c r="R7" s="268">
        <f t="shared" si="7"/>
        <v>2.7051591855722288</v>
      </c>
      <c r="S7" s="366">
        <f t="shared" si="8"/>
        <v>1220996488.2165186</v>
      </c>
      <c r="T7" s="336">
        <f>-'OECD gasoline subsidies'!C30</f>
        <v>0</v>
      </c>
      <c r="U7" s="342">
        <f t="shared" si="9"/>
        <v>0</v>
      </c>
      <c r="V7" s="111">
        <f t="shared" si="10"/>
        <v>1220996488.2165186</v>
      </c>
      <c r="W7" s="281">
        <f t="shared" si="11"/>
        <v>5.1764611518309698</v>
      </c>
      <c r="X7" s="342">
        <f t="shared" si="12"/>
        <v>2336439541.7040391</v>
      </c>
    </row>
    <row r="8" spans="1:25" x14ac:dyDescent="0.6">
      <c r="A8" s="46">
        <f t="shared" si="13"/>
        <v>4</v>
      </c>
      <c r="B8" s="44" t="s">
        <v>2</v>
      </c>
      <c r="C8" s="290">
        <v>1280</v>
      </c>
      <c r="D8" s="345">
        <f>C8*Assumptions!$C$5</f>
        <v>390892307.69230771</v>
      </c>
      <c r="E8" s="391">
        <f>Assumptions!$H$16</f>
        <v>0.15934999999999999</v>
      </c>
      <c r="F8" s="297">
        <f>Assumptions!$C$115</f>
        <v>3.7854100000000002</v>
      </c>
      <c r="G8" s="423">
        <v>3.8519999999999999</v>
      </c>
      <c r="H8" s="301">
        <f t="shared" si="14"/>
        <v>2.3235459816419999</v>
      </c>
      <c r="I8" s="429">
        <v>4.1369999999999996</v>
      </c>
      <c r="J8" s="286">
        <f t="shared" si="0"/>
        <v>2.4954594304394999</v>
      </c>
      <c r="K8" s="322">
        <v>0.25</v>
      </c>
      <c r="L8" s="329">
        <f t="shared" si="1"/>
        <v>0.58088649541049997</v>
      </c>
      <c r="M8" s="281">
        <f t="shared" si="2"/>
        <v>0.62386485760987498</v>
      </c>
      <c r="N8" s="281">
        <f t="shared" si="3"/>
        <v>1.2047513530203751</v>
      </c>
      <c r="O8" s="314">
        <f t="shared" si="4"/>
        <v>227064062.69830745</v>
      </c>
      <c r="P8" s="1053">
        <f t="shared" si="5"/>
        <v>3.700210783459875</v>
      </c>
      <c r="Q8" s="1047">
        <f t="shared" si="6"/>
        <v>1446383932.0945923</v>
      </c>
      <c r="R8" s="268">
        <f t="shared" si="7"/>
        <v>3.1193242880493748</v>
      </c>
      <c r="S8" s="366">
        <f t="shared" si="8"/>
        <v>1219319869.3962848</v>
      </c>
      <c r="T8" s="336">
        <f>-'OECD gasoline subsidies'!C32</f>
        <v>0</v>
      </c>
      <c r="U8" s="342">
        <f t="shared" si="9"/>
        <v>0</v>
      </c>
      <c r="V8" s="111">
        <f t="shared" si="10"/>
        <v>1219319869.3962848</v>
      </c>
      <c r="W8" s="281">
        <f t="shared" si="11"/>
        <v>6.0237567651018757</v>
      </c>
      <c r="X8" s="342">
        <f t="shared" si="12"/>
        <v>2354640182.8878226</v>
      </c>
    </row>
    <row r="9" spans="1:25" x14ac:dyDescent="0.6">
      <c r="A9" s="46">
        <f t="shared" si="13"/>
        <v>5</v>
      </c>
      <c r="B9" s="44" t="s">
        <v>3</v>
      </c>
      <c r="C9" s="290">
        <v>17058</v>
      </c>
      <c r="D9" s="345">
        <f>C9*Assumptions!$C$5</f>
        <v>5209250769.2307692</v>
      </c>
      <c r="E9" s="391">
        <f>Assumptions!$H$3</f>
        <v>1.1863330000000001</v>
      </c>
      <c r="F9" s="297">
        <f>Assumptions!$C$115</f>
        <v>3.7854100000000002</v>
      </c>
      <c r="G9" s="422">
        <v>0.46100000000000002</v>
      </c>
      <c r="H9" s="301">
        <f t="shared" si="14"/>
        <v>2.0702388855053302</v>
      </c>
      <c r="I9" s="427">
        <v>0.65500000000000003</v>
      </c>
      <c r="J9" s="286">
        <f t="shared" si="0"/>
        <v>2.9414457050021503</v>
      </c>
      <c r="K9" s="322">
        <v>0.19</v>
      </c>
      <c r="L9" s="329">
        <f t="shared" si="1"/>
        <v>0.39334538824601273</v>
      </c>
      <c r="M9" s="281">
        <f t="shared" si="2"/>
        <v>0.55887468395040851</v>
      </c>
      <c r="N9" s="281">
        <f t="shared" si="3"/>
        <v>0.95222007219642124</v>
      </c>
      <c r="O9" s="314">
        <f t="shared" si="4"/>
        <v>2049034766.2939174</v>
      </c>
      <c r="P9" s="1053">
        <f t="shared" si="5"/>
        <v>3.8936657771985717</v>
      </c>
      <c r="Q9" s="1047">
        <f t="shared" si="6"/>
        <v>20283081444.99918</v>
      </c>
      <c r="R9" s="268">
        <f t="shared" si="7"/>
        <v>3.5003203889525589</v>
      </c>
      <c r="S9" s="366">
        <f t="shared" si="8"/>
        <v>18234046678.705261</v>
      </c>
      <c r="T9" s="336">
        <f>-'OECD gasoline subsidies'!C35</f>
        <v>-27664041</v>
      </c>
      <c r="U9" s="342">
        <f t="shared" si="9"/>
        <v>-32818764.751653001</v>
      </c>
      <c r="V9" s="111">
        <f t="shared" si="10"/>
        <v>18201227913.953609</v>
      </c>
      <c r="W9" s="281">
        <f t="shared" si="11"/>
        <v>5.963904662703901</v>
      </c>
      <c r="X9" s="342">
        <f t="shared" si="12"/>
        <v>31034656187.057613</v>
      </c>
    </row>
    <row r="10" spans="1:25" x14ac:dyDescent="0.6">
      <c r="A10" s="46">
        <f t="shared" si="13"/>
        <v>6</v>
      </c>
      <c r="B10" s="44" t="s">
        <v>4</v>
      </c>
      <c r="C10" s="290">
        <v>231</v>
      </c>
      <c r="D10" s="345">
        <f>C10*Assumptions!$C$5</f>
        <v>70543846.153846145</v>
      </c>
      <c r="E10" s="391">
        <f>Assumptions!$H$3</f>
        <v>1.1863330000000001</v>
      </c>
      <c r="F10" s="297">
        <f>Assumptions!$C$115</f>
        <v>3.7854100000000002</v>
      </c>
      <c r="G10" s="422">
        <v>0.44800000000000001</v>
      </c>
      <c r="H10" s="301">
        <f t="shared" si="14"/>
        <v>2.0118590470854403</v>
      </c>
      <c r="I10" s="427">
        <f>422.77/1000</f>
        <v>0.42276999999999998</v>
      </c>
      <c r="J10" s="286">
        <f t="shared" si="0"/>
        <v>1.8985572529828383</v>
      </c>
      <c r="K10" s="322">
        <v>0.2</v>
      </c>
      <c r="L10" s="329">
        <f t="shared" si="1"/>
        <v>0.40237180941708806</v>
      </c>
      <c r="M10" s="281">
        <f t="shared" si="2"/>
        <v>0.37971145059656769</v>
      </c>
      <c r="N10" s="281">
        <f t="shared" si="3"/>
        <v>0.7820832600136558</v>
      </c>
      <c r="O10" s="314">
        <f t="shared" si="4"/>
        <v>28384855.02016376</v>
      </c>
      <c r="P10" s="1053">
        <f t="shared" si="5"/>
        <v>2.6806405129964941</v>
      </c>
      <c r="Q10" s="1047">
        <f t="shared" si="6"/>
        <v>189102691.94259188</v>
      </c>
      <c r="R10" s="268">
        <f t="shared" si="7"/>
        <v>2.278268703579406</v>
      </c>
      <c r="S10" s="366">
        <f t="shared" si="8"/>
        <v>160717836.92242813</v>
      </c>
      <c r="T10" s="336">
        <f>-'OECD gasoline subsidies'!C37</f>
        <v>0</v>
      </c>
      <c r="U10" s="342">
        <f t="shared" si="9"/>
        <v>0</v>
      </c>
      <c r="V10" s="111">
        <f t="shared" si="10"/>
        <v>160717836.92242813</v>
      </c>
      <c r="W10" s="281">
        <f t="shared" si="11"/>
        <v>4.6924995600819335</v>
      </c>
      <c r="X10" s="342">
        <f t="shared" si="12"/>
        <v>331026967.0434106</v>
      </c>
    </row>
    <row r="11" spans="1:25" x14ac:dyDescent="0.6">
      <c r="A11" s="46">
        <f t="shared" si="13"/>
        <v>7</v>
      </c>
      <c r="B11" s="44" t="s">
        <v>5</v>
      </c>
      <c r="C11" s="290">
        <v>2461</v>
      </c>
      <c r="D11" s="345">
        <f>C11*Assumptions!$C$5</f>
        <v>751551538.46153843</v>
      </c>
      <c r="E11" s="391">
        <f>Assumptions!$H$3</f>
        <v>1.1863330000000001</v>
      </c>
      <c r="F11" s="297">
        <f>Assumptions!$C$115</f>
        <v>3.7854100000000002</v>
      </c>
      <c r="G11" s="422">
        <v>0.46300000000000002</v>
      </c>
      <c r="H11" s="301">
        <f t="shared" si="14"/>
        <v>2.0792203991083902</v>
      </c>
      <c r="I11" s="427">
        <f>670/1000</f>
        <v>0.67</v>
      </c>
      <c r="J11" s="286">
        <f t="shared" si="0"/>
        <v>3.0088070570251007</v>
      </c>
      <c r="K11" s="322">
        <v>0.23</v>
      </c>
      <c r="L11" s="329">
        <f t="shared" si="1"/>
        <v>0.47822069179492976</v>
      </c>
      <c r="M11" s="281">
        <f t="shared" si="2"/>
        <v>0.6920256231157732</v>
      </c>
      <c r="N11" s="281">
        <f t="shared" si="3"/>
        <v>1.170246314910703</v>
      </c>
      <c r="O11" s="314">
        <f t="shared" si="4"/>
        <v>359407496.64262068</v>
      </c>
      <c r="P11" s="1053">
        <f t="shared" si="5"/>
        <v>4.1790533719358036</v>
      </c>
      <c r="Q11" s="1047">
        <f t="shared" si="6"/>
        <v>3140773990.9912329</v>
      </c>
      <c r="R11" s="268">
        <f t="shared" si="7"/>
        <v>3.700832680140874</v>
      </c>
      <c r="S11" s="366">
        <f t="shared" si="8"/>
        <v>2781366494.3486123</v>
      </c>
      <c r="T11" s="336">
        <f>-'OECD gasoline subsidies'!C39</f>
        <v>0</v>
      </c>
      <c r="U11" s="342">
        <f t="shared" si="9"/>
        <v>0</v>
      </c>
      <c r="V11" s="111">
        <f t="shared" si="10"/>
        <v>2781366494.3486123</v>
      </c>
      <c r="W11" s="281">
        <f t="shared" si="11"/>
        <v>6.2582737710441929</v>
      </c>
      <c r="X11" s="342">
        <f t="shared" si="12"/>
        <v>4703415280.7417574</v>
      </c>
    </row>
    <row r="12" spans="1:25" x14ac:dyDescent="0.6">
      <c r="A12" s="46">
        <f t="shared" si="13"/>
        <v>8</v>
      </c>
      <c r="B12" s="44" t="s">
        <v>6</v>
      </c>
      <c r="C12" s="290">
        <v>4349</v>
      </c>
      <c r="D12" s="345">
        <f>C12*Assumptions!$C$5</f>
        <v>1328117692.3076923</v>
      </c>
      <c r="E12" s="391">
        <f>Assumptions!$H$3</f>
        <v>1.1863330000000001</v>
      </c>
      <c r="F12" s="297">
        <f>Assumptions!$C$115</f>
        <v>3.7854100000000002</v>
      </c>
      <c r="G12" s="422">
        <v>0.496</v>
      </c>
      <c r="H12" s="301">
        <f t="shared" si="14"/>
        <v>2.22741537355888</v>
      </c>
      <c r="I12" s="427">
        <v>0.46200000000000002</v>
      </c>
      <c r="J12" s="286">
        <f t="shared" si="0"/>
        <v>2.0747296423068602</v>
      </c>
      <c r="K12" s="322">
        <v>0.21</v>
      </c>
      <c r="L12" s="329">
        <f t="shared" si="1"/>
        <v>0.46775722844736478</v>
      </c>
      <c r="M12" s="281">
        <f t="shared" si="2"/>
        <v>0.43569322488444062</v>
      </c>
      <c r="N12" s="281">
        <f t="shared" si="3"/>
        <v>0.9034504533318054</v>
      </c>
      <c r="O12" s="314">
        <f t="shared" si="4"/>
        <v>621236650.80575609</v>
      </c>
      <c r="P12" s="1053">
        <f t="shared" si="5"/>
        <v>2.9781800956386655</v>
      </c>
      <c r="Q12" s="1047">
        <f t="shared" si="6"/>
        <v>3955373675.8963265</v>
      </c>
      <c r="R12" s="268">
        <f t="shared" si="7"/>
        <v>2.5104228671913007</v>
      </c>
      <c r="S12" s="366">
        <f t="shared" si="8"/>
        <v>3334137025.0905704</v>
      </c>
      <c r="T12" s="336">
        <f>-'OECD gasoline subsidies'!C42</f>
        <v>-215743</v>
      </c>
      <c r="U12" s="342">
        <f t="shared" si="9"/>
        <v>-255943.04041900003</v>
      </c>
      <c r="V12" s="111">
        <f t="shared" si="10"/>
        <v>3333881082.0501513</v>
      </c>
      <c r="W12" s="281">
        <f t="shared" si="11"/>
        <v>5.2055954691975455</v>
      </c>
      <c r="X12" s="342">
        <f t="shared" si="12"/>
        <v>6913387498.5976038</v>
      </c>
    </row>
    <row r="13" spans="1:25" x14ac:dyDescent="0.6">
      <c r="A13" s="46">
        <f t="shared" si="13"/>
        <v>9</v>
      </c>
      <c r="B13" s="44" t="s">
        <v>7</v>
      </c>
      <c r="C13" s="290">
        <v>6433</v>
      </c>
      <c r="D13" s="345">
        <f>C13*Assumptions!$C$5</f>
        <v>1964539230.7692306</v>
      </c>
      <c r="E13" s="391">
        <f>Assumptions!$H$3</f>
        <v>1.1863330000000001</v>
      </c>
      <c r="F13" s="297">
        <f>Assumptions!$C$115</f>
        <v>3.7854100000000002</v>
      </c>
      <c r="G13" s="422">
        <v>0.439</v>
      </c>
      <c r="H13" s="301">
        <f t="shared" si="14"/>
        <v>1.9714422358716703</v>
      </c>
      <c r="I13" s="427">
        <v>0.624</v>
      </c>
      <c r="J13" s="286">
        <f t="shared" si="0"/>
        <v>2.8022322441547205</v>
      </c>
      <c r="K13" s="322">
        <v>0.2</v>
      </c>
      <c r="L13" s="329">
        <f t="shared" si="1"/>
        <v>0.39428844717433409</v>
      </c>
      <c r="M13" s="281">
        <f t="shared" si="2"/>
        <v>0.56044644883094408</v>
      </c>
      <c r="N13" s="281">
        <f t="shared" si="3"/>
        <v>0.95473489600527817</v>
      </c>
      <c r="O13" s="314">
        <f t="shared" si="4"/>
        <v>774595122.71306074</v>
      </c>
      <c r="P13" s="1053">
        <f t="shared" si="5"/>
        <v>3.7569671401599987</v>
      </c>
      <c r="Q13" s="1047">
        <f t="shared" si="6"/>
        <v>7380709335.5551996</v>
      </c>
      <c r="R13" s="268">
        <f t="shared" si="7"/>
        <v>3.3626786929856647</v>
      </c>
      <c r="S13" s="366">
        <f t="shared" si="8"/>
        <v>6606114212.8421392</v>
      </c>
      <c r="T13" s="336">
        <f>-'OECD gasoline subsidies'!C45</f>
        <v>-203546316</v>
      </c>
      <c r="U13" s="342">
        <f t="shared" si="9"/>
        <v>-241473711.69922802</v>
      </c>
      <c r="V13" s="111">
        <f t="shared" si="10"/>
        <v>6364640501.142911</v>
      </c>
      <c r="W13" s="281">
        <f t="shared" si="11"/>
        <v>5.728409376031669</v>
      </c>
      <c r="X13" s="342">
        <f t="shared" si="12"/>
        <v>11012211237.421274</v>
      </c>
    </row>
    <row r="14" spans="1:25" x14ac:dyDescent="0.6">
      <c r="A14" s="46">
        <f t="shared" si="13"/>
        <v>10</v>
      </c>
      <c r="B14" s="44" t="s">
        <v>8</v>
      </c>
      <c r="C14" s="290">
        <v>958</v>
      </c>
      <c r="D14" s="345">
        <f>C14*Assumptions!$C$5</f>
        <v>292558461.53846151</v>
      </c>
      <c r="E14" s="391">
        <f>Assumptions!$H$3</f>
        <v>1.1863330000000001</v>
      </c>
      <c r="F14" s="297">
        <f>Assumptions!$C$115</f>
        <v>3.7854100000000002</v>
      </c>
      <c r="G14" s="422">
        <v>0.47099999999999997</v>
      </c>
      <c r="H14" s="301">
        <f t="shared" si="14"/>
        <v>2.1151464535206301</v>
      </c>
      <c r="I14" s="427">
        <f>587.71/1000</f>
        <v>0.58771000000000007</v>
      </c>
      <c r="J14" s="286">
        <f t="shared" si="0"/>
        <v>2.6392626798271972</v>
      </c>
      <c r="K14" s="322">
        <v>0.23</v>
      </c>
      <c r="L14" s="329">
        <f t="shared" si="1"/>
        <v>0.48648368430974498</v>
      </c>
      <c r="M14" s="281">
        <f t="shared" si="2"/>
        <v>0.60703041636025534</v>
      </c>
      <c r="N14" s="281">
        <f t="shared" si="3"/>
        <v>1.0935141006700002</v>
      </c>
      <c r="O14" s="314">
        <f t="shared" si="4"/>
        <v>142324918.24522159</v>
      </c>
      <c r="P14" s="1053">
        <f t="shared" si="5"/>
        <v>3.7327767804971974</v>
      </c>
      <c r="Q14" s="1047">
        <f t="shared" si="6"/>
        <v>1092055432.1687515</v>
      </c>
      <c r="R14" s="268">
        <f t="shared" si="7"/>
        <v>3.2462930961874523</v>
      </c>
      <c r="S14" s="366">
        <f t="shared" si="8"/>
        <v>949730513.92352986</v>
      </c>
      <c r="T14" s="336">
        <f>-'OECD gasoline subsidies'!C53</f>
        <v>0</v>
      </c>
      <c r="U14" s="342">
        <f t="shared" si="9"/>
        <v>0</v>
      </c>
      <c r="V14" s="111">
        <f t="shared" si="10"/>
        <v>949730513.92352986</v>
      </c>
      <c r="W14" s="281">
        <f t="shared" si="11"/>
        <v>5.847923234017828</v>
      </c>
      <c r="X14" s="342">
        <f t="shared" si="12"/>
        <v>1710859424.5392802</v>
      </c>
    </row>
    <row r="15" spans="1:25" x14ac:dyDescent="0.6">
      <c r="A15" s="46">
        <f t="shared" si="13"/>
        <v>11</v>
      </c>
      <c r="B15" s="44" t="s">
        <v>9</v>
      </c>
      <c r="C15" s="290">
        <v>7840</v>
      </c>
      <c r="D15" s="345">
        <f>C15*Assumptions!$C$5</f>
        <v>2394215384.6153846</v>
      </c>
      <c r="E15" s="391">
        <f>Assumptions!$H$3</f>
        <v>1.1863330000000001</v>
      </c>
      <c r="F15" s="297">
        <f>Assumptions!$C$115</f>
        <v>3.7854100000000002</v>
      </c>
      <c r="G15" s="422">
        <v>0.46899999999999997</v>
      </c>
      <c r="H15" s="301">
        <f t="shared" si="14"/>
        <v>2.1061649399175701</v>
      </c>
      <c r="I15" s="427">
        <f>728.4/1000</f>
        <v>0.72839999999999994</v>
      </c>
      <c r="J15" s="286">
        <f t="shared" si="0"/>
        <v>3.2710672542344521</v>
      </c>
      <c r="K15" s="322">
        <v>0.22</v>
      </c>
      <c r="L15" s="329">
        <f t="shared" si="1"/>
        <v>0.46335628678186541</v>
      </c>
      <c r="M15" s="281">
        <f t="shared" si="2"/>
        <v>0.71963479593157942</v>
      </c>
      <c r="N15" s="281">
        <f t="shared" si="3"/>
        <v>1.1829910827134449</v>
      </c>
      <c r="O15" s="314">
        <f t="shared" si="4"/>
        <v>1109374750.3714004</v>
      </c>
      <c r="P15" s="1053">
        <f t="shared" si="5"/>
        <v>4.454058336947897</v>
      </c>
      <c r="Q15" s="1047">
        <f t="shared" si="6"/>
        <v>10663974994.295069</v>
      </c>
      <c r="R15" s="268">
        <f t="shared" si="7"/>
        <v>3.9907020501660315</v>
      </c>
      <c r="S15" s="366">
        <f t="shared" si="8"/>
        <v>9554600243.9236698</v>
      </c>
      <c r="T15" s="336">
        <f>-'OECD gasoline subsidies'!C56</f>
        <v>-58034204</v>
      </c>
      <c r="U15" s="342">
        <f t="shared" si="9"/>
        <v>-68847891.333931997</v>
      </c>
      <c r="V15" s="111">
        <f t="shared" si="10"/>
        <v>9485752352.5897369</v>
      </c>
      <c r="W15" s="281">
        <f t="shared" si="11"/>
        <v>6.5602232768654662</v>
      </c>
      <c r="X15" s="342">
        <f t="shared" si="12"/>
        <v>15637739604.649319</v>
      </c>
    </row>
    <row r="16" spans="1:25" x14ac:dyDescent="0.6">
      <c r="A16" s="46">
        <f t="shared" si="13"/>
        <v>12</v>
      </c>
      <c r="B16" s="44" t="s">
        <v>10</v>
      </c>
      <c r="C16" s="290">
        <v>285</v>
      </c>
      <c r="D16" s="345">
        <f>C16*Assumptions!$C$5</f>
        <v>87034615.384615377</v>
      </c>
      <c r="E16" s="391">
        <f>Assumptions!$H$3</f>
        <v>1.1863330000000001</v>
      </c>
      <c r="F16" s="297">
        <f>Assumptions!$C$115</f>
        <v>3.7854100000000002</v>
      </c>
      <c r="G16" s="422">
        <v>0.45300000000000001</v>
      </c>
      <c r="H16" s="301">
        <f t="shared" si="14"/>
        <v>2.0343128310930902</v>
      </c>
      <c r="I16" s="427">
        <v>0.46200000000000002</v>
      </c>
      <c r="J16" s="286">
        <f t="shared" si="0"/>
        <v>2.0747296423068602</v>
      </c>
      <c r="K16" s="322">
        <v>0.17</v>
      </c>
      <c r="L16" s="329">
        <f t="shared" si="1"/>
        <v>0.34583318128582535</v>
      </c>
      <c r="M16" s="281">
        <f t="shared" si="2"/>
        <v>0.35270403919216625</v>
      </c>
      <c r="N16" s="281">
        <f t="shared" si="3"/>
        <v>0.6985372204779916</v>
      </c>
      <c r="O16" s="314">
        <f t="shared" si="4"/>
        <v>30099457.920449775</v>
      </c>
      <c r="P16" s="1053">
        <f t="shared" si="5"/>
        <v>2.773266862784852</v>
      </c>
      <c r="Q16" s="1047">
        <f t="shared" si="6"/>
        <v>241370214.7613785</v>
      </c>
      <c r="R16" s="268">
        <f t="shared" si="7"/>
        <v>2.4274336814990263</v>
      </c>
      <c r="S16" s="366">
        <f t="shared" si="8"/>
        <v>211270756.8409287</v>
      </c>
      <c r="T16" s="336">
        <f>-'OECD gasoline subsidies'!C61</f>
        <v>0</v>
      </c>
      <c r="U16" s="342">
        <f t="shared" si="9"/>
        <v>0</v>
      </c>
      <c r="V16" s="111">
        <f t="shared" si="10"/>
        <v>211270756.8409287</v>
      </c>
      <c r="W16" s="281">
        <f t="shared" si="11"/>
        <v>4.8075796938779423</v>
      </c>
      <c r="X16" s="342">
        <f t="shared" si="12"/>
        <v>418425849.58755362</v>
      </c>
    </row>
    <row r="17" spans="1:25" x14ac:dyDescent="0.6">
      <c r="A17" s="46">
        <f t="shared" si="13"/>
        <v>13</v>
      </c>
      <c r="B17" s="44" t="s">
        <v>11</v>
      </c>
      <c r="C17" s="290">
        <v>1221</v>
      </c>
      <c r="D17" s="345">
        <f>C17*Assumptions!$C$5</f>
        <v>372874615.38461536</v>
      </c>
      <c r="E17" s="391">
        <f>Assumptions!$H$17</f>
        <v>3.8049999999999998E-3</v>
      </c>
      <c r="F17" s="297">
        <f>Assumptions!$C$115</f>
        <v>3.7854100000000002</v>
      </c>
      <c r="G17" s="459">
        <v>142.58000000000001</v>
      </c>
      <c r="H17" s="301">
        <f t="shared" si="14"/>
        <v>2.053648898429</v>
      </c>
      <c r="I17" s="430">
        <v>120</v>
      </c>
      <c r="J17" s="286">
        <f t="shared" si="0"/>
        <v>1.728418206</v>
      </c>
      <c r="K17" s="322">
        <v>0.27</v>
      </c>
      <c r="L17" s="329">
        <f t="shared" si="1"/>
        <v>0.55448520257583001</v>
      </c>
      <c r="M17" s="281">
        <f t="shared" si="2"/>
        <v>0.46667291562000002</v>
      </c>
      <c r="N17" s="281">
        <f t="shared" si="3"/>
        <v>1.02115811819583</v>
      </c>
      <c r="O17" s="314">
        <f t="shared" si="4"/>
        <v>206753456.64692315</v>
      </c>
      <c r="P17" s="1053">
        <f t="shared" si="5"/>
        <v>2.74957632419583</v>
      </c>
      <c r="Q17" s="1047">
        <f t="shared" si="6"/>
        <v>1025247214.3551645</v>
      </c>
      <c r="R17" s="268">
        <f t="shared" si="7"/>
        <v>2.19509112162</v>
      </c>
      <c r="S17" s="366">
        <f t="shared" si="8"/>
        <v>818493757.70824146</v>
      </c>
      <c r="T17" s="336">
        <f>-'OECD gasoline subsidies'!C63+'OECD gasoline subsidies'!C63</f>
        <v>0</v>
      </c>
      <c r="U17" s="342">
        <f t="shared" si="9"/>
        <v>0</v>
      </c>
      <c r="V17" s="111">
        <f t="shared" si="10"/>
        <v>818493757.70824146</v>
      </c>
      <c r="W17" s="281">
        <f t="shared" si="11"/>
        <v>4.80322522262483</v>
      </c>
      <c r="X17" s="342">
        <f t="shared" si="12"/>
        <v>1791000757.4919169</v>
      </c>
      <c r="Y17" s="1"/>
    </row>
    <row r="18" spans="1:25" x14ac:dyDescent="0.6">
      <c r="A18" s="46">
        <f t="shared" si="13"/>
        <v>14</v>
      </c>
      <c r="B18" s="44" t="s">
        <v>12</v>
      </c>
      <c r="C18" s="290">
        <v>3675</v>
      </c>
      <c r="D18" s="345">
        <f>C18*Assumptions!$C$5</f>
        <v>1122288461.5384614</v>
      </c>
      <c r="E18" s="391">
        <f>Assumptions!$H$3</f>
        <v>1.1863330000000001</v>
      </c>
      <c r="F18" s="297">
        <f>Assumptions!$C$115</f>
        <v>3.7854100000000002</v>
      </c>
      <c r="G18" s="422">
        <v>0.45800000000000002</v>
      </c>
      <c r="H18" s="301">
        <f t="shared" si="14"/>
        <v>2.0567666151007402</v>
      </c>
      <c r="I18" s="427">
        <v>0.74399999999999999</v>
      </c>
      <c r="J18" s="286">
        <f t="shared" si="0"/>
        <v>3.3411230603383206</v>
      </c>
      <c r="K18" s="322">
        <v>0.21</v>
      </c>
      <c r="L18" s="329">
        <f t="shared" si="1"/>
        <v>0.43192098917115546</v>
      </c>
      <c r="M18" s="281">
        <f t="shared" si="2"/>
        <v>0.70163584267104728</v>
      </c>
      <c r="N18" s="281">
        <f t="shared" si="3"/>
        <v>1.1335568318422027</v>
      </c>
      <c r="O18" s="314">
        <f t="shared" si="4"/>
        <v>484739942.44306654</v>
      </c>
      <c r="P18" s="1053">
        <f t="shared" si="5"/>
        <v>4.4746798921805233</v>
      </c>
      <c r="Q18" s="1047">
        <f t="shared" si="6"/>
        <v>5021881612.0723677</v>
      </c>
      <c r="R18" s="268">
        <f t="shared" si="7"/>
        <v>4.0427589030093678</v>
      </c>
      <c r="S18" s="366">
        <f t="shared" si="8"/>
        <v>4537141669.6293011</v>
      </c>
      <c r="T18" s="336">
        <f>-'OECD gasoline subsidies'!C65</f>
        <v>0</v>
      </c>
      <c r="U18" s="342">
        <f t="shared" si="9"/>
        <v>0</v>
      </c>
      <c r="V18" s="111">
        <f t="shared" si="10"/>
        <v>4537141669.6293011</v>
      </c>
      <c r="W18" s="281">
        <f t="shared" si="11"/>
        <v>6.5314465072812631</v>
      </c>
      <c r="X18" s="342">
        <f t="shared" si="12"/>
        <v>7330167052.2774458</v>
      </c>
      <c r="Y18" s="1"/>
    </row>
    <row r="19" spans="1:25" x14ac:dyDescent="0.6">
      <c r="A19" s="46">
        <f t="shared" si="13"/>
        <v>15</v>
      </c>
      <c r="B19" s="44" t="s">
        <v>13</v>
      </c>
      <c r="C19" s="290">
        <v>1554</v>
      </c>
      <c r="D19" s="345">
        <f>C19*Assumptions!$C$5</f>
        <v>474567692.30769229</v>
      </c>
      <c r="E19" s="391">
        <f>Assumptions!$H$3</f>
        <v>1.1863330000000001</v>
      </c>
      <c r="F19" s="297">
        <f>Assumptions!$C$115</f>
        <v>3.7854100000000002</v>
      </c>
      <c r="G19" s="422">
        <v>0.45</v>
      </c>
      <c r="H19" s="301">
        <f t="shared" si="14"/>
        <v>2.0208405606885003</v>
      </c>
      <c r="I19" s="427">
        <f>482/1000</f>
        <v>0.48199999999999998</v>
      </c>
      <c r="J19" s="286">
        <f t="shared" si="0"/>
        <v>2.1645447783374601</v>
      </c>
      <c r="K19" s="322">
        <v>0.2</v>
      </c>
      <c r="L19" s="329">
        <f t="shared" si="1"/>
        <v>0.4041681121377001</v>
      </c>
      <c r="M19" s="281">
        <f t="shared" si="2"/>
        <v>0.43290895566749205</v>
      </c>
      <c r="N19" s="281">
        <f t="shared" si="3"/>
        <v>0.8370770678051922</v>
      </c>
      <c r="O19" s="314">
        <f t="shared" si="4"/>
        <v>191805128.28154492</v>
      </c>
      <c r="P19" s="1053">
        <f t="shared" si="5"/>
        <v>3.001621846142652</v>
      </c>
      <c r="Q19" s="1047">
        <f t="shared" si="6"/>
        <v>1424472752.7042735</v>
      </c>
      <c r="R19" s="268">
        <f t="shared" si="7"/>
        <v>2.5974537340049522</v>
      </c>
      <c r="S19" s="366">
        <f t="shared" si="8"/>
        <v>1232667624.4227285</v>
      </c>
      <c r="T19" s="336">
        <f>-'OECD gasoline subsidies'!C67</f>
        <v>0</v>
      </c>
      <c r="U19" s="342">
        <f t="shared" si="9"/>
        <v>0</v>
      </c>
      <c r="V19" s="111">
        <f t="shared" si="10"/>
        <v>1232667624.4227285</v>
      </c>
      <c r="W19" s="281">
        <f t="shared" si="11"/>
        <v>5.0224624068311519</v>
      </c>
      <c r="X19" s="342">
        <f t="shared" si="12"/>
        <v>2383498394.1119976</v>
      </c>
      <c r="Y19" s="1"/>
    </row>
    <row r="20" spans="1:25" x14ac:dyDescent="0.6">
      <c r="A20" s="46">
        <f t="shared" si="13"/>
        <v>16</v>
      </c>
      <c r="B20" s="44" t="s">
        <v>14</v>
      </c>
      <c r="C20" s="290">
        <v>3562</v>
      </c>
      <c r="D20" s="345">
        <f>C20*Assumptions!$C$5</f>
        <v>1087780000</v>
      </c>
      <c r="E20" s="391">
        <f>Assumptions!$H$18</f>
        <v>0.28262100000000001</v>
      </c>
      <c r="F20" s="297">
        <f>Assumptions!$C$115</f>
        <v>3.7854100000000002</v>
      </c>
      <c r="G20" s="424">
        <v>1.883</v>
      </c>
      <c r="H20" s="301">
        <f t="shared" si="14"/>
        <v>2.0145018651456303</v>
      </c>
      <c r="I20" s="431">
        <f>1669.41/1000</f>
        <v>1.6694100000000001</v>
      </c>
      <c r="J20" s="286">
        <f t="shared" si="0"/>
        <v>1.7859955170965303</v>
      </c>
      <c r="K20" s="322">
        <v>0.23</v>
      </c>
      <c r="L20" s="329">
        <f t="shared" si="1"/>
        <v>0.463335428983495</v>
      </c>
      <c r="M20" s="281">
        <f t="shared" si="2"/>
        <v>0.410778968932202</v>
      </c>
      <c r="N20" s="281">
        <f t="shared" si="3"/>
        <v>0.87411439791569701</v>
      </c>
      <c r="O20" s="314">
        <f t="shared" si="4"/>
        <v>504007012.93966621</v>
      </c>
      <c r="P20" s="1053">
        <f t="shared" si="5"/>
        <v>2.6601099150122272</v>
      </c>
      <c r="Q20" s="1047">
        <f t="shared" si="6"/>
        <v>2893614363.3520002</v>
      </c>
      <c r="R20" s="268">
        <f t="shared" si="7"/>
        <v>2.1967744860287324</v>
      </c>
      <c r="S20" s="366">
        <f t="shared" si="8"/>
        <v>2389607350.4123344</v>
      </c>
      <c r="T20" s="336">
        <f>-'OECD gasoline subsidies'!C69+'OECD gasoline subsidies'!C69</f>
        <v>0</v>
      </c>
      <c r="U20" s="342">
        <f t="shared" si="9"/>
        <v>0</v>
      </c>
      <c r="V20" s="111">
        <f t="shared" si="10"/>
        <v>2389607350.4123344</v>
      </c>
      <c r="W20" s="281">
        <f t="shared" si="11"/>
        <v>4.6746117801578571</v>
      </c>
      <c r="X20" s="342">
        <f t="shared" si="12"/>
        <v>5084949202.2201138</v>
      </c>
      <c r="Y20" s="1"/>
    </row>
    <row r="21" spans="1:25" x14ac:dyDescent="0.6">
      <c r="A21" s="46">
        <f t="shared" si="13"/>
        <v>17</v>
      </c>
      <c r="B21" s="44" t="s">
        <v>15</v>
      </c>
      <c r="C21" s="290">
        <v>1047</v>
      </c>
      <c r="D21" s="345">
        <f>C21*Assumptions!$C$5</f>
        <v>319737692.30769229</v>
      </c>
      <c r="E21" s="391">
        <f>Assumptions!$H$3</f>
        <v>1.1863330000000001</v>
      </c>
      <c r="F21" s="297">
        <f>Assumptions!$C$115</f>
        <v>3.7854100000000002</v>
      </c>
      <c r="G21" s="422">
        <v>0.49099999999999999</v>
      </c>
      <c r="H21" s="301">
        <f t="shared" si="14"/>
        <v>2.20496158955123</v>
      </c>
      <c r="I21" s="427">
        <f>617.51/1000</f>
        <v>0.61751</v>
      </c>
      <c r="J21" s="286">
        <f t="shared" si="0"/>
        <v>2.7730872325127907</v>
      </c>
      <c r="K21" s="322">
        <v>0.23</v>
      </c>
      <c r="L21" s="329">
        <f t="shared" si="1"/>
        <v>0.50714116559678291</v>
      </c>
      <c r="M21" s="281">
        <f t="shared" si="2"/>
        <v>0.63781006347794189</v>
      </c>
      <c r="N21" s="281">
        <f t="shared" si="3"/>
        <v>1.1449512290747248</v>
      </c>
      <c r="O21" s="314">
        <f t="shared" si="4"/>
        <v>162152145.96214861</v>
      </c>
      <c r="P21" s="1053">
        <f t="shared" si="5"/>
        <v>3.9180384615875155</v>
      </c>
      <c r="Q21" s="1047">
        <f t="shared" si="6"/>
        <v>1252744576.0807731</v>
      </c>
      <c r="R21" s="268">
        <f t="shared" si="7"/>
        <v>3.4108972959907327</v>
      </c>
      <c r="S21" s="366">
        <f t="shared" si="8"/>
        <v>1090592430.1186244</v>
      </c>
      <c r="T21" s="336">
        <f>-'OECD gasoline subsidies'!C71</f>
        <v>-258044</v>
      </c>
      <c r="U21" s="342">
        <f t="shared" si="9"/>
        <v>-306126.11265200004</v>
      </c>
      <c r="V21" s="111">
        <f t="shared" si="10"/>
        <v>1090286304.0059724</v>
      </c>
      <c r="W21" s="281">
        <f t="shared" si="11"/>
        <v>6.123000051138745</v>
      </c>
      <c r="X21" s="342">
        <f t="shared" si="12"/>
        <v>1957447780.238332</v>
      </c>
      <c r="Y21" s="1"/>
    </row>
    <row r="22" spans="1:25" x14ac:dyDescent="0.6">
      <c r="A22" s="46">
        <f t="shared" si="13"/>
        <v>18</v>
      </c>
      <c r="B22" s="44" t="s">
        <v>16</v>
      </c>
      <c r="C22" s="290">
        <v>422</v>
      </c>
      <c r="D22" s="345">
        <f>C22*Assumptions!$C$5</f>
        <v>128872307.6923077</v>
      </c>
      <c r="E22" s="391">
        <f>Assumptions!$H$3</f>
        <v>1.1863330000000001</v>
      </c>
      <c r="F22" s="297">
        <f>Assumptions!$C$115</f>
        <v>3.7854100000000002</v>
      </c>
      <c r="G22" s="422">
        <v>0.432</v>
      </c>
      <c r="H22" s="301">
        <f t="shared" si="14"/>
        <v>1.9400069382609602</v>
      </c>
      <c r="I22" s="427">
        <v>0.54500000000000004</v>
      </c>
      <c r="J22" s="286">
        <f t="shared" si="0"/>
        <v>2.4474624568338506</v>
      </c>
      <c r="K22" s="322">
        <v>0.22</v>
      </c>
      <c r="L22" s="329">
        <f t="shared" si="1"/>
        <v>0.42680152641741126</v>
      </c>
      <c r="M22" s="281">
        <f t="shared" si="2"/>
        <v>0.53844174050344717</v>
      </c>
      <c r="N22" s="281">
        <f t="shared" si="3"/>
        <v>0.96524326692085838</v>
      </c>
      <c r="O22" s="314">
        <f t="shared" si="4"/>
        <v>55002897.636011213</v>
      </c>
      <c r="P22" s="1053">
        <f t="shared" si="5"/>
        <v>3.4127057237547089</v>
      </c>
      <c r="Q22" s="1047">
        <f t="shared" si="6"/>
        <v>439803262.09501648</v>
      </c>
      <c r="R22" s="268">
        <f t="shared" si="7"/>
        <v>2.9859041973372977</v>
      </c>
      <c r="S22" s="366">
        <f t="shared" si="8"/>
        <v>384800364.4590053</v>
      </c>
      <c r="T22" s="336">
        <f>-'OECD gasoline subsidies'!C73</f>
        <v>-183632</v>
      </c>
      <c r="U22" s="342">
        <f t="shared" si="9"/>
        <v>-217848.70145600001</v>
      </c>
      <c r="V22" s="111">
        <f t="shared" si="10"/>
        <v>384582515.75754929</v>
      </c>
      <c r="W22" s="281">
        <f t="shared" si="11"/>
        <v>5.3527126620156684</v>
      </c>
      <c r="X22" s="342">
        <f t="shared" si="12"/>
        <v>689598584.46633863</v>
      </c>
      <c r="Y22" s="1"/>
    </row>
    <row r="23" spans="1:25" x14ac:dyDescent="0.6">
      <c r="A23" s="46">
        <f t="shared" si="13"/>
        <v>19</v>
      </c>
      <c r="B23" s="44" t="s">
        <v>17</v>
      </c>
      <c r="C23" s="290">
        <v>551</v>
      </c>
      <c r="D23" s="345">
        <f>C23*Assumptions!$C$5</f>
        <v>168266923.07692307</v>
      </c>
      <c r="E23" s="391">
        <f>Assumptions!$H$3</f>
        <v>1.1863330000000001</v>
      </c>
      <c r="F23" s="297">
        <f>Assumptions!$C$115</f>
        <v>3.7854100000000002</v>
      </c>
      <c r="G23" s="422">
        <v>0.51400000000000001</v>
      </c>
      <c r="H23" s="301">
        <f t="shared" si="14"/>
        <v>2.3082489959864203</v>
      </c>
      <c r="I23" s="427">
        <f>514.5/1000</f>
        <v>0.51449999999999996</v>
      </c>
      <c r="J23" s="286">
        <f t="shared" si="0"/>
        <v>2.3104943743871851</v>
      </c>
      <c r="K23" s="322">
        <v>0.2</v>
      </c>
      <c r="L23" s="329">
        <f t="shared" si="1"/>
        <v>0.46164979919728411</v>
      </c>
      <c r="M23" s="281">
        <f t="shared" si="2"/>
        <v>0.46209887487743706</v>
      </c>
      <c r="N23" s="281">
        <f t="shared" si="3"/>
        <v>0.92374867407472117</v>
      </c>
      <c r="O23" s="314">
        <f t="shared" si="4"/>
        <v>77680391.250006393</v>
      </c>
      <c r="P23" s="1053">
        <f t="shared" si="5"/>
        <v>3.2342430484619062</v>
      </c>
      <c r="Q23" s="1047">
        <f t="shared" si="6"/>
        <v>544216126.24761271</v>
      </c>
      <c r="R23" s="268">
        <f t="shared" si="7"/>
        <v>2.7725932492646219</v>
      </c>
      <c r="S23" s="366">
        <f t="shared" si="8"/>
        <v>466535734.99760634</v>
      </c>
      <c r="T23" s="336">
        <f>-'OECD gasoline subsidies'!C76</f>
        <v>0</v>
      </c>
      <c r="U23" s="342">
        <f t="shared" si="9"/>
        <v>0</v>
      </c>
      <c r="V23" s="111">
        <f t="shared" si="10"/>
        <v>466535734.99760634</v>
      </c>
      <c r="W23" s="281">
        <f t="shared" si="11"/>
        <v>5.542492044448327</v>
      </c>
      <c r="X23" s="342">
        <f t="shared" si="12"/>
        <v>932618082.49764478</v>
      </c>
      <c r="Y23" s="1"/>
    </row>
    <row r="24" spans="1:25" x14ac:dyDescent="0.6">
      <c r="A24" s="46">
        <f t="shared" si="13"/>
        <v>20</v>
      </c>
      <c r="B24" s="44" t="s">
        <v>18</v>
      </c>
      <c r="C24" s="290">
        <v>1400</v>
      </c>
      <c r="D24" s="345">
        <f>C24*Assumptions!$C$5</f>
        <v>427538461.53846151</v>
      </c>
      <c r="E24" s="391">
        <f>Assumptions!$H$3</f>
        <v>1.1863330000000001</v>
      </c>
      <c r="F24" s="297">
        <f>Assumptions!$C$115</f>
        <v>3.7854100000000002</v>
      </c>
      <c r="G24" s="422">
        <v>0.45100000000000001</v>
      </c>
      <c r="H24" s="301">
        <f t="shared" si="14"/>
        <v>2.0253313174900303</v>
      </c>
      <c r="I24" s="427">
        <f>681.3/1000</f>
        <v>0.68129999999999991</v>
      </c>
      <c r="J24" s="286">
        <f t="shared" si="0"/>
        <v>3.059552608882389</v>
      </c>
      <c r="K24" s="322">
        <v>0.24</v>
      </c>
      <c r="L24" s="329">
        <f t="shared" si="1"/>
        <v>0.48607951619760725</v>
      </c>
      <c r="M24" s="281">
        <f t="shared" si="2"/>
        <v>0.73429262613177337</v>
      </c>
      <c r="N24" s="281">
        <f t="shared" si="3"/>
        <v>1.2203721423293805</v>
      </c>
      <c r="O24" s="314">
        <f t="shared" si="4"/>
        <v>207817688.5404847</v>
      </c>
      <c r="P24" s="1053">
        <f t="shared" si="5"/>
        <v>4.2799247512117695</v>
      </c>
      <c r="Q24" s="1047">
        <f t="shared" si="6"/>
        <v>1829832443.6334627</v>
      </c>
      <c r="R24" s="268">
        <f t="shared" si="7"/>
        <v>3.7938452350141625</v>
      </c>
      <c r="S24" s="366">
        <f t="shared" si="8"/>
        <v>1622014755.092978</v>
      </c>
      <c r="T24" s="336">
        <f>-'OECD gasoline subsidies'!C78</f>
        <v>0</v>
      </c>
      <c r="U24" s="342">
        <f t="shared" si="9"/>
        <v>0</v>
      </c>
      <c r="V24" s="111">
        <f t="shared" si="10"/>
        <v>1622014755.092978</v>
      </c>
      <c r="W24" s="281">
        <f t="shared" si="11"/>
        <v>6.3052560687017998</v>
      </c>
      <c r="X24" s="342">
        <f t="shared" si="12"/>
        <v>2695739479.2188153</v>
      </c>
      <c r="Y24" s="1"/>
    </row>
    <row r="25" spans="1:25" x14ac:dyDescent="0.6">
      <c r="A25" s="46">
        <f t="shared" si="13"/>
        <v>21</v>
      </c>
      <c r="B25" s="44" t="s">
        <v>19</v>
      </c>
      <c r="C25" s="290">
        <v>2395</v>
      </c>
      <c r="D25" s="345">
        <f>C25*Assumptions!$C$5</f>
        <v>731396153.84615386</v>
      </c>
      <c r="E25" s="391">
        <f>Assumptions!$H$19</f>
        <v>0.119739</v>
      </c>
      <c r="F25" s="297">
        <f>Assumptions!$C$115</f>
        <v>3.7854100000000002</v>
      </c>
      <c r="G25" s="425">
        <v>4.3840000000000003</v>
      </c>
      <c r="H25" s="301">
        <f t="shared" si="14"/>
        <v>1.9870971358281604</v>
      </c>
      <c r="I25" s="432">
        <v>5.5750000000000002</v>
      </c>
      <c r="J25" s="286">
        <f t="shared" si="0"/>
        <v>2.5269312345442505</v>
      </c>
      <c r="K25" s="322">
        <v>0.25</v>
      </c>
      <c r="L25" s="329">
        <f t="shared" si="1"/>
        <v>0.4967742839570401</v>
      </c>
      <c r="M25" s="281">
        <f t="shared" si="2"/>
        <v>0.63173280863606263</v>
      </c>
      <c r="N25" s="281">
        <f t="shared" si="3"/>
        <v>1.1285070925931027</v>
      </c>
      <c r="O25" s="314">
        <f t="shared" si="4"/>
        <v>363338800.61585623</v>
      </c>
      <c r="P25" s="1053">
        <f t="shared" si="5"/>
        <v>3.6554383271373529</v>
      </c>
      <c r="Q25" s="1047">
        <f t="shared" si="6"/>
        <v>2673573533.0900788</v>
      </c>
      <c r="R25" s="268">
        <f t="shared" si="7"/>
        <v>3.158664043180313</v>
      </c>
      <c r="S25" s="366">
        <f t="shared" si="8"/>
        <v>2310234732.4742227</v>
      </c>
      <c r="T25" s="336">
        <f>-'OECD gasoline subsidies'!C80</f>
        <v>0</v>
      </c>
      <c r="U25" s="342">
        <f t="shared" si="9"/>
        <v>0</v>
      </c>
      <c r="V25" s="111">
        <f t="shared" si="10"/>
        <v>2310234732.4742227</v>
      </c>
      <c r="W25" s="281">
        <f t="shared" si="11"/>
        <v>5.6425354629655136</v>
      </c>
      <c r="X25" s="342">
        <f t="shared" si="12"/>
        <v>4126928735.5535035</v>
      </c>
      <c r="Y25" s="1"/>
    </row>
    <row r="26" spans="1:25" ht="15.9" thickBot="1" x14ac:dyDescent="0.65">
      <c r="A26" s="15">
        <f t="shared" si="13"/>
        <v>22</v>
      </c>
      <c r="B26" s="47" t="s">
        <v>20</v>
      </c>
      <c r="C26" s="291">
        <v>12082</v>
      </c>
      <c r="D26" s="347">
        <f>C26*Assumptions!$C$5</f>
        <v>3689656923.0769229</v>
      </c>
      <c r="E26" s="419">
        <f>Assumptions!$H$20</f>
        <v>1.337591</v>
      </c>
      <c r="F26" s="299">
        <f>Assumptions!$C$115</f>
        <v>3.7854100000000002</v>
      </c>
      <c r="G26" s="421">
        <v>0.309</v>
      </c>
      <c r="H26" s="303">
        <f t="shared" si="14"/>
        <v>1.5645690773187899</v>
      </c>
      <c r="I26" s="433">
        <f>579.5/1000</f>
        <v>0.57950000000000002</v>
      </c>
      <c r="J26" s="308">
        <f t="shared" si="0"/>
        <v>2.9341999362661451</v>
      </c>
      <c r="K26" s="359">
        <v>0.2</v>
      </c>
      <c r="L26" s="334">
        <f t="shared" si="1"/>
        <v>0.31291381546375802</v>
      </c>
      <c r="M26" s="318">
        <f t="shared" si="2"/>
        <v>0.58683998725322906</v>
      </c>
      <c r="N26" s="318">
        <f t="shared" si="3"/>
        <v>0.89975380271698713</v>
      </c>
      <c r="O26" s="319">
        <f t="shared" si="4"/>
        <v>1154544625.5522695</v>
      </c>
      <c r="P26" s="1054">
        <f t="shared" si="5"/>
        <v>3.8339537389831322</v>
      </c>
      <c r="Q26" s="1048">
        <f t="shared" si="6"/>
        <v>14145973955.795767</v>
      </c>
      <c r="R26" s="269">
        <f t="shared" si="7"/>
        <v>3.5210399235193739</v>
      </c>
      <c r="S26" s="368">
        <f t="shared" si="8"/>
        <v>12991429330.243498</v>
      </c>
      <c r="T26" s="340">
        <f>-'OECD gasoline subsidies'!C82</f>
        <v>0</v>
      </c>
      <c r="U26" s="344">
        <f t="shared" si="9"/>
        <v>0</v>
      </c>
      <c r="V26" s="163">
        <f t="shared" si="10"/>
        <v>12991429330.243498</v>
      </c>
      <c r="W26" s="318">
        <f t="shared" si="11"/>
        <v>5.3985228163019219</v>
      </c>
      <c r="X26" s="344">
        <f t="shared" si="12"/>
        <v>19918697083.557114</v>
      </c>
      <c r="Y26" s="1"/>
    </row>
    <row r="27" spans="1:25" ht="15.9" thickTop="1" x14ac:dyDescent="0.6">
      <c r="A27" s="48" t="s">
        <v>882</v>
      </c>
      <c r="B27" s="44"/>
      <c r="C27" s="290"/>
      <c r="D27" s="345"/>
      <c r="E27" s="399"/>
      <c r="F27" s="297"/>
      <c r="G27" s="383"/>
      <c r="H27" s="301"/>
      <c r="I27" s="393"/>
      <c r="J27" s="306">
        <f t="shared" si="0"/>
        <v>0</v>
      </c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  <c r="Y27" s="1"/>
    </row>
    <row r="28" spans="1:25" x14ac:dyDescent="0.6">
      <c r="A28" s="61">
        <f>A26+1</f>
        <v>23</v>
      </c>
      <c r="B28" s="44" t="s">
        <v>38</v>
      </c>
      <c r="C28" s="290">
        <v>32319</v>
      </c>
      <c r="D28" s="345">
        <f>C28*Assumptions!$C$5</f>
        <v>9869725384.6153851</v>
      </c>
      <c r="E28" s="399">
        <f>Assumptions!$H$4</f>
        <v>0.78824099999999997</v>
      </c>
      <c r="F28" s="297">
        <f>Assumptions!$C$115</f>
        <v>3.7854100000000002</v>
      </c>
      <c r="G28" s="441">
        <v>0.755</v>
      </c>
      <c r="H28" s="301">
        <f t="shared" ref="H28:H34" si="15">G28*E28*F28</f>
        <v>2.2527805996765502</v>
      </c>
      <c r="I28" s="447">
        <v>0.33800000000000002</v>
      </c>
      <c r="J28" s="306">
        <f t="shared" si="0"/>
        <v>1.00852959296778</v>
      </c>
      <c r="K28" s="322">
        <v>9.0499999999999997E-2</v>
      </c>
      <c r="L28" s="329">
        <f t="shared" ref="L28:L34" si="16">K28*H28</f>
        <v>0.2038766442707278</v>
      </c>
      <c r="M28" s="320">
        <f t="shared" ref="M28:M34" si="17">K28*J28</f>
        <v>9.1271928163584093E-2</v>
      </c>
      <c r="N28" s="320">
        <f t="shared" ref="N28:N34" si="18">M28+L28</f>
        <v>0.29514857243431192</v>
      </c>
      <c r="O28" s="314">
        <f t="shared" ref="O28:O34" si="19">L28*D28</f>
        <v>2012206491.2890029</v>
      </c>
      <c r="P28" s="1053">
        <f t="shared" si="5"/>
        <v>1.3036781654020919</v>
      </c>
      <c r="Q28" s="1047">
        <f t="shared" si="6"/>
        <v>12866945482.437841</v>
      </c>
      <c r="R28" s="310">
        <f t="shared" ref="R28:R34" si="20">M28+J28</f>
        <v>1.0998015211313641</v>
      </c>
      <c r="S28" s="366">
        <f t="shared" ref="S28:S34" si="21">D28*R28</f>
        <v>10854738991.148838</v>
      </c>
      <c r="T28" s="336">
        <f>-'OECD gasoline subsidies'!C84</f>
        <v>-222757492</v>
      </c>
      <c r="U28" s="342">
        <f t="shared" ref="U28:U34" si="22">T28*E28</f>
        <v>-175586588.25157198</v>
      </c>
      <c r="V28" s="111">
        <f t="shared" ref="V28:V34" si="23">S28+U28</f>
        <v>10679152402.897266</v>
      </c>
      <c r="W28" s="320">
        <f t="shared" ref="W28:W34" si="24">(H28+J28)*(1+K28)</f>
        <v>3.5564587650786423</v>
      </c>
      <c r="X28" s="342">
        <f t="shared" ref="X28:X34" si="25">W28*D28+U28</f>
        <v>34925684764.78299</v>
      </c>
      <c r="Y28" s="1"/>
    </row>
    <row r="29" spans="1:25" x14ac:dyDescent="0.6">
      <c r="A29" s="61">
        <f t="shared" ref="A29:A34" si="26">A28+1</f>
        <v>24</v>
      </c>
      <c r="B29" s="44" t="s">
        <v>39</v>
      </c>
      <c r="C29" s="290">
        <v>854</v>
      </c>
      <c r="D29" s="345">
        <f>C29*Assumptions!$C$5</f>
        <v>260798461.53846154</v>
      </c>
      <c r="E29" s="399">
        <f>Assumptions!$H$5</f>
        <v>0.12035</v>
      </c>
      <c r="F29" s="297">
        <f>Assumptions!$C$115</f>
        <v>3.7854100000000002</v>
      </c>
      <c r="G29" s="442">
        <v>4.9400000000000004</v>
      </c>
      <c r="H29" s="301">
        <f t="shared" si="15"/>
        <v>2.2505360218900003</v>
      </c>
      <c r="I29" s="448">
        <v>5.82</v>
      </c>
      <c r="J29" s="306">
        <f t="shared" si="0"/>
        <v>2.6514412241700001</v>
      </c>
      <c r="K29" s="322">
        <v>0.25</v>
      </c>
      <c r="L29" s="329">
        <f t="shared" si="16"/>
        <v>0.56263400547250009</v>
      </c>
      <c r="M29" s="320">
        <f t="shared" si="17"/>
        <v>0.66286030604250001</v>
      </c>
      <c r="N29" s="320">
        <f t="shared" si="18"/>
        <v>1.2254943115150001</v>
      </c>
      <c r="O29" s="314">
        <f t="shared" si="19"/>
        <v>146734083.03645039</v>
      </c>
      <c r="P29" s="1053">
        <f t="shared" si="5"/>
        <v>3.8769355356849999</v>
      </c>
      <c r="Q29" s="1047">
        <f t="shared" si="6"/>
        <v>1011098823.1904392</v>
      </c>
      <c r="R29" s="310">
        <f t="shared" si="20"/>
        <v>3.3143015302125001</v>
      </c>
      <c r="S29" s="366">
        <f t="shared" si="21"/>
        <v>864364740.15398896</v>
      </c>
      <c r="T29" s="336">
        <f>-'OECD gasoline subsidies'!C98</f>
        <v>-66395620</v>
      </c>
      <c r="U29" s="342">
        <f t="shared" si="22"/>
        <v>-7990712.8669999996</v>
      </c>
      <c r="V29" s="111">
        <f t="shared" si="23"/>
        <v>856374027.28698897</v>
      </c>
      <c r="W29" s="320">
        <f t="shared" si="24"/>
        <v>6.1274715575750003</v>
      </c>
      <c r="X29" s="342">
        <f t="shared" si="25"/>
        <v>1590044442.4692407</v>
      </c>
      <c r="Y29" s="1"/>
    </row>
    <row r="30" spans="1:25" x14ac:dyDescent="0.6">
      <c r="A30" s="61">
        <f t="shared" si="26"/>
        <v>25</v>
      </c>
      <c r="B30" s="44" t="s">
        <v>40</v>
      </c>
      <c r="C30" s="290">
        <v>2490</v>
      </c>
      <c r="D30" s="345">
        <f>C30*Assumptions!$C$5</f>
        <v>760407692.30769229</v>
      </c>
      <c r="E30" s="399">
        <f>Assumptions!$H$6</f>
        <v>1.010632</v>
      </c>
      <c r="F30" s="297">
        <f>Assumptions!$C$115</f>
        <v>3.7854100000000002</v>
      </c>
      <c r="G30" s="443">
        <v>0.59599999999999997</v>
      </c>
      <c r="H30" s="301">
        <f t="shared" si="15"/>
        <v>2.28009126155552</v>
      </c>
      <c r="I30" s="449">
        <v>0.73499999999999999</v>
      </c>
      <c r="J30" s="306">
        <f t="shared" si="0"/>
        <v>2.8118575121532001</v>
      </c>
      <c r="K30" s="322">
        <v>0.08</v>
      </c>
      <c r="L30" s="329">
        <f t="shared" si="16"/>
        <v>0.1824073009244416</v>
      </c>
      <c r="M30" s="320">
        <f t="shared" si="17"/>
        <v>0.22494860097225602</v>
      </c>
      <c r="N30" s="320">
        <f t="shared" si="18"/>
        <v>0.40735590189669763</v>
      </c>
      <c r="O30" s="314">
        <f t="shared" si="19"/>
        <v>138703914.75602943</v>
      </c>
      <c r="P30" s="1053">
        <f t="shared" si="5"/>
        <v>3.2192134140498978</v>
      </c>
      <c r="Q30" s="1047">
        <f t="shared" si="6"/>
        <v>2447914643.2236505</v>
      </c>
      <c r="R30" s="310">
        <f t="shared" si="20"/>
        <v>3.036806113125456</v>
      </c>
      <c r="S30" s="366">
        <f t="shared" si="21"/>
        <v>2309210728.4676208</v>
      </c>
      <c r="T30" s="336">
        <f>-'OECD gasoline subsidies'!C101</f>
        <v>-285258122</v>
      </c>
      <c r="U30" s="342">
        <f t="shared" si="22"/>
        <v>-288290986.353104</v>
      </c>
      <c r="V30" s="111">
        <f t="shared" si="23"/>
        <v>2020919742.1145167</v>
      </c>
      <c r="W30" s="320">
        <f t="shared" si="24"/>
        <v>5.4993046756054182</v>
      </c>
      <c r="X30" s="342">
        <f t="shared" si="25"/>
        <v>3893422591.3209143</v>
      </c>
      <c r="Y30" s="1"/>
    </row>
    <row r="31" spans="1:25" x14ac:dyDescent="0.6">
      <c r="A31" s="46">
        <f t="shared" si="26"/>
        <v>26</v>
      </c>
      <c r="B31" s="44" t="s">
        <v>31</v>
      </c>
      <c r="C31" s="290">
        <v>37957</v>
      </c>
      <c r="D31" s="345">
        <f>C31*Assumptions!$C$5</f>
        <v>11591483846.153847</v>
      </c>
      <c r="E31" s="399">
        <f>Assumptions!$H$7</f>
        <v>8.829E-3</v>
      </c>
      <c r="F31" s="297">
        <f>Assumptions!$C$115</f>
        <v>3.7854100000000002</v>
      </c>
      <c r="G31" s="484">
        <v>64.8</v>
      </c>
      <c r="H31" s="301">
        <f t="shared" si="15"/>
        <v>2.1657057408719997</v>
      </c>
      <c r="I31" s="469">
        <v>56.3</v>
      </c>
      <c r="J31" s="306">
        <f t="shared" si="0"/>
        <v>1.881623969307</v>
      </c>
      <c r="K31" s="322">
        <v>0.08</v>
      </c>
      <c r="L31" s="329">
        <f t="shared" si="16"/>
        <v>0.17325645926975999</v>
      </c>
      <c r="M31" s="320">
        <f t="shared" si="17"/>
        <v>0.15052991754455999</v>
      </c>
      <c r="N31" s="320">
        <f t="shared" si="18"/>
        <v>0.32378637681431999</v>
      </c>
      <c r="O31" s="314">
        <f t="shared" si="19"/>
        <v>2008299448.8672349</v>
      </c>
      <c r="P31" s="1053">
        <f t="shared" si="5"/>
        <v>2.2054103461213201</v>
      </c>
      <c r="Q31" s="1047">
        <f t="shared" si="6"/>
        <v>25563978401.205845</v>
      </c>
      <c r="R31" s="310">
        <f t="shared" si="20"/>
        <v>2.0321538868515598</v>
      </c>
      <c r="S31" s="366">
        <f t="shared" si="21"/>
        <v>23555678952.338608</v>
      </c>
      <c r="T31" s="336">
        <f>-'OECD gasoline subsidies'!C109</f>
        <v>-8473054264</v>
      </c>
      <c r="U31" s="342">
        <f t="shared" si="22"/>
        <v>-74808596.096855998</v>
      </c>
      <c r="V31" s="111">
        <f t="shared" si="23"/>
        <v>23480870356.241753</v>
      </c>
      <c r="W31" s="320">
        <f t="shared" si="24"/>
        <v>4.3711160869933199</v>
      </c>
      <c r="X31" s="342">
        <f t="shared" si="25"/>
        <v>50592912915.949425</v>
      </c>
      <c r="Y31" s="1"/>
    </row>
    <row r="32" spans="1:25" x14ac:dyDescent="0.6">
      <c r="A32" s="46">
        <f t="shared" si="26"/>
        <v>27</v>
      </c>
      <c r="B32" s="44" t="s">
        <v>47</v>
      </c>
      <c r="C32" s="290">
        <v>8974</v>
      </c>
      <c r="D32" s="345">
        <f>C32*Assumptions!$C$5</f>
        <v>2740521538.4615383</v>
      </c>
      <c r="E32" s="399">
        <f>Assumptions!$H$8</f>
        <v>9.3000000000000005E-4</v>
      </c>
      <c r="F32" s="297">
        <f>Assumptions!$C$115</f>
        <v>3.7854100000000002</v>
      </c>
      <c r="G32" s="446">
        <v>881</v>
      </c>
      <c r="H32" s="301">
        <f t="shared" si="15"/>
        <v>3.1014999753000003</v>
      </c>
      <c r="I32" s="470">
        <v>781.89</v>
      </c>
      <c r="J32" s="306">
        <f t="shared" si="0"/>
        <v>2.7525900291570005</v>
      </c>
      <c r="K32" s="322">
        <v>0.1</v>
      </c>
      <c r="L32" s="329">
        <f t="shared" si="16"/>
        <v>0.31014999753000005</v>
      </c>
      <c r="M32" s="320">
        <f t="shared" si="17"/>
        <v>0.27525900291570005</v>
      </c>
      <c r="N32" s="320">
        <f t="shared" si="18"/>
        <v>0.5854090004457001</v>
      </c>
      <c r="O32" s="314">
        <f t="shared" si="19"/>
        <v>849972748.38475811</v>
      </c>
      <c r="P32" s="1053">
        <f t="shared" si="5"/>
        <v>3.3379990296027007</v>
      </c>
      <c r="Q32" s="1047">
        <f t="shared" si="6"/>
        <v>9147858235.9899158</v>
      </c>
      <c r="R32" s="310">
        <f t="shared" si="20"/>
        <v>3.0278490320727007</v>
      </c>
      <c r="S32" s="366">
        <f t="shared" si="21"/>
        <v>8297885487.6051579</v>
      </c>
      <c r="T32" s="336">
        <f>-'OECD gasoline subsidies'!C116+'OECD gasoline subsidies'!C116</f>
        <v>0</v>
      </c>
      <c r="U32" s="342">
        <f t="shared" si="22"/>
        <v>0</v>
      </c>
      <c r="V32" s="111">
        <f t="shared" si="23"/>
        <v>8297885487.6051579</v>
      </c>
      <c r="W32" s="320">
        <f t="shared" si="24"/>
        <v>6.4394990049027019</v>
      </c>
      <c r="X32" s="342">
        <f t="shared" si="25"/>
        <v>17647585719.837498</v>
      </c>
      <c r="Y32" s="1"/>
    </row>
    <row r="33" spans="1:26" x14ac:dyDescent="0.6">
      <c r="A33" s="46">
        <f t="shared" si="26"/>
        <v>28</v>
      </c>
      <c r="B33" s="44" t="s">
        <v>32</v>
      </c>
      <c r="C33" s="290">
        <v>13476</v>
      </c>
      <c r="D33" s="345">
        <f>C33*Assumptions!$C$5</f>
        <v>4115363076.9230766</v>
      </c>
      <c r="E33" s="399">
        <f>Assumptions!$H$9</f>
        <v>0.77382200000000001</v>
      </c>
      <c r="F33" s="297">
        <f>Assumptions!$C$115</f>
        <v>3.7854100000000002</v>
      </c>
      <c r="G33" s="389">
        <v>0.85099999999999998</v>
      </c>
      <c r="H33" s="301">
        <f t="shared" si="15"/>
        <v>2.4927777400040201</v>
      </c>
      <c r="I33" s="452">
        <v>0.39200000000000002</v>
      </c>
      <c r="J33" s="306">
        <f t="shared" si="0"/>
        <v>1.1482595465118401</v>
      </c>
      <c r="K33" s="322">
        <v>0.1</v>
      </c>
      <c r="L33" s="329">
        <f t="shared" si="16"/>
        <v>0.24927777400040202</v>
      </c>
      <c r="M33" s="320">
        <f t="shared" si="17"/>
        <v>0.11482595465118402</v>
      </c>
      <c r="N33" s="320">
        <f t="shared" si="18"/>
        <v>0.36410372865158602</v>
      </c>
      <c r="O33" s="314">
        <f t="shared" si="19"/>
        <v>1025868547.0188298</v>
      </c>
      <c r="P33" s="1053">
        <f t="shared" si="5"/>
        <v>1.5123632751634262</v>
      </c>
      <c r="Q33" s="1047">
        <f t="shared" si="6"/>
        <v>6223923981.5020189</v>
      </c>
      <c r="R33" s="310">
        <f t="shared" si="20"/>
        <v>1.2630855011630242</v>
      </c>
      <c r="S33" s="366">
        <f t="shared" si="21"/>
        <v>5198055434.4831896</v>
      </c>
      <c r="T33" s="336">
        <f>-'OECD gasoline subsidies'!C119</f>
        <v>0</v>
      </c>
      <c r="U33" s="342">
        <f t="shared" si="22"/>
        <v>0</v>
      </c>
      <c r="V33" s="111">
        <f t="shared" si="23"/>
        <v>5198055434.4831896</v>
      </c>
      <c r="W33" s="320">
        <f t="shared" si="24"/>
        <v>4.0051410151674469</v>
      </c>
      <c r="X33" s="342">
        <f t="shared" si="25"/>
        <v>16482609451.690319</v>
      </c>
    </row>
    <row r="34" spans="1:26" ht="15.9" thickBot="1" x14ac:dyDescent="0.65">
      <c r="A34" s="15">
        <f t="shared" si="26"/>
        <v>29</v>
      </c>
      <c r="B34" s="47" t="s">
        <v>33</v>
      </c>
      <c r="C34" s="291">
        <v>2329</v>
      </c>
      <c r="D34" s="347">
        <f>C34*Assumptions!$C$5</f>
        <v>711240769.23076916</v>
      </c>
      <c r="E34" s="417">
        <f>Assumptions!$H$10</f>
        <v>0.70460400000000001</v>
      </c>
      <c r="F34" s="299">
        <f>Assumptions!$C$115</f>
        <v>3.7854100000000002</v>
      </c>
      <c r="G34" s="445">
        <v>1.054</v>
      </c>
      <c r="H34" s="303">
        <f t="shared" si="15"/>
        <v>2.8112446391325601</v>
      </c>
      <c r="I34" s="453">
        <v>0.67100000000000004</v>
      </c>
      <c r="J34" s="309">
        <f t="shared" si="0"/>
        <v>1.7897012835464403</v>
      </c>
      <c r="K34" s="359">
        <v>0.15</v>
      </c>
      <c r="L34" s="334">
        <f t="shared" si="16"/>
        <v>0.421686695869884</v>
      </c>
      <c r="M34" s="321">
        <f t="shared" si="17"/>
        <v>0.26845519253196604</v>
      </c>
      <c r="N34" s="321">
        <f t="shared" si="18"/>
        <v>0.69014188840184998</v>
      </c>
      <c r="O34" s="319">
        <f t="shared" si="19"/>
        <v>299920769.94487768</v>
      </c>
      <c r="P34" s="1054">
        <f t="shared" si="5"/>
        <v>2.4798431719482901</v>
      </c>
      <c r="Q34" s="1048">
        <f t="shared" si="6"/>
        <v>1763765565.1881723</v>
      </c>
      <c r="R34" s="312">
        <f t="shared" si="20"/>
        <v>2.0581564760784063</v>
      </c>
      <c r="S34" s="368">
        <f t="shared" si="21"/>
        <v>1463844795.243295</v>
      </c>
      <c r="T34" s="340">
        <f>-'OECD gasoline subsidies'!C129</f>
        <v>0</v>
      </c>
      <c r="U34" s="344">
        <f t="shared" si="22"/>
        <v>0</v>
      </c>
      <c r="V34" s="163">
        <f t="shared" si="23"/>
        <v>1463844795.243295</v>
      </c>
      <c r="W34" s="321">
        <f t="shared" si="24"/>
        <v>5.2910878110808497</v>
      </c>
      <c r="X34" s="344">
        <f t="shared" si="25"/>
        <v>3763237364.8206902</v>
      </c>
    </row>
    <row r="35" spans="1:26" ht="15.9" thickTop="1" x14ac:dyDescent="0.6">
      <c r="A35" s="49" t="s">
        <v>883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</row>
    <row r="36" spans="1:26" x14ac:dyDescent="0.6">
      <c r="A36" s="72">
        <f>A34+1</f>
        <v>30</v>
      </c>
      <c r="B36" s="50" t="s">
        <v>46</v>
      </c>
      <c r="C36" s="290">
        <v>113678</v>
      </c>
      <c r="D36" s="348">
        <f>C36*Assumptions!$C$5</f>
        <v>34715512307.692307</v>
      </c>
      <c r="E36" s="399">
        <f>Assumptions!$H$11</f>
        <v>0.152529</v>
      </c>
      <c r="F36" s="297">
        <f>Assumptions!$C$115</f>
        <v>3.7854100000000002</v>
      </c>
      <c r="G36" s="295"/>
      <c r="H36" s="666">
        <v>2.33</v>
      </c>
      <c r="I36" s="1058">
        <v>1.52</v>
      </c>
      <c r="J36" s="306">
        <f>I36*F36*E36</f>
        <v>0.87762489887280004</v>
      </c>
      <c r="K36" s="322">
        <v>0.17</v>
      </c>
      <c r="L36" s="329">
        <f t="shared" ref="L36" si="27">K36*H36</f>
        <v>0.39610000000000006</v>
      </c>
      <c r="M36" s="320">
        <f t="shared" ref="M36" si="28">K36*J36</f>
        <v>0.14919623280837602</v>
      </c>
      <c r="N36" s="320">
        <f t="shared" ref="N36" si="29">M36+L36</f>
        <v>0.54529623280837614</v>
      </c>
      <c r="O36" s="314">
        <f t="shared" ref="O36" si="30">L36*D36</f>
        <v>13750814425.076925</v>
      </c>
      <c r="P36" s="1053">
        <f t="shared" si="5"/>
        <v>1.4229211316811763</v>
      </c>
      <c r="Q36" s="1047">
        <f t="shared" si="6"/>
        <v>49397436059.753342</v>
      </c>
      <c r="R36" s="310">
        <f t="shared" ref="R36:R37" si="31">M36+J36</f>
        <v>1.0268211316811762</v>
      </c>
      <c r="S36" s="366">
        <f t="shared" ref="S36:S37" si="32">D36*R36</f>
        <v>35646621634.676414</v>
      </c>
      <c r="T36" s="336">
        <f>-'OECD gasoline subsidies'!C131</f>
        <v>-13031100000</v>
      </c>
      <c r="U36" s="342">
        <f>T36*E36</f>
        <v>-1987620651.8999999</v>
      </c>
      <c r="V36" s="111">
        <f>S36+U36</f>
        <v>33659000982.776413</v>
      </c>
      <c r="W36" s="320">
        <f>0.99*F36</f>
        <v>3.7475559000000001</v>
      </c>
      <c r="X36" s="342">
        <f>W36*D36+U36</f>
        <v>128110702318.31493</v>
      </c>
    </row>
    <row r="37" spans="1:26" x14ac:dyDescent="0.6">
      <c r="A37" s="46">
        <f>A36+1</f>
        <v>31</v>
      </c>
      <c r="B37" s="50" t="s">
        <v>49</v>
      </c>
      <c r="C37" s="290">
        <v>21847</v>
      </c>
      <c r="D37" s="348">
        <f>C37*Assumptions!$C$5</f>
        <v>6671737692.3076925</v>
      </c>
      <c r="E37" s="399">
        <f>Assumptions!$H$12</f>
        <v>1.5587E-2</v>
      </c>
      <c r="F37" s="297">
        <f>Assumptions!$C$115</f>
        <v>3.7854100000000002</v>
      </c>
      <c r="G37" s="1057">
        <f>27.24+2.26</f>
        <v>29.5</v>
      </c>
      <c r="H37" s="666">
        <f>G37*F37*E37</f>
        <v>1.7405939772650001</v>
      </c>
      <c r="I37" s="1056">
        <v>19.059999999999999</v>
      </c>
      <c r="J37" s="306">
        <f>I37*F37*E37</f>
        <v>1.1246007188702001</v>
      </c>
      <c r="K37" s="322">
        <v>0.25</v>
      </c>
      <c r="L37" s="329">
        <f t="shared" ref="L37" si="33">K37*H37</f>
        <v>0.43514849431625002</v>
      </c>
      <c r="M37" s="320">
        <f t="shared" ref="M37" si="34">K37*J37</f>
        <v>0.28115017971755002</v>
      </c>
      <c r="N37" s="320">
        <f t="shared" ref="N37" si="35">M37+L37</f>
        <v>0.71629867403379999</v>
      </c>
      <c r="O37" s="314">
        <f t="shared" ref="O37" si="36">L37*D37</f>
        <v>2903196611.2806649</v>
      </c>
      <c r="P37" s="1053">
        <f t="shared" si="5"/>
        <v>1.8408993929040001</v>
      </c>
      <c r="Q37" s="1047">
        <f t="shared" si="6"/>
        <v>12281997867.383966</v>
      </c>
      <c r="R37" s="310">
        <f t="shared" si="31"/>
        <v>1.40575089858775</v>
      </c>
      <c r="S37" s="366">
        <f t="shared" si="32"/>
        <v>9378801256.1033001</v>
      </c>
      <c r="T37" s="336">
        <f>-'OECD gasoline subsidies'!C135</f>
        <v>0</v>
      </c>
      <c r="U37" s="342">
        <f>T37*E37</f>
        <v>0</v>
      </c>
      <c r="V37" s="111">
        <f>S37+U37</f>
        <v>9378801256.1033001</v>
      </c>
      <c r="W37" s="320">
        <f>(H37+J37)*(1+K37)</f>
        <v>3.5814933701689999</v>
      </c>
      <c r="X37" s="342">
        <f>W37*D37+U37</f>
        <v>23894784312.506622</v>
      </c>
    </row>
    <row r="38" spans="1:26" x14ac:dyDescent="0.6">
      <c r="A38" s="46">
        <f>A37+1</f>
        <v>32</v>
      </c>
      <c r="B38" s="44" t="s">
        <v>50</v>
      </c>
      <c r="C38" s="290">
        <v>22362</v>
      </c>
      <c r="D38" s="348">
        <f>C38*Assumptions!$C$5</f>
        <v>6829010769.2307692</v>
      </c>
      <c r="E38" s="399">
        <f>Assumptions!$H$13</f>
        <v>0.30204900000000001</v>
      </c>
      <c r="F38" s="297">
        <f>Assumptions!$C$115</f>
        <v>3.7854100000000002</v>
      </c>
      <c r="G38" s="1045">
        <f>H38/F38/E38</f>
        <v>1.8518112788498038</v>
      </c>
      <c r="H38" s="458">
        <f>I67</f>
        <v>2.1173226931691129</v>
      </c>
      <c r="I38" s="1044">
        <f>1+0.1</f>
        <v>1.1000000000000001</v>
      </c>
      <c r="J38" s="306">
        <f>I38*F38*E38</f>
        <v>1.2577172355990003</v>
      </c>
      <c r="K38" s="322">
        <v>0.19</v>
      </c>
      <c r="L38" s="329">
        <f t="shared" ref="L38" si="37">K38*H38</f>
        <v>0.40229131170213145</v>
      </c>
      <c r="M38" s="320">
        <f t="shared" ref="M38" si="38">K38*J38</f>
        <v>0.23896627476381005</v>
      </c>
      <c r="N38" s="320">
        <f t="shared" ref="N38" si="39">M38+L38</f>
        <v>0.64125758646594155</v>
      </c>
      <c r="O38" s="314">
        <f t="shared" ref="O38" si="40">L38*D38</f>
        <v>2747251699.9818277</v>
      </c>
      <c r="P38" s="1053">
        <f t="shared" si="5"/>
        <v>1.8989748220649418</v>
      </c>
      <c r="Q38" s="1047">
        <f t="shared" si="6"/>
        <v>12968119510.379572</v>
      </c>
      <c r="R38" s="310">
        <f t="shared" ref="R38:R39" si="41">M38+J38</f>
        <v>1.4966835103628102</v>
      </c>
      <c r="S38" s="366">
        <f t="shared" ref="S38:S39" si="42">D38*R38</f>
        <v>10220867810.397743</v>
      </c>
      <c r="T38" s="336">
        <f>-'OECD gasoline subsidies'!C137</f>
        <v>-17067158682</v>
      </c>
      <c r="U38" s="342">
        <f>T38*E38</f>
        <v>-5155118212.739418</v>
      </c>
      <c r="V38" s="111">
        <f t="shared" ref="V38" si="43">S38+U38</f>
        <v>5065749597.6583252</v>
      </c>
      <c r="W38" s="320">
        <f>(H38+J38)*(1+K38)</f>
        <v>4.0162975152340543</v>
      </c>
      <c r="X38" s="342">
        <f>W38*D38+U38</f>
        <v>22272220771.228718</v>
      </c>
    </row>
    <row r="39" spans="1:26" ht="15.9" thickBot="1" x14ac:dyDescent="0.65">
      <c r="A39" s="15">
        <f>A38+1</f>
        <v>33</v>
      </c>
      <c r="B39" s="47" t="s">
        <v>51</v>
      </c>
      <c r="C39" s="291">
        <v>35381</v>
      </c>
      <c r="D39" s="349">
        <f>C39*Assumptions!$C$5</f>
        <v>10804813076.923077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I67</f>
        <v>2.1173226931691129</v>
      </c>
      <c r="I39" s="1076">
        <v>5.4</v>
      </c>
      <c r="J39" s="309">
        <f>I39*F39/E39/1000</f>
        <v>1.1785075814355723</v>
      </c>
      <c r="K39" s="359">
        <v>0.18</v>
      </c>
      <c r="L39" s="334">
        <f t="shared" ref="L39" si="44">K39*H39</f>
        <v>0.38111808477044029</v>
      </c>
      <c r="M39" s="321">
        <f t="shared" ref="M39" si="45">K39*J39</f>
        <v>0.21213136465840302</v>
      </c>
      <c r="N39" s="321">
        <f t="shared" ref="N39" si="46">M39+L39</f>
        <v>0.59324944942884328</v>
      </c>
      <c r="O39" s="319">
        <f t="shared" ref="O39" si="47">L39*D39</f>
        <v>4117909666.1795311</v>
      </c>
      <c r="P39" s="1054">
        <f t="shared" si="5"/>
        <v>1.7717570308644155</v>
      </c>
      <c r="Q39" s="1048">
        <f t="shared" si="6"/>
        <v>19143503536.214241</v>
      </c>
      <c r="R39" s="312">
        <f t="shared" si="41"/>
        <v>1.3906389460939754</v>
      </c>
      <c r="S39" s="368">
        <f t="shared" si="42"/>
        <v>15025593870.034712</v>
      </c>
      <c r="T39" s="340">
        <f>-'OECD gasoline subsidies'!C140</f>
        <v>0</v>
      </c>
      <c r="U39" s="344">
        <f>T39*E39</f>
        <v>0</v>
      </c>
      <c r="V39" s="163">
        <f>S39+U39</f>
        <v>15025593870.034712</v>
      </c>
      <c r="W39" s="321">
        <f>(H39+J39)*(1+K39)</f>
        <v>3.8890797240335284</v>
      </c>
      <c r="X39" s="344">
        <f>W39*D39+U39</f>
        <v>42020779459.433861</v>
      </c>
    </row>
    <row r="40" spans="1:26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393"/>
      <c r="J40" s="394"/>
      <c r="K40" s="322"/>
      <c r="L40" s="329"/>
      <c r="M40" s="320"/>
      <c r="N40" s="320"/>
      <c r="O40" s="314"/>
      <c r="P40" s="1046"/>
      <c r="Q40" s="1047"/>
      <c r="R40" s="395"/>
      <c r="S40" s="396"/>
      <c r="T40" s="542"/>
      <c r="U40" s="543"/>
      <c r="V40" s="573"/>
      <c r="W40" s="571"/>
      <c r="X40" s="548"/>
      <c r="Z40" s="55"/>
    </row>
    <row r="41" spans="1:26" x14ac:dyDescent="0.6">
      <c r="A41" s="61">
        <f>A39+1</f>
        <v>34</v>
      </c>
      <c r="B41" s="44" t="s">
        <v>48</v>
      </c>
      <c r="C41" s="290">
        <v>33125</v>
      </c>
      <c r="D41" s="348">
        <f>C41*Assumptions!$C$5</f>
        <v>10115865384.615385</v>
      </c>
      <c r="E41" s="399">
        <f>Assumptions!H25</f>
        <v>5.0333999999999997E-2</v>
      </c>
      <c r="F41" s="390">
        <f>Assumptions!$C$115</f>
        <v>3.7854100000000002</v>
      </c>
      <c r="G41" s="877">
        <v>11.426</v>
      </c>
      <c r="H41" s="666">
        <f>G41*F41*E41</f>
        <v>2.17705093261644</v>
      </c>
      <c r="I41" s="382"/>
      <c r="J41" s="394"/>
      <c r="K41" s="322">
        <v>0.16</v>
      </c>
      <c r="L41" s="329">
        <f t="shared" ref="L41" si="48">K41*H41</f>
        <v>0.34832814921863042</v>
      </c>
      <c r="M41" s="320">
        <f t="shared" ref="M41" si="49">K41*J41</f>
        <v>0</v>
      </c>
      <c r="N41" s="320">
        <f t="shared" ref="N41" si="50">M41+L41</f>
        <v>0.34832814921863042</v>
      </c>
      <c r="O41" s="314">
        <f t="shared" ref="O41" si="51">L41*D41</f>
        <v>3523640667.1678863</v>
      </c>
      <c r="P41" s="1046"/>
      <c r="Q41" s="1047"/>
      <c r="R41" s="395"/>
      <c r="S41" s="396"/>
      <c r="T41" s="336"/>
      <c r="U41" s="342"/>
      <c r="V41" s="574"/>
      <c r="W41" s="320">
        <f>(H41+J41)*(1+K41)</f>
        <v>2.5253790818350703</v>
      </c>
      <c r="X41" s="342">
        <f t="shared" ref="X41:X65" si="52">W41*D41</f>
        <v>25546394836.967171</v>
      </c>
    </row>
    <row r="42" spans="1:26" x14ac:dyDescent="0.6">
      <c r="A42" s="46">
        <f>A41+1</f>
        <v>35</v>
      </c>
      <c r="B42" s="44" t="s">
        <v>53</v>
      </c>
      <c r="C42" s="290">
        <v>4428</v>
      </c>
      <c r="D42" s="348">
        <f>C42*Assumptions!$C$5</f>
        <v>1352243076.9230769</v>
      </c>
      <c r="E42" s="391"/>
      <c r="F42" s="390">
        <f>Assumptions!$C$115</f>
        <v>3.7854100000000002</v>
      </c>
      <c r="G42" s="1128">
        <f t="shared" ref="G42:G65" si="53">$I$67</f>
        <v>2.1173226931691129</v>
      </c>
      <c r="H42" s="538"/>
      <c r="I42" s="382"/>
      <c r="J42" s="394"/>
      <c r="K42" s="322"/>
      <c r="L42" s="329"/>
      <c r="M42" s="320"/>
      <c r="N42" s="320"/>
      <c r="O42" s="314"/>
      <c r="P42" s="1046"/>
      <c r="Q42" s="1047"/>
      <c r="R42" s="395"/>
      <c r="S42" s="394"/>
      <c r="T42" s="336"/>
      <c r="U42" s="342"/>
      <c r="V42" s="574"/>
      <c r="W42" s="363">
        <v>0.23</v>
      </c>
      <c r="X42" s="342">
        <f t="shared" si="52"/>
        <v>311015907.69230771</v>
      </c>
    </row>
    <row r="43" spans="1:26" x14ac:dyDescent="0.6">
      <c r="A43" s="46">
        <f t="shared" ref="A43:A65" si="54">A42+1</f>
        <v>36</v>
      </c>
      <c r="B43" s="44" t="s">
        <v>54</v>
      </c>
      <c r="C43" s="290">
        <v>1167</v>
      </c>
      <c r="D43" s="348">
        <f>C43*Assumptions!$C$5</f>
        <v>356383846.15384614</v>
      </c>
      <c r="E43" s="391"/>
      <c r="F43" s="390">
        <f>Assumptions!$C$115</f>
        <v>3.7854100000000002</v>
      </c>
      <c r="G43" s="1128">
        <f t="shared" si="53"/>
        <v>2.1173226931691129</v>
      </c>
      <c r="H43" s="538"/>
      <c r="I43" s="382"/>
      <c r="J43" s="394"/>
      <c r="K43" s="322"/>
      <c r="L43" s="329"/>
      <c r="M43" s="320"/>
      <c r="N43" s="320"/>
      <c r="O43" s="314"/>
      <c r="P43" s="1046"/>
      <c r="Q43" s="1047"/>
      <c r="R43" s="395"/>
      <c r="S43" s="396"/>
      <c r="T43" s="336"/>
      <c r="U43" s="342"/>
      <c r="V43" s="574"/>
      <c r="W43" s="1042">
        <f>0.76*F43</f>
        <v>2.8769116000000001</v>
      </c>
      <c r="X43" s="342">
        <f t="shared" si="52"/>
        <v>1025284821.0526154</v>
      </c>
    </row>
    <row r="44" spans="1:26" s="85" customFormat="1" x14ac:dyDescent="0.6">
      <c r="A44" s="61">
        <f t="shared" si="54"/>
        <v>37</v>
      </c>
      <c r="B44" s="86" t="s">
        <v>55</v>
      </c>
      <c r="C44" s="290">
        <v>1296</v>
      </c>
      <c r="D44" s="348">
        <f>C44*Assumptions!$C$5</f>
        <v>395778461.53846151</v>
      </c>
      <c r="E44" s="1005"/>
      <c r="F44" s="1006">
        <f>Assumptions!$C$115</f>
        <v>3.7854100000000002</v>
      </c>
      <c r="G44" s="1128">
        <f t="shared" si="53"/>
        <v>2.1173226931691129</v>
      </c>
      <c r="H44" s="538"/>
      <c r="I44" s="393"/>
      <c r="J44" s="394"/>
      <c r="K44" s="322"/>
      <c r="L44" s="329"/>
      <c r="M44" s="320"/>
      <c r="N44" s="320"/>
      <c r="O44" s="314"/>
      <c r="P44" s="1046"/>
      <c r="Q44" s="1047"/>
      <c r="R44" s="395"/>
      <c r="S44" s="396"/>
      <c r="T44" s="1007"/>
      <c r="U44" s="847"/>
      <c r="V44" s="1008"/>
      <c r="W44" s="1042">
        <f>1.21*F44</f>
        <v>4.5803460999999999</v>
      </c>
      <c r="X44" s="847">
        <f t="shared" si="52"/>
        <v>1812802332.771692</v>
      </c>
      <c r="Y44" s="506"/>
    </row>
    <row r="45" spans="1:26" s="85" customFormat="1" x14ac:dyDescent="0.6">
      <c r="A45" s="61">
        <f t="shared" si="54"/>
        <v>38</v>
      </c>
      <c r="B45" s="86" t="s">
        <v>56</v>
      </c>
      <c r="C45" s="290">
        <v>775</v>
      </c>
      <c r="D45" s="348">
        <f>C45*Assumptions!$C$5</f>
        <v>236673076.92307693</v>
      </c>
      <c r="E45" s="1005"/>
      <c r="F45" s="1006">
        <f>Assumptions!$C$115</f>
        <v>3.7854100000000002</v>
      </c>
      <c r="G45" s="1128">
        <f t="shared" si="53"/>
        <v>2.1173226931691129</v>
      </c>
      <c r="H45" s="538"/>
      <c r="I45" s="393"/>
      <c r="J45" s="394"/>
      <c r="K45" s="322"/>
      <c r="L45" s="329"/>
      <c r="M45" s="320"/>
      <c r="N45" s="320"/>
      <c r="O45" s="314"/>
      <c r="P45" s="1046"/>
      <c r="Q45" s="1047"/>
      <c r="R45" s="395"/>
      <c r="S45" s="396"/>
      <c r="T45" s="1007"/>
      <c r="U45" s="847"/>
      <c r="V45" s="1008"/>
      <c r="W45" s="363">
        <f>0.27*F45</f>
        <v>1.0220607000000002</v>
      </c>
      <c r="X45" s="847">
        <f t="shared" si="52"/>
        <v>241894250.67115387</v>
      </c>
      <c r="Y45" s="506"/>
    </row>
    <row r="46" spans="1:26" x14ac:dyDescent="0.6">
      <c r="A46" s="46">
        <f t="shared" si="54"/>
        <v>39</v>
      </c>
      <c r="B46" s="44" t="s">
        <v>57</v>
      </c>
      <c r="C46" s="290">
        <v>280</v>
      </c>
      <c r="D46" s="348">
        <f>C46*Assumptions!$C$5</f>
        <v>85507692.307692304</v>
      </c>
      <c r="E46" s="391"/>
      <c r="F46" s="390">
        <f>Assumptions!$C$115</f>
        <v>3.7854100000000002</v>
      </c>
      <c r="G46" s="1128">
        <f t="shared" si="53"/>
        <v>2.1173226931691129</v>
      </c>
      <c r="H46" s="538"/>
      <c r="I46" s="382"/>
      <c r="J46" s="400"/>
      <c r="K46" s="323"/>
      <c r="L46" s="329"/>
      <c r="M46" s="324"/>
      <c r="N46" s="324"/>
      <c r="O46" s="314"/>
      <c r="P46" s="1046"/>
      <c r="Q46" s="1047"/>
      <c r="R46" s="401"/>
      <c r="S46" s="396"/>
      <c r="T46" s="336"/>
      <c r="U46" s="342"/>
      <c r="V46" s="574"/>
      <c r="W46" s="1042">
        <f>0.41*F46</f>
        <v>1.5520181</v>
      </c>
      <c r="X46" s="342">
        <f t="shared" si="52"/>
        <v>132709486.15076922</v>
      </c>
    </row>
    <row r="47" spans="1:26" x14ac:dyDescent="0.6">
      <c r="A47" s="46">
        <f t="shared" si="54"/>
        <v>40</v>
      </c>
      <c r="B47" s="44" t="s">
        <v>58</v>
      </c>
      <c r="C47" s="290">
        <v>3308</v>
      </c>
      <c r="D47" s="348">
        <f>C47*Assumptions!$C$5</f>
        <v>1010212307.6923077</v>
      </c>
      <c r="E47" s="391"/>
      <c r="F47" s="390">
        <f>Assumptions!$C$115</f>
        <v>3.7854100000000002</v>
      </c>
      <c r="G47" s="1128">
        <f t="shared" si="53"/>
        <v>2.1173226931691129</v>
      </c>
      <c r="H47" s="538"/>
      <c r="I47" s="382"/>
      <c r="J47" s="392"/>
      <c r="K47" s="325"/>
      <c r="L47" s="329"/>
      <c r="M47" s="281"/>
      <c r="N47" s="281"/>
      <c r="O47" s="314"/>
      <c r="P47" s="1046"/>
      <c r="Q47" s="1047"/>
      <c r="R47" s="402"/>
      <c r="S47" s="403"/>
      <c r="T47" s="336"/>
      <c r="U47" s="342"/>
      <c r="V47" s="574"/>
      <c r="W47" s="1042">
        <f>0.6*F47</f>
        <v>2.2712460000000001</v>
      </c>
      <c r="X47" s="342">
        <f t="shared" si="52"/>
        <v>2294440662.9969234</v>
      </c>
    </row>
    <row r="48" spans="1:26" x14ac:dyDescent="0.6">
      <c r="A48" s="46">
        <f t="shared" si="54"/>
        <v>41</v>
      </c>
      <c r="B48" s="44" t="s">
        <v>59</v>
      </c>
      <c r="C48" s="290">
        <v>6867</v>
      </c>
      <c r="D48" s="348">
        <f>C48*Assumptions!$C$5</f>
        <v>2097076153.8461537</v>
      </c>
      <c r="E48" s="391"/>
      <c r="F48" s="390">
        <f>Assumptions!$C$115</f>
        <v>3.7854100000000002</v>
      </c>
      <c r="G48" s="1128">
        <f t="shared" si="53"/>
        <v>2.1173226931691129</v>
      </c>
      <c r="H48" s="538"/>
      <c r="I48" s="382"/>
      <c r="J48" s="392"/>
      <c r="K48" s="325"/>
      <c r="L48" s="329"/>
      <c r="M48" s="281"/>
      <c r="N48" s="281"/>
      <c r="O48" s="314"/>
      <c r="P48" s="1046"/>
      <c r="Q48" s="1047"/>
      <c r="R48" s="402"/>
      <c r="S48" s="396"/>
      <c r="T48" s="336"/>
      <c r="U48" s="342"/>
      <c r="V48" s="574"/>
      <c r="W48" s="1042">
        <f>0.88*F48</f>
        <v>3.3311608000000001</v>
      </c>
      <c r="X48" s="342">
        <f t="shared" si="52"/>
        <v>6985697878.3070765</v>
      </c>
    </row>
    <row r="49" spans="1:25" x14ac:dyDescent="0.6">
      <c r="A49" s="46">
        <f t="shared" si="54"/>
        <v>42</v>
      </c>
      <c r="B49" s="44" t="s">
        <v>60</v>
      </c>
      <c r="C49" s="290">
        <v>80</v>
      </c>
      <c r="D49" s="348">
        <f>C49*Assumptions!$C$5</f>
        <v>24430769.230769232</v>
      </c>
      <c r="E49" s="391"/>
      <c r="F49" s="390">
        <f>Assumptions!$C$115</f>
        <v>3.7854100000000002</v>
      </c>
      <c r="G49" s="1128">
        <f t="shared" si="53"/>
        <v>2.1173226931691129</v>
      </c>
      <c r="H49" s="538"/>
      <c r="I49" s="382"/>
      <c r="J49" s="392"/>
      <c r="K49" s="325"/>
      <c r="L49" s="329"/>
      <c r="M49" s="281"/>
      <c r="N49" s="281"/>
      <c r="O49" s="314"/>
      <c r="P49" s="1046"/>
      <c r="Q49" s="1047"/>
      <c r="R49" s="402"/>
      <c r="S49" s="396"/>
      <c r="T49" s="336"/>
      <c r="U49" s="342"/>
      <c r="V49" s="574"/>
      <c r="W49" s="1042">
        <f>1.02*F49</f>
        <v>3.8611182000000004</v>
      </c>
      <c r="X49" s="342">
        <f t="shared" si="52"/>
        <v>94330087.716923088</v>
      </c>
    </row>
    <row r="50" spans="1:25" s="85" customFormat="1" x14ac:dyDescent="0.6">
      <c r="A50" s="61">
        <f t="shared" si="54"/>
        <v>43</v>
      </c>
      <c r="B50" s="86" t="s">
        <v>61</v>
      </c>
      <c r="C50" s="290">
        <v>23248</v>
      </c>
      <c r="D50" s="348">
        <f>C50*Assumptions!$C$5</f>
        <v>7099581538.4615383</v>
      </c>
      <c r="E50" s="1009"/>
      <c r="F50" s="1006">
        <f>Assumptions!$C$115</f>
        <v>3.7854100000000002</v>
      </c>
      <c r="G50" s="1128">
        <f t="shared" si="53"/>
        <v>2.1173226931691129</v>
      </c>
      <c r="H50" s="538"/>
      <c r="I50" s="393"/>
      <c r="J50" s="394"/>
      <c r="K50" s="322"/>
      <c r="L50" s="329"/>
      <c r="M50" s="320"/>
      <c r="N50" s="320"/>
      <c r="O50" s="314"/>
      <c r="P50" s="1046"/>
      <c r="Q50" s="1047"/>
      <c r="R50" s="395"/>
      <c r="S50" s="396"/>
      <c r="T50" s="1007"/>
      <c r="U50" s="847"/>
      <c r="V50" s="1008"/>
      <c r="W50" s="363">
        <f>0.67*F50</f>
        <v>2.5362247000000004</v>
      </c>
      <c r="X50" s="847">
        <f t="shared" si="52"/>
        <v>18006134057.510155</v>
      </c>
      <c r="Y50" s="506"/>
    </row>
    <row r="51" spans="1:25" s="85" customFormat="1" x14ac:dyDescent="0.6">
      <c r="A51" s="61">
        <f t="shared" si="54"/>
        <v>44</v>
      </c>
      <c r="B51" s="86" t="s">
        <v>62</v>
      </c>
      <c r="C51" s="290">
        <v>4493</v>
      </c>
      <c r="D51" s="348">
        <f>C51*Assumptions!$C$5</f>
        <v>1372093076.9230769</v>
      </c>
      <c r="E51" s="1005"/>
      <c r="F51" s="1006">
        <f>Assumptions!$C$115</f>
        <v>3.7854100000000002</v>
      </c>
      <c r="G51" s="1128">
        <f t="shared" si="53"/>
        <v>2.1173226931691129</v>
      </c>
      <c r="H51" s="538"/>
      <c r="I51" s="393"/>
      <c r="J51" s="394"/>
      <c r="K51" s="322"/>
      <c r="L51" s="329"/>
      <c r="M51" s="320"/>
      <c r="N51" s="320"/>
      <c r="O51" s="314"/>
      <c r="P51" s="1046"/>
      <c r="Q51" s="1047"/>
      <c r="R51" s="395"/>
      <c r="S51" s="396"/>
      <c r="T51" s="1007"/>
      <c r="U51" s="847"/>
      <c r="V51" s="1008"/>
      <c r="W51" s="1042">
        <f>0.43*F51</f>
        <v>1.6277263</v>
      </c>
      <c r="X51" s="847">
        <f t="shared" si="52"/>
        <v>2233391987.3556151</v>
      </c>
      <c r="Y51" s="506"/>
    </row>
    <row r="52" spans="1:25" s="85" customFormat="1" x14ac:dyDescent="0.6">
      <c r="A52" s="61">
        <f t="shared" si="54"/>
        <v>45</v>
      </c>
      <c r="B52" s="86" t="s">
        <v>63</v>
      </c>
      <c r="C52" s="290">
        <v>19109</v>
      </c>
      <c r="D52" s="348">
        <f>C52*Assumptions!$C$5</f>
        <v>5835594615.3846149</v>
      </c>
      <c r="E52" s="1005"/>
      <c r="F52" s="1006">
        <f>Assumptions!$C$115</f>
        <v>3.7854100000000002</v>
      </c>
      <c r="G52" s="1128">
        <f t="shared" si="53"/>
        <v>2.1173226931691129</v>
      </c>
      <c r="H52" s="538"/>
      <c r="I52" s="393"/>
      <c r="J52" s="394"/>
      <c r="K52" s="322"/>
      <c r="L52" s="329"/>
      <c r="M52" s="320"/>
      <c r="N52" s="320"/>
      <c r="O52" s="314"/>
      <c r="P52" s="1046"/>
      <c r="Q52" s="1047"/>
      <c r="R52" s="395"/>
      <c r="S52" s="396"/>
      <c r="T52" s="1007"/>
      <c r="U52" s="847"/>
      <c r="V52" s="1008"/>
      <c r="W52" s="363">
        <f>0.33*F52</f>
        <v>1.2491853000000002</v>
      </c>
      <c r="X52" s="847">
        <f t="shared" si="52"/>
        <v>7289739010.297616</v>
      </c>
      <c r="Y52" s="70"/>
    </row>
    <row r="53" spans="1:25" s="85" customFormat="1" x14ac:dyDescent="0.6">
      <c r="A53" s="61">
        <f t="shared" si="54"/>
        <v>46</v>
      </c>
      <c r="B53" s="86" t="s">
        <v>64</v>
      </c>
      <c r="C53" s="290">
        <v>4209</v>
      </c>
      <c r="D53" s="348">
        <f>C53*Assumptions!$C$5</f>
        <v>1285363846.153846</v>
      </c>
      <c r="E53" s="1005"/>
      <c r="F53" s="1006">
        <f>Assumptions!$C$115</f>
        <v>3.7854100000000002</v>
      </c>
      <c r="G53" s="1128">
        <f t="shared" si="53"/>
        <v>2.1173226931691129</v>
      </c>
      <c r="H53" s="538"/>
      <c r="I53" s="393"/>
      <c r="J53" s="394"/>
      <c r="K53" s="322"/>
      <c r="L53" s="329"/>
      <c r="M53" s="320"/>
      <c r="N53" s="320"/>
      <c r="O53" s="314"/>
      <c r="P53" s="1046"/>
      <c r="Q53" s="1047"/>
      <c r="R53" s="395"/>
      <c r="S53" s="396"/>
      <c r="T53" s="1007"/>
      <c r="U53" s="847"/>
      <c r="V53" s="1008"/>
      <c r="W53" s="1042">
        <f>0.81*F53</f>
        <v>3.0661821000000002</v>
      </c>
      <c r="X53" s="847">
        <f t="shared" si="52"/>
        <v>3941159617.0640769</v>
      </c>
      <c r="Y53" s="506"/>
    </row>
    <row r="54" spans="1:25" s="85" customFormat="1" x14ac:dyDescent="0.6">
      <c r="A54" s="61">
        <f t="shared" si="54"/>
        <v>47</v>
      </c>
      <c r="B54" s="86" t="s">
        <v>65</v>
      </c>
      <c r="C54" s="290">
        <v>2797</v>
      </c>
      <c r="D54" s="348">
        <f>C54*Assumptions!$C$5</f>
        <v>854160769.23076916</v>
      </c>
      <c r="E54" s="1005"/>
      <c r="F54" s="1006">
        <f>Assumptions!$C$115</f>
        <v>3.7854100000000002</v>
      </c>
      <c r="G54" s="1128">
        <f t="shared" si="53"/>
        <v>2.1173226931691129</v>
      </c>
      <c r="H54" s="538"/>
      <c r="I54" s="393"/>
      <c r="J54" s="394"/>
      <c r="K54" s="322"/>
      <c r="L54" s="329"/>
      <c r="M54" s="320"/>
      <c r="N54" s="320"/>
      <c r="O54" s="314"/>
      <c r="P54" s="1046"/>
      <c r="Q54" s="1047"/>
      <c r="R54" s="395"/>
      <c r="S54" s="396"/>
      <c r="T54" s="1007"/>
      <c r="U54" s="1010"/>
      <c r="V54" s="1011"/>
      <c r="W54" s="363">
        <f>0.21*F54</f>
        <v>0.79493610000000003</v>
      </c>
      <c r="X54" s="847">
        <f t="shared" si="52"/>
        <v>679003230.66530764</v>
      </c>
      <c r="Y54" s="70"/>
    </row>
    <row r="55" spans="1:25" s="85" customFormat="1" x14ac:dyDescent="0.6">
      <c r="A55" s="61">
        <f t="shared" si="54"/>
        <v>48</v>
      </c>
      <c r="B55" s="86" t="s">
        <v>66</v>
      </c>
      <c r="C55" s="290">
        <v>3732</v>
      </c>
      <c r="D55" s="348">
        <f>C55*Assumptions!$C$5</f>
        <v>1139695384.6153846</v>
      </c>
      <c r="E55" s="1005"/>
      <c r="F55" s="1006">
        <f>Assumptions!$C$115</f>
        <v>3.7854100000000002</v>
      </c>
      <c r="G55" s="1128">
        <f t="shared" si="53"/>
        <v>2.1173226931691129</v>
      </c>
      <c r="H55" s="538"/>
      <c r="I55" s="393"/>
      <c r="J55" s="394"/>
      <c r="K55" s="322"/>
      <c r="L55" s="329"/>
      <c r="M55" s="320"/>
      <c r="N55" s="320"/>
      <c r="O55" s="314"/>
      <c r="P55" s="1046"/>
      <c r="Q55" s="1047"/>
      <c r="R55" s="395"/>
      <c r="S55" s="396"/>
      <c r="T55" s="1007"/>
      <c r="U55" s="1010"/>
      <c r="V55" s="1011"/>
      <c r="W55" s="363">
        <v>0.02</v>
      </c>
      <c r="X55" s="847">
        <f t="shared" si="52"/>
        <v>22793907.692307692</v>
      </c>
      <c r="Y55" s="506"/>
    </row>
    <row r="56" spans="1:25" s="85" customFormat="1" x14ac:dyDescent="0.6">
      <c r="A56" s="61">
        <f t="shared" si="54"/>
        <v>49</v>
      </c>
      <c r="B56" s="86" t="s">
        <v>67</v>
      </c>
      <c r="C56" s="290">
        <v>12195</v>
      </c>
      <c r="D56" s="348">
        <f>C56*Assumptions!$C$5</f>
        <v>3724165384.6153846</v>
      </c>
      <c r="E56" s="1005"/>
      <c r="F56" s="1006">
        <f>Assumptions!$C$115</f>
        <v>3.7854100000000002</v>
      </c>
      <c r="G56" s="1128">
        <f t="shared" si="53"/>
        <v>2.1173226931691129</v>
      </c>
      <c r="H56" s="538"/>
      <c r="I56" s="393"/>
      <c r="J56" s="394"/>
      <c r="K56" s="322"/>
      <c r="L56" s="329"/>
      <c r="M56" s="320"/>
      <c r="N56" s="320"/>
      <c r="O56" s="314"/>
      <c r="P56" s="1046"/>
      <c r="Q56" s="1047"/>
      <c r="R56" s="395"/>
      <c r="S56" s="396"/>
      <c r="T56" s="1007"/>
      <c r="U56" s="1010"/>
      <c r="V56" s="1011"/>
      <c r="W56" s="363">
        <f>0.46*F56</f>
        <v>1.7412886000000001</v>
      </c>
      <c r="X56" s="847">
        <f t="shared" si="52"/>
        <v>6484846728.7453852</v>
      </c>
      <c r="Y56" s="506"/>
    </row>
    <row r="57" spans="1:25" s="85" customFormat="1" x14ac:dyDescent="0.6">
      <c r="A57" s="61">
        <f t="shared" si="54"/>
        <v>50</v>
      </c>
      <c r="B57" s="86" t="s">
        <v>68</v>
      </c>
      <c r="C57" s="290">
        <v>7371</v>
      </c>
      <c r="D57" s="348">
        <f>C57*Assumptions!$C$5</f>
        <v>2250990000</v>
      </c>
      <c r="E57" s="1005"/>
      <c r="F57" s="1006">
        <f>Assumptions!$C$115</f>
        <v>3.7854100000000002</v>
      </c>
      <c r="G57" s="1128">
        <f t="shared" si="53"/>
        <v>2.1173226931691129</v>
      </c>
      <c r="H57" s="538"/>
      <c r="I57" s="393"/>
      <c r="J57" s="394"/>
      <c r="K57" s="322"/>
      <c r="L57" s="329"/>
      <c r="M57" s="320"/>
      <c r="N57" s="320"/>
      <c r="O57" s="314"/>
      <c r="P57" s="1046"/>
      <c r="Q57" s="1047"/>
      <c r="R57" s="395"/>
      <c r="S57" s="396"/>
      <c r="T57" s="1007"/>
      <c r="U57" s="1010"/>
      <c r="V57" s="1011"/>
      <c r="W57" s="363">
        <f>0.43*F57</f>
        <v>1.6277263</v>
      </c>
      <c r="X57" s="847">
        <f t="shared" si="52"/>
        <v>3663995624.0369997</v>
      </c>
      <c r="Y57" s="506"/>
    </row>
    <row r="58" spans="1:25" s="85" customFormat="1" x14ac:dyDescent="0.6">
      <c r="A58" s="61">
        <f t="shared" si="54"/>
        <v>51</v>
      </c>
      <c r="B58" s="86" t="s">
        <v>695</v>
      </c>
      <c r="C58" s="290">
        <v>2951</v>
      </c>
      <c r="D58" s="348">
        <f>C58*Assumptions!$C$5</f>
        <v>901190000</v>
      </c>
      <c r="E58" s="1005"/>
      <c r="F58" s="1006">
        <f>Assumptions!$C$115</f>
        <v>3.7854100000000002</v>
      </c>
      <c r="G58" s="1128">
        <f t="shared" si="53"/>
        <v>2.1173226931691129</v>
      </c>
      <c r="H58" s="538"/>
      <c r="I58" s="393"/>
      <c r="J58" s="394"/>
      <c r="K58" s="322"/>
      <c r="L58" s="329"/>
      <c r="M58" s="320"/>
      <c r="N58" s="320"/>
      <c r="O58" s="314"/>
      <c r="P58" s="1046"/>
      <c r="Q58" s="1047"/>
      <c r="R58" s="395"/>
      <c r="S58" s="396"/>
      <c r="T58" s="1007"/>
      <c r="U58" s="1010"/>
      <c r="V58" s="1011"/>
      <c r="W58" s="363">
        <f>0.3*F58</f>
        <v>1.135623</v>
      </c>
      <c r="X58" s="847">
        <f t="shared" si="52"/>
        <v>1023412091.37</v>
      </c>
      <c r="Y58" s="506"/>
    </row>
    <row r="59" spans="1:25" s="85" customFormat="1" x14ac:dyDescent="0.6">
      <c r="A59" s="61">
        <f t="shared" si="54"/>
        <v>52</v>
      </c>
      <c r="B59" s="86" t="s">
        <v>69</v>
      </c>
      <c r="C59" s="290">
        <v>1421</v>
      </c>
      <c r="D59" s="348">
        <f>C59*Assumptions!$C$5</f>
        <v>433951538.46153843</v>
      </c>
      <c r="E59" s="1005"/>
      <c r="F59" s="1006">
        <f>Assumptions!$C$115</f>
        <v>3.7854100000000002</v>
      </c>
      <c r="G59" s="1128">
        <f t="shared" si="53"/>
        <v>2.1173226931691129</v>
      </c>
      <c r="H59" s="538"/>
      <c r="I59" s="393"/>
      <c r="J59" s="394"/>
      <c r="K59" s="322"/>
      <c r="L59" s="329"/>
      <c r="M59" s="320"/>
      <c r="N59" s="320"/>
      <c r="O59" s="314"/>
      <c r="P59" s="1046"/>
      <c r="Q59" s="1047"/>
      <c r="R59" s="395"/>
      <c r="S59" s="396"/>
      <c r="T59" s="1007"/>
      <c r="U59" s="1010"/>
      <c r="V59" s="1011"/>
      <c r="W59" s="363">
        <f>0.26*F59</f>
        <v>0.98420660000000004</v>
      </c>
      <c r="X59" s="847">
        <f t="shared" si="52"/>
        <v>427097968.23399997</v>
      </c>
      <c r="Y59" s="70"/>
    </row>
    <row r="60" spans="1:25" s="85" customFormat="1" x14ac:dyDescent="0.6">
      <c r="A60" s="61">
        <f t="shared" si="54"/>
        <v>53</v>
      </c>
      <c r="B60" s="86" t="s">
        <v>70</v>
      </c>
      <c r="C60" s="290">
        <v>23913</v>
      </c>
      <c r="D60" s="348">
        <f>C60*Assumptions!$C$5</f>
        <v>7302662307.6923075</v>
      </c>
      <c r="E60" s="1005"/>
      <c r="F60" s="1006">
        <f>Assumptions!$C$115</f>
        <v>3.7854100000000002</v>
      </c>
      <c r="G60" s="1128">
        <f t="shared" si="53"/>
        <v>2.1173226931691129</v>
      </c>
      <c r="H60" s="538"/>
      <c r="I60" s="393"/>
      <c r="J60" s="394"/>
      <c r="K60" s="322"/>
      <c r="L60" s="329"/>
      <c r="M60" s="320"/>
      <c r="N60" s="320"/>
      <c r="O60" s="314"/>
      <c r="P60" s="1046"/>
      <c r="Q60" s="1047"/>
      <c r="R60" s="395"/>
      <c r="S60" s="396"/>
      <c r="T60" s="1007"/>
      <c r="U60" s="1010"/>
      <c r="V60" s="1011"/>
      <c r="W60" s="363">
        <v>0.16</v>
      </c>
      <c r="X60" s="847">
        <f t="shared" si="52"/>
        <v>1168425969.2307692</v>
      </c>
      <c r="Y60" s="70"/>
    </row>
    <row r="61" spans="1:25" s="85" customFormat="1" x14ac:dyDescent="0.6">
      <c r="A61" s="61">
        <f t="shared" si="54"/>
        <v>54</v>
      </c>
      <c r="B61" s="86" t="s">
        <v>71</v>
      </c>
      <c r="C61" s="290">
        <v>557</v>
      </c>
      <c r="D61" s="348">
        <f>C61*Assumptions!$C$5</f>
        <v>170099230.76923075</v>
      </c>
      <c r="E61" s="1005"/>
      <c r="F61" s="1006">
        <f>Assumptions!$C$115</f>
        <v>3.7854100000000002</v>
      </c>
      <c r="G61" s="1128">
        <f t="shared" si="53"/>
        <v>2.1173226931691129</v>
      </c>
      <c r="H61" s="538"/>
      <c r="I61" s="393"/>
      <c r="J61" s="394"/>
      <c r="K61" s="322"/>
      <c r="L61" s="329"/>
      <c r="M61" s="320"/>
      <c r="N61" s="320"/>
      <c r="O61" s="314"/>
      <c r="P61" s="1046"/>
      <c r="Q61" s="1047"/>
      <c r="R61" s="395"/>
      <c r="S61" s="396"/>
      <c r="T61" s="1007"/>
      <c r="U61" s="1010"/>
      <c r="V61" s="1011"/>
      <c r="W61" s="1043">
        <f>0.59*F61</f>
        <v>2.2333919</v>
      </c>
      <c r="X61" s="847">
        <f t="shared" si="52"/>
        <v>379898244.19623071</v>
      </c>
      <c r="Y61" s="506"/>
    </row>
    <row r="62" spans="1:25" s="85" customFormat="1" x14ac:dyDescent="0.6">
      <c r="A62" s="61">
        <f t="shared" si="54"/>
        <v>55</v>
      </c>
      <c r="B62" s="86" t="s">
        <v>72</v>
      </c>
      <c r="C62" s="290">
        <v>1505</v>
      </c>
      <c r="D62" s="348">
        <f>C62*Assumptions!$C$5</f>
        <v>459603846.15384614</v>
      </c>
      <c r="E62" s="1005"/>
      <c r="F62" s="1006">
        <f>Assumptions!$C$115</f>
        <v>3.7854100000000002</v>
      </c>
      <c r="G62" s="1128">
        <f t="shared" si="53"/>
        <v>2.1173226931691129</v>
      </c>
      <c r="H62" s="538"/>
      <c r="I62" s="393"/>
      <c r="J62" s="394"/>
      <c r="K62" s="322"/>
      <c r="L62" s="329"/>
      <c r="M62" s="320"/>
      <c r="N62" s="320"/>
      <c r="O62" s="314"/>
      <c r="P62" s="1046"/>
      <c r="Q62" s="1047"/>
      <c r="R62" s="395"/>
      <c r="S62" s="396"/>
      <c r="T62" s="1007"/>
      <c r="U62" s="1010"/>
      <c r="V62" s="1011"/>
      <c r="W62" s="1042">
        <f>0.22*F62</f>
        <v>0.83279020000000004</v>
      </c>
      <c r="X62" s="847">
        <f t="shared" si="52"/>
        <v>382753578.95923078</v>
      </c>
      <c r="Y62" s="506"/>
    </row>
    <row r="63" spans="1:25" s="85" customFormat="1" x14ac:dyDescent="0.6">
      <c r="A63" s="61">
        <f t="shared" si="54"/>
        <v>56</v>
      </c>
      <c r="B63" s="86" t="s">
        <v>73</v>
      </c>
      <c r="C63" s="290">
        <v>6745</v>
      </c>
      <c r="D63" s="348">
        <f>C63*Assumptions!$C$5</f>
        <v>2059819230.7692306</v>
      </c>
      <c r="E63" s="1005"/>
      <c r="F63" s="1006">
        <f>Assumptions!$C$115</f>
        <v>3.7854100000000002</v>
      </c>
      <c r="G63" s="1128">
        <f t="shared" si="53"/>
        <v>2.1173226931691129</v>
      </c>
      <c r="H63" s="538"/>
      <c r="I63" s="393"/>
      <c r="J63" s="394"/>
      <c r="K63" s="322"/>
      <c r="L63" s="329"/>
      <c r="M63" s="320"/>
      <c r="N63" s="320"/>
      <c r="O63" s="314"/>
      <c r="P63" s="1046"/>
      <c r="Q63" s="1047"/>
      <c r="R63" s="395"/>
      <c r="S63" s="396"/>
      <c r="T63" s="1007"/>
      <c r="U63" s="1010"/>
      <c r="V63" s="1011"/>
      <c r="W63" s="363">
        <f>0.53*F63</f>
        <v>2.0062673000000002</v>
      </c>
      <c r="X63" s="847">
        <f t="shared" si="52"/>
        <v>4132547966.6034617</v>
      </c>
      <c r="Y63" s="70"/>
    </row>
    <row r="64" spans="1:25" s="85" customFormat="1" x14ac:dyDescent="0.6">
      <c r="A64" s="61">
        <f t="shared" si="54"/>
        <v>57</v>
      </c>
      <c r="B64" s="86" t="s">
        <v>74</v>
      </c>
      <c r="C64" s="290">
        <v>990</v>
      </c>
      <c r="D64" s="348">
        <f>C64*Assumptions!$C$5</f>
        <v>302330769.23076922</v>
      </c>
      <c r="E64" s="1005"/>
      <c r="F64" s="1006">
        <f>Assumptions!$C$115</f>
        <v>3.7854100000000002</v>
      </c>
      <c r="G64" s="1128">
        <f t="shared" si="53"/>
        <v>2.1173226931691129</v>
      </c>
      <c r="H64" s="538"/>
      <c r="I64" s="393"/>
      <c r="J64" s="394"/>
      <c r="K64" s="322"/>
      <c r="L64" s="329"/>
      <c r="M64" s="320"/>
      <c r="N64" s="320"/>
      <c r="O64" s="314"/>
      <c r="P64" s="1046"/>
      <c r="Q64" s="1047"/>
      <c r="R64" s="395"/>
      <c r="S64" s="396"/>
      <c r="T64" s="1007"/>
      <c r="U64" s="1010"/>
      <c r="V64" s="1011"/>
      <c r="W64" s="1041">
        <f>1.02*F64</f>
        <v>3.8611182000000004</v>
      </c>
      <c r="X64" s="847">
        <f t="shared" si="52"/>
        <v>1167334835.4969232</v>
      </c>
      <c r="Y64" s="506"/>
    </row>
    <row r="65" spans="1:25" s="85" customFormat="1" x14ac:dyDescent="0.6">
      <c r="A65" s="63">
        <f t="shared" si="54"/>
        <v>58</v>
      </c>
      <c r="B65" s="90" t="s">
        <v>75</v>
      </c>
      <c r="C65" s="292">
        <v>11160</v>
      </c>
      <c r="D65" s="350">
        <f>C65*Assumptions!$C$5</f>
        <v>3408092307.6923075</v>
      </c>
      <c r="E65" s="1012"/>
      <c r="F65" s="1013">
        <f>Assumptions!$C$115</f>
        <v>3.7854100000000002</v>
      </c>
      <c r="G65" s="1129">
        <f t="shared" si="53"/>
        <v>2.1173226931691129</v>
      </c>
      <c r="H65" s="1021"/>
      <c r="I65" s="819"/>
      <c r="J65" s="858"/>
      <c r="K65" s="967"/>
      <c r="L65" s="335"/>
      <c r="M65" s="1014"/>
      <c r="N65" s="1014"/>
      <c r="O65" s="328"/>
      <c r="P65" s="1049"/>
      <c r="Q65" s="1050"/>
      <c r="R65" s="1015"/>
      <c r="S65" s="409"/>
      <c r="T65" s="1016"/>
      <c r="U65" s="1017"/>
      <c r="V65" s="1018"/>
      <c r="W65" s="572">
        <v>0.02</v>
      </c>
      <c r="X65" s="1019">
        <f t="shared" si="52"/>
        <v>68161846.153846145</v>
      </c>
      <c r="Y65" s="506"/>
    </row>
    <row r="66" spans="1:25" x14ac:dyDescent="0.6">
      <c r="B66" s="1" t="s">
        <v>42</v>
      </c>
      <c r="D66" s="13">
        <f>SUM(D4:D65)</f>
        <v>273578196923.07684</v>
      </c>
      <c r="E66" s="398"/>
      <c r="F66" s="410"/>
      <c r="G66" s="83"/>
      <c r="H66" s="278"/>
      <c r="I66" s="411"/>
      <c r="J66" s="278"/>
      <c r="K66" s="412"/>
      <c r="L66" s="413"/>
      <c r="M66" s="278"/>
      <c r="N66" s="278"/>
      <c r="O66" s="414"/>
      <c r="P66" s="414"/>
      <c r="Q66" s="414"/>
      <c r="R66" s="278"/>
      <c r="S66" s="415"/>
      <c r="T66" s="397"/>
      <c r="U66" s="83"/>
      <c r="V66" s="1"/>
    </row>
    <row r="67" spans="1:25" x14ac:dyDescent="0.6">
      <c r="B67" s="1" t="s">
        <v>357</v>
      </c>
      <c r="C67" s="13">
        <v>994172</v>
      </c>
      <c r="D67" s="13">
        <f>C67*Assumptions!C5</f>
        <v>303604833846.15381</v>
      </c>
      <c r="E67" s="398"/>
      <c r="F67" s="83" t="s">
        <v>1757</v>
      </c>
      <c r="G67" s="83"/>
      <c r="I67" s="1671">
        <f>SUMPRODUCT(D4:D34,H4:H34)/SUM(D4:D34)</f>
        <v>2.1173226931691129</v>
      </c>
      <c r="J67" s="278"/>
      <c r="K67" s="412"/>
      <c r="L67" s="413"/>
      <c r="M67" s="278"/>
      <c r="N67" s="278"/>
      <c r="O67" s="414"/>
      <c r="P67" s="414"/>
      <c r="Q67" s="414"/>
      <c r="R67" s="278"/>
      <c r="S67" s="415"/>
      <c r="T67" s="397"/>
      <c r="U67" s="83"/>
      <c r="V67" s="1"/>
    </row>
    <row r="68" spans="1:25" x14ac:dyDescent="0.6">
      <c r="C68" s="28"/>
      <c r="D68" s="28">
        <f>D66/D67</f>
        <v>0.90109960851844539</v>
      </c>
      <c r="E68" s="398"/>
      <c r="J68" s="278"/>
      <c r="K68" s="412"/>
      <c r="L68" s="413"/>
      <c r="M68" s="278"/>
      <c r="N68" s="278"/>
      <c r="O68" s="414"/>
      <c r="P68" s="414"/>
      <c r="Q68" s="414"/>
      <c r="R68" s="278"/>
      <c r="S68" s="415"/>
      <c r="T68" s="397"/>
      <c r="U68" s="83"/>
      <c r="V68" s="1"/>
    </row>
    <row r="69" spans="1:25" x14ac:dyDescent="0.6">
      <c r="A69" s="1"/>
      <c r="D69" s="1"/>
      <c r="E69" s="398"/>
      <c r="J69" s="83"/>
      <c r="K69" s="412"/>
      <c r="L69" s="413"/>
      <c r="M69" s="83"/>
      <c r="N69" s="83"/>
      <c r="O69" s="414"/>
      <c r="P69" s="414"/>
      <c r="Q69" s="414"/>
      <c r="R69" s="83"/>
      <c r="S69" s="416"/>
      <c r="T69" s="397"/>
      <c r="U69" s="83"/>
      <c r="V69" s="1"/>
    </row>
    <row r="70" spans="1:25" x14ac:dyDescent="0.6">
      <c r="D70" s="239"/>
      <c r="E70" s="398"/>
      <c r="F70" s="410"/>
      <c r="G70" s="83"/>
      <c r="H70" s="278"/>
      <c r="I70" s="411"/>
      <c r="J70" s="278"/>
      <c r="K70" s="412"/>
      <c r="L70" s="413"/>
      <c r="M70" s="278"/>
      <c r="N70" s="278"/>
      <c r="O70" s="414"/>
      <c r="P70" s="414"/>
      <c r="Q70" s="414"/>
      <c r="R70" s="278"/>
      <c r="S70" s="415"/>
      <c r="T70" s="397"/>
      <c r="U70" s="276"/>
    </row>
    <row r="71" spans="1:25" x14ac:dyDescent="0.6">
      <c r="E71" s="398"/>
      <c r="F71" s="410"/>
      <c r="G71" s="83"/>
      <c r="H71" s="278"/>
      <c r="I71" s="411"/>
      <c r="J71" s="278"/>
      <c r="K71" s="412"/>
      <c r="L71" s="413"/>
      <c r="M71" s="278"/>
      <c r="N71" s="278"/>
      <c r="O71" s="414"/>
      <c r="P71" s="414"/>
      <c r="Q71" s="414"/>
      <c r="R71" s="278"/>
      <c r="S71" s="415"/>
      <c r="T71" s="397"/>
      <c r="U71" s="276"/>
    </row>
    <row r="72" spans="1:25" x14ac:dyDescent="0.6">
      <c r="E72" s="398"/>
      <c r="F72" s="410"/>
      <c r="G72" s="83"/>
      <c r="H72" s="278"/>
      <c r="I72" s="411"/>
      <c r="J72" s="278"/>
      <c r="K72" s="412"/>
      <c r="L72" s="413"/>
      <c r="M72" s="278"/>
      <c r="N72" s="1670"/>
      <c r="O72" s="414"/>
      <c r="P72" s="414"/>
      <c r="Q72" s="414"/>
      <c r="R72" s="278"/>
      <c r="S72" s="415"/>
      <c r="T72" s="397"/>
      <c r="U72" s="276"/>
    </row>
    <row r="73" spans="1:25" x14ac:dyDescent="0.6">
      <c r="E73" s="398"/>
      <c r="F73" s="410"/>
      <c r="G73" s="83"/>
      <c r="H73" s="278"/>
      <c r="I73" s="411"/>
      <c r="J73" s="278"/>
      <c r="K73" s="412"/>
      <c r="L73" s="413"/>
      <c r="M73" s="278"/>
      <c r="N73" s="278"/>
      <c r="O73" s="414"/>
      <c r="P73" s="414"/>
      <c r="Q73" s="414"/>
      <c r="R73" s="278"/>
      <c r="S73" s="415"/>
      <c r="T73" s="397"/>
      <c r="U73" s="276"/>
    </row>
    <row r="74" spans="1:25" x14ac:dyDescent="0.6">
      <c r="E74" s="398"/>
      <c r="F74" s="410"/>
      <c r="G74" s="83"/>
      <c r="H74" s="278"/>
      <c r="I74" s="411"/>
      <c r="J74" s="278"/>
      <c r="K74" s="412"/>
      <c r="L74" s="413"/>
      <c r="M74" s="278"/>
      <c r="N74" s="278"/>
      <c r="O74" s="414"/>
      <c r="P74" s="414"/>
      <c r="Q74" s="414"/>
      <c r="R74" s="278"/>
      <c r="S74" s="415"/>
      <c r="T74" s="397"/>
      <c r="U74" s="276"/>
    </row>
    <row r="75" spans="1:25" x14ac:dyDescent="0.6">
      <c r="E75" s="398"/>
      <c r="F75" s="410"/>
      <c r="G75" s="83"/>
      <c r="H75" s="278"/>
      <c r="I75" s="411"/>
      <c r="J75" s="278"/>
      <c r="K75" s="412"/>
      <c r="L75" s="413"/>
      <c r="M75" s="278"/>
      <c r="N75" s="278"/>
      <c r="O75" s="414"/>
      <c r="P75" s="414"/>
      <c r="Q75" s="414"/>
      <c r="R75" s="278"/>
      <c r="S75" s="415"/>
      <c r="T75" s="397"/>
      <c r="U75" s="276"/>
    </row>
    <row r="76" spans="1:25" x14ac:dyDescent="0.6">
      <c r="E76" s="398"/>
      <c r="F76" s="410"/>
      <c r="G76" s="83"/>
      <c r="H76" s="278"/>
      <c r="I76" s="411"/>
      <c r="J76" s="278"/>
      <c r="K76" s="412"/>
      <c r="L76" s="413"/>
      <c r="M76" s="278"/>
      <c r="N76" s="278"/>
      <c r="O76" s="414"/>
      <c r="P76" s="414"/>
      <c r="Q76" s="414"/>
      <c r="R76" s="278"/>
      <c r="S76" s="415"/>
      <c r="T76" s="397"/>
      <c r="U76" s="276"/>
    </row>
    <row r="77" spans="1:25" x14ac:dyDescent="0.6">
      <c r="E77" s="398"/>
      <c r="F77" s="410"/>
      <c r="G77" s="83"/>
      <c r="H77" s="278"/>
      <c r="I77" s="411"/>
      <c r="J77" s="278"/>
      <c r="K77" s="412"/>
      <c r="L77" s="413"/>
      <c r="M77" s="278"/>
      <c r="N77" s="278"/>
      <c r="O77" s="414"/>
      <c r="P77" s="414"/>
      <c r="Q77" s="414"/>
      <c r="R77" s="278"/>
      <c r="S77" s="415"/>
      <c r="T77" s="397"/>
      <c r="U77" s="276"/>
    </row>
    <row r="78" spans="1:25" x14ac:dyDescent="0.6">
      <c r="E78" s="398"/>
      <c r="F78" s="410"/>
      <c r="G78" s="83"/>
      <c r="H78" s="278"/>
      <c r="I78" s="411"/>
      <c r="J78" s="278"/>
      <c r="K78" s="412"/>
      <c r="L78" s="413"/>
      <c r="M78" s="278"/>
      <c r="N78" s="278"/>
      <c r="O78" s="414"/>
      <c r="P78" s="414"/>
      <c r="Q78" s="414"/>
      <c r="R78" s="278"/>
      <c r="S78" s="415"/>
      <c r="T78" s="397"/>
      <c r="U78" s="276"/>
    </row>
    <row r="79" spans="1:25" x14ac:dyDescent="0.6">
      <c r="E79" s="398"/>
      <c r="F79" s="410"/>
      <c r="G79" s="83"/>
      <c r="H79" s="278"/>
      <c r="I79" s="411"/>
      <c r="J79" s="278"/>
      <c r="K79" s="412"/>
      <c r="L79" s="413"/>
      <c r="M79" s="278"/>
      <c r="N79" s="278"/>
      <c r="O79" s="414"/>
      <c r="P79" s="414"/>
      <c r="Q79" s="414"/>
      <c r="R79" s="278"/>
      <c r="S79" s="415"/>
      <c r="T79" s="397"/>
      <c r="U79" s="276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S11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8.5" style="85" customWidth="1"/>
    <col min="3" max="3" width="11.34765625" style="96" customWidth="1"/>
    <col min="4" max="4" width="11.34765625" style="55" customWidth="1"/>
    <col min="5" max="5" width="8.84765625" style="96" bestFit="1" customWidth="1"/>
    <col min="6" max="6" width="17.59765625" style="1" bestFit="1" customWidth="1"/>
    <col min="7" max="7" width="17.34765625" style="1" bestFit="1" customWidth="1"/>
    <col min="8" max="8" width="12.59765625" style="278" customWidth="1"/>
    <col min="9" max="10" width="9.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14.59765625" style="1" customWidth="1"/>
    <col min="19" max="19" width="14" style="17" bestFit="1" customWidth="1"/>
    <col min="20" max="16384" width="10.84765625" style="1"/>
  </cols>
  <sheetData>
    <row r="1" spans="1:19" x14ac:dyDescent="0.6">
      <c r="A1" s="78" t="s">
        <v>1621</v>
      </c>
      <c r="C1" s="174"/>
      <c r="D1" s="89"/>
      <c r="F1" s="13"/>
      <c r="G1" s="13"/>
      <c r="H1" s="1441"/>
      <c r="L1" s="17"/>
      <c r="M1" s="17"/>
      <c r="N1" s="98"/>
      <c r="P1" s="98"/>
      <c r="Q1" s="880"/>
    </row>
    <row r="2" spans="1:19" s="2" customFormat="1" x14ac:dyDescent="0.6">
      <c r="A2" s="24" t="s">
        <v>879</v>
      </c>
      <c r="B2" s="60"/>
      <c r="C2" s="97" t="s">
        <v>857</v>
      </c>
      <c r="D2" s="56" t="s">
        <v>857</v>
      </c>
      <c r="E2" s="97" t="s">
        <v>189</v>
      </c>
      <c r="F2" s="60" t="s">
        <v>24</v>
      </c>
      <c r="G2" s="60" t="s">
        <v>24</v>
      </c>
      <c r="H2" s="370" t="s">
        <v>1506</v>
      </c>
      <c r="I2" s="95" t="s">
        <v>1506</v>
      </c>
      <c r="J2" s="95"/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  <c r="S2" s="18"/>
    </row>
    <row r="3" spans="1:19" s="2" customFormat="1" x14ac:dyDescent="0.6">
      <c r="A3" s="24"/>
      <c r="B3" s="60"/>
      <c r="C3" s="97" t="s">
        <v>1507</v>
      </c>
      <c r="D3" s="56" t="s">
        <v>1508</v>
      </c>
      <c r="E3" s="97" t="s">
        <v>79</v>
      </c>
      <c r="F3" s="2" t="s">
        <v>1504</v>
      </c>
      <c r="G3" s="2" t="s">
        <v>400</v>
      </c>
      <c r="H3" s="370" t="s">
        <v>1505</v>
      </c>
      <c r="I3" s="95" t="s">
        <v>674</v>
      </c>
      <c r="J3" s="95" t="s">
        <v>79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  <c r="S3" s="18"/>
    </row>
    <row r="4" spans="1:19" s="85" customFormat="1" x14ac:dyDescent="0.6">
      <c r="A4" s="60">
        <v>1</v>
      </c>
      <c r="B4" s="85" t="s">
        <v>178</v>
      </c>
      <c r="C4" s="174"/>
      <c r="D4" s="89"/>
      <c r="E4" s="959"/>
      <c r="F4" s="897">
        <v>186819000000</v>
      </c>
      <c r="G4" s="897">
        <f>F4*Assumptions!$C$56/Assumptions!$C$8</f>
        <v>1549850424</v>
      </c>
      <c r="H4" s="1442">
        <v>11.18</v>
      </c>
      <c r="I4" s="156">
        <f>(H4/1000*F4)/G4</f>
        <v>1.3476374156219864</v>
      </c>
      <c r="J4" s="156">
        <f>I4-K4</f>
        <v>0</v>
      </c>
      <c r="K4" s="156">
        <f>I4/(1+C4)</f>
        <v>1.3476374156219864</v>
      </c>
      <c r="L4" s="156">
        <f t="shared" ref="L4:L54" si="0">K4*(1+E4)</f>
        <v>1.3476374156219864</v>
      </c>
      <c r="M4" s="952">
        <f>I4-K4</f>
        <v>0</v>
      </c>
      <c r="N4" s="70">
        <f t="shared" ref="N4:N54" si="1">I4*G4</f>
        <v>2088636419.9999998</v>
      </c>
      <c r="O4" s="70">
        <f t="shared" ref="O4:O54" si="2">K4*G4</f>
        <v>2088636419.9999998</v>
      </c>
      <c r="P4" s="70">
        <f t="shared" ref="P4:P54" si="3">L4*G4</f>
        <v>2088636419.9999998</v>
      </c>
      <c r="Q4" s="70">
        <f t="shared" ref="Q4:Q54" si="4">N4-P4</f>
        <v>0</v>
      </c>
      <c r="R4" s="70">
        <f>IF(Q4&gt;=0,Q4,0)</f>
        <v>0</v>
      </c>
      <c r="S4" s="70">
        <f>IF(Q4&lt;0,Q4,0)</f>
        <v>0</v>
      </c>
    </row>
    <row r="5" spans="1:19" s="85" customFormat="1" x14ac:dyDescent="0.6">
      <c r="A5" s="60">
        <f t="shared" ref="A5:A54" si="5">A4+1</f>
        <v>2</v>
      </c>
      <c r="B5" s="85" t="s">
        <v>188</v>
      </c>
      <c r="C5" s="174"/>
      <c r="D5" s="89"/>
      <c r="E5" s="959"/>
      <c r="F5" s="897">
        <v>4864000000</v>
      </c>
      <c r="G5" s="897">
        <f>F5*Assumptions!$C$56/Assumptions!$C$8</f>
        <v>40351744</v>
      </c>
      <c r="H5" s="1442">
        <v>8.01</v>
      </c>
      <c r="I5" s="156">
        <f t="shared" ref="I5:I54" si="6">(H5/1000*F5)/G5</f>
        <v>0.96552555448408872</v>
      </c>
      <c r="J5" s="156">
        <f t="shared" ref="J5:J54" si="7">I5-K5</f>
        <v>0</v>
      </c>
      <c r="K5" s="156">
        <f>I5</f>
        <v>0.96552555448408872</v>
      </c>
      <c r="L5" s="156">
        <f t="shared" si="0"/>
        <v>0.96552555448408872</v>
      </c>
      <c r="M5" s="952">
        <f t="shared" ref="M5:M54" si="8">I5-K5</f>
        <v>0</v>
      </c>
      <c r="N5" s="70">
        <f t="shared" si="1"/>
        <v>38960640</v>
      </c>
      <c r="O5" s="70">
        <f t="shared" si="2"/>
        <v>38960640</v>
      </c>
      <c r="P5" s="70">
        <f t="shared" si="3"/>
        <v>38960640</v>
      </c>
      <c r="Q5" s="70">
        <f t="shared" si="4"/>
        <v>0</v>
      </c>
      <c r="R5" s="70">
        <f t="shared" ref="R5:R55" si="9">IF(Q5&gt;=0,Q5,0)</f>
        <v>0</v>
      </c>
      <c r="S5" s="70">
        <f t="shared" ref="S5:S53" si="10">IF(Q5&lt;0,Q5,0)</f>
        <v>0</v>
      </c>
    </row>
    <row r="6" spans="1:19" s="85" customFormat="1" x14ac:dyDescent="0.6">
      <c r="A6" s="60">
        <f t="shared" si="5"/>
        <v>3</v>
      </c>
      <c r="B6" s="85" t="s">
        <v>181</v>
      </c>
      <c r="C6" s="174"/>
      <c r="D6" s="89"/>
      <c r="E6" s="959"/>
      <c r="F6" s="897">
        <v>20402000000</v>
      </c>
      <c r="G6" s="897">
        <f>F6*Assumptions!$C$56/Assumptions!$C$8</f>
        <v>169254992</v>
      </c>
      <c r="H6" s="1442">
        <v>10.53</v>
      </c>
      <c r="I6" s="156">
        <f t="shared" si="6"/>
        <v>1.2692864030858244</v>
      </c>
      <c r="J6" s="156">
        <f t="shared" si="7"/>
        <v>0</v>
      </c>
      <c r="K6" s="156">
        <f>I6/(1+C6)</f>
        <v>1.2692864030858244</v>
      </c>
      <c r="L6" s="156">
        <f t="shared" si="0"/>
        <v>1.2692864030858244</v>
      </c>
      <c r="M6" s="952">
        <f t="shared" si="8"/>
        <v>0</v>
      </c>
      <c r="N6" s="70">
        <f t="shared" si="1"/>
        <v>214833060</v>
      </c>
      <c r="O6" s="70">
        <f t="shared" si="2"/>
        <v>214833060</v>
      </c>
      <c r="P6" s="70">
        <f t="shared" si="3"/>
        <v>214833060</v>
      </c>
      <c r="Q6" s="70">
        <f t="shared" si="4"/>
        <v>0</v>
      </c>
      <c r="R6" s="70">
        <f t="shared" si="9"/>
        <v>0</v>
      </c>
      <c r="S6" s="70">
        <f t="shared" si="10"/>
        <v>0</v>
      </c>
    </row>
    <row r="7" spans="1:19" s="85" customFormat="1" x14ac:dyDescent="0.6">
      <c r="A7" s="60">
        <f t="shared" si="5"/>
        <v>4</v>
      </c>
      <c r="B7" s="85" t="s">
        <v>176</v>
      </c>
      <c r="C7" s="174"/>
      <c r="D7" s="1446"/>
      <c r="E7" s="959"/>
      <c r="F7" s="897">
        <v>85287000000</v>
      </c>
      <c r="G7" s="897">
        <f>F7*Assumptions!$C$56/Assumptions!$C$8</f>
        <v>707540952</v>
      </c>
      <c r="H7" s="1442">
        <v>8.43</v>
      </c>
      <c r="I7" s="156">
        <f t="shared" si="6"/>
        <v>1.016152362584378</v>
      </c>
      <c r="J7" s="156">
        <f t="shared" si="7"/>
        <v>0</v>
      </c>
      <c r="K7" s="156">
        <f>I7/(1+C7)</f>
        <v>1.016152362584378</v>
      </c>
      <c r="L7" s="156">
        <f t="shared" si="0"/>
        <v>1.016152362584378</v>
      </c>
      <c r="M7" s="952">
        <f t="shared" si="8"/>
        <v>0</v>
      </c>
      <c r="N7" s="70">
        <f t="shared" si="1"/>
        <v>718969410</v>
      </c>
      <c r="O7" s="70">
        <f t="shared" si="2"/>
        <v>718969410</v>
      </c>
      <c r="P7" s="70">
        <f t="shared" si="3"/>
        <v>718969410</v>
      </c>
      <c r="Q7" s="70">
        <f t="shared" si="4"/>
        <v>0</v>
      </c>
      <c r="R7" s="70">
        <f t="shared" si="9"/>
        <v>0</v>
      </c>
      <c r="S7" s="70">
        <f t="shared" si="10"/>
        <v>0</v>
      </c>
    </row>
    <row r="8" spans="1:19" s="85" customFormat="1" x14ac:dyDescent="0.6">
      <c r="A8" s="60">
        <f t="shared" si="5"/>
        <v>5</v>
      </c>
      <c r="B8" s="85" t="s">
        <v>142</v>
      </c>
      <c r="C8" s="174"/>
      <c r="D8" s="1446"/>
      <c r="E8" s="959"/>
      <c r="F8" s="897">
        <v>777102000000</v>
      </c>
      <c r="G8" s="897">
        <f>F8*Assumptions!$C$56/Assumptions!$C$8</f>
        <v>6446838192</v>
      </c>
      <c r="H8" s="1442">
        <v>8.0399999999999991</v>
      </c>
      <c r="I8" s="156">
        <f t="shared" si="6"/>
        <v>0.96914175506268063</v>
      </c>
      <c r="J8" s="156">
        <f t="shared" si="7"/>
        <v>0</v>
      </c>
      <c r="K8" s="156">
        <f>I8-D8</f>
        <v>0.96914175506268063</v>
      </c>
      <c r="L8" s="156">
        <f t="shared" si="0"/>
        <v>0.96914175506268063</v>
      </c>
      <c r="M8" s="952">
        <f t="shared" si="8"/>
        <v>0</v>
      </c>
      <c r="N8" s="70">
        <f t="shared" si="1"/>
        <v>6247900079.999999</v>
      </c>
      <c r="O8" s="70">
        <f t="shared" si="2"/>
        <v>6247900079.999999</v>
      </c>
      <c r="P8" s="70">
        <f t="shared" si="3"/>
        <v>6247900079.999999</v>
      </c>
      <c r="Q8" s="70">
        <f t="shared" si="4"/>
        <v>0</v>
      </c>
      <c r="R8" s="70">
        <f t="shared" si="9"/>
        <v>0</v>
      </c>
      <c r="S8" s="70">
        <f t="shared" si="10"/>
        <v>0</v>
      </c>
    </row>
    <row r="9" spans="1:19" s="85" customFormat="1" x14ac:dyDescent="0.6">
      <c r="A9" s="60">
        <f t="shared" si="5"/>
        <v>6</v>
      </c>
      <c r="B9" s="85" t="s">
        <v>175</v>
      </c>
      <c r="C9" s="174"/>
      <c r="D9" s="89"/>
      <c r="E9" s="959"/>
      <c r="F9" s="897">
        <v>78178000000</v>
      </c>
      <c r="G9" s="897">
        <f>F9*Assumptions!$C$56/Assumptions!$C$8</f>
        <v>648564688</v>
      </c>
      <c r="H9" s="1442">
        <v>7.47</v>
      </c>
      <c r="I9" s="156">
        <f t="shared" si="6"/>
        <v>0.900433944069431</v>
      </c>
      <c r="J9" s="156">
        <f t="shared" si="7"/>
        <v>0</v>
      </c>
      <c r="K9" s="156">
        <f>I9/(1+C9)</f>
        <v>0.900433944069431</v>
      </c>
      <c r="L9" s="156">
        <f t="shared" si="0"/>
        <v>0.900433944069431</v>
      </c>
      <c r="M9" s="952">
        <f t="shared" si="8"/>
        <v>0</v>
      </c>
      <c r="N9" s="70">
        <f t="shared" si="1"/>
        <v>583989660</v>
      </c>
      <c r="O9" s="70">
        <f t="shared" si="2"/>
        <v>583989660</v>
      </c>
      <c r="P9" s="70">
        <f t="shared" si="3"/>
        <v>583989660</v>
      </c>
      <c r="Q9" s="70">
        <f t="shared" si="4"/>
        <v>0</v>
      </c>
      <c r="R9" s="70">
        <f t="shared" si="9"/>
        <v>0</v>
      </c>
      <c r="S9" s="70">
        <f t="shared" si="10"/>
        <v>0</v>
      </c>
    </row>
    <row r="10" spans="1:19" s="85" customFormat="1" x14ac:dyDescent="0.6">
      <c r="A10" s="60">
        <f t="shared" si="5"/>
        <v>7</v>
      </c>
      <c r="B10" s="85" t="s">
        <v>143</v>
      </c>
      <c r="C10" s="174"/>
      <c r="D10" s="89"/>
      <c r="E10" s="959"/>
      <c r="F10" s="897">
        <v>25612000000</v>
      </c>
      <c r="G10" s="897">
        <f>F10*Assumptions!$C$56/Assumptions!$C$8</f>
        <v>212477152</v>
      </c>
      <c r="H10" s="1442">
        <v>8.6</v>
      </c>
      <c r="I10" s="156">
        <f t="shared" si="6"/>
        <v>1.0366441658630665</v>
      </c>
      <c r="J10" s="156">
        <f t="shared" si="7"/>
        <v>0</v>
      </c>
      <c r="K10" s="156">
        <f t="shared" ref="K10:K23" si="11">I10/(1+C10)</f>
        <v>1.0366441658630665</v>
      </c>
      <c r="L10" s="156">
        <f t="shared" si="0"/>
        <v>1.0366441658630665</v>
      </c>
      <c r="M10" s="952">
        <f t="shared" si="8"/>
        <v>0</v>
      </c>
      <c r="N10" s="70">
        <f t="shared" si="1"/>
        <v>220263200</v>
      </c>
      <c r="O10" s="70">
        <f t="shared" si="2"/>
        <v>220263200</v>
      </c>
      <c r="P10" s="70">
        <f t="shared" si="3"/>
        <v>220263200</v>
      </c>
      <c r="Q10" s="70">
        <f t="shared" si="4"/>
        <v>0</v>
      </c>
      <c r="R10" s="70">
        <f t="shared" si="9"/>
        <v>0</v>
      </c>
      <c r="S10" s="70">
        <f t="shared" si="10"/>
        <v>0</v>
      </c>
    </row>
    <row r="11" spans="1:19" s="85" customFormat="1" x14ac:dyDescent="0.6">
      <c r="A11" s="60">
        <f t="shared" si="5"/>
        <v>8</v>
      </c>
      <c r="B11" s="85" t="s">
        <v>172</v>
      </c>
      <c r="C11" s="174"/>
      <c r="D11" s="89"/>
      <c r="E11" s="959"/>
      <c r="F11" s="897">
        <v>33126000000</v>
      </c>
      <c r="G11" s="897">
        <f>F11*Assumptions!$C$56/Assumptions!$C$8</f>
        <v>274813296</v>
      </c>
      <c r="H11" s="1442">
        <v>10.7</v>
      </c>
      <c r="I11" s="156">
        <f t="shared" si="6"/>
        <v>1.2897782063645131</v>
      </c>
      <c r="J11" s="156">
        <f t="shared" si="7"/>
        <v>0</v>
      </c>
      <c r="K11" s="156">
        <f t="shared" si="11"/>
        <v>1.2897782063645131</v>
      </c>
      <c r="L11" s="156">
        <f t="shared" si="0"/>
        <v>1.2897782063645131</v>
      </c>
      <c r="M11" s="952">
        <f t="shared" si="8"/>
        <v>0</v>
      </c>
      <c r="N11" s="70">
        <f t="shared" si="1"/>
        <v>354448200</v>
      </c>
      <c r="O11" s="70">
        <f t="shared" si="2"/>
        <v>354448200</v>
      </c>
      <c r="P11" s="70">
        <f t="shared" si="3"/>
        <v>354448200</v>
      </c>
      <c r="Q11" s="70">
        <f t="shared" si="4"/>
        <v>0</v>
      </c>
      <c r="R11" s="70">
        <f t="shared" si="9"/>
        <v>0</v>
      </c>
      <c r="S11" s="70">
        <f t="shared" si="10"/>
        <v>0</v>
      </c>
    </row>
    <row r="12" spans="1:19" s="85" customFormat="1" x14ac:dyDescent="0.6">
      <c r="A12" s="60">
        <f t="shared" si="5"/>
        <v>9</v>
      </c>
      <c r="B12" s="85" t="s">
        <v>171</v>
      </c>
      <c r="C12" s="174"/>
      <c r="D12" s="89"/>
      <c r="E12" s="959"/>
      <c r="F12" s="897">
        <v>32237000000</v>
      </c>
      <c r="G12" s="897">
        <f>F12*Assumptions!$C$56/Assumptions!$C$8</f>
        <v>267438152</v>
      </c>
      <c r="H12" s="1442">
        <v>11.07</v>
      </c>
      <c r="I12" s="156">
        <f t="shared" si="6"/>
        <v>1.3343780135004821</v>
      </c>
      <c r="J12" s="156">
        <f t="shared" si="7"/>
        <v>0</v>
      </c>
      <c r="K12" s="156">
        <f t="shared" si="11"/>
        <v>1.3343780135004821</v>
      </c>
      <c r="L12" s="156">
        <f t="shared" si="0"/>
        <v>1.3343780135004821</v>
      </c>
      <c r="M12" s="952">
        <f t="shared" si="8"/>
        <v>0</v>
      </c>
      <c r="N12" s="70">
        <f t="shared" si="1"/>
        <v>356863590</v>
      </c>
      <c r="O12" s="70">
        <f t="shared" si="2"/>
        <v>356863590</v>
      </c>
      <c r="P12" s="70">
        <f t="shared" si="3"/>
        <v>356863590</v>
      </c>
      <c r="Q12" s="70">
        <f t="shared" si="4"/>
        <v>0</v>
      </c>
      <c r="R12" s="70">
        <f t="shared" si="9"/>
        <v>0</v>
      </c>
      <c r="S12" s="70">
        <f t="shared" si="10"/>
        <v>0</v>
      </c>
    </row>
    <row r="13" spans="1:19" s="85" customFormat="1" x14ac:dyDescent="0.6">
      <c r="A13" s="60">
        <f t="shared" si="5"/>
        <v>10</v>
      </c>
      <c r="B13" s="85" t="s">
        <v>144</v>
      </c>
      <c r="C13" s="174"/>
      <c r="D13" s="89"/>
      <c r="E13" s="959"/>
      <c r="F13" s="897">
        <v>96124000000</v>
      </c>
      <c r="G13" s="897">
        <f>F13*Assumptions!$C$56/Assumptions!$C$8</f>
        <v>797444704</v>
      </c>
      <c r="H13" s="1442">
        <v>10.88</v>
      </c>
      <c r="I13" s="156">
        <f t="shared" si="6"/>
        <v>1.3114754098360657</v>
      </c>
      <c r="J13" s="156">
        <f t="shared" si="7"/>
        <v>0</v>
      </c>
      <c r="K13" s="156">
        <f t="shared" si="11"/>
        <v>1.3114754098360657</v>
      </c>
      <c r="L13" s="156">
        <f t="shared" si="0"/>
        <v>1.3114754098360657</v>
      </c>
      <c r="M13" s="952">
        <f t="shared" si="8"/>
        <v>0</v>
      </c>
      <c r="N13" s="70">
        <f t="shared" si="1"/>
        <v>1045829120.0000001</v>
      </c>
      <c r="O13" s="70">
        <f t="shared" si="2"/>
        <v>1045829120.0000001</v>
      </c>
      <c r="P13" s="70">
        <f t="shared" si="3"/>
        <v>1045829120.0000001</v>
      </c>
      <c r="Q13" s="70">
        <f t="shared" si="4"/>
        <v>0</v>
      </c>
      <c r="R13" s="70">
        <f t="shared" si="9"/>
        <v>0</v>
      </c>
      <c r="S13" s="70">
        <f t="shared" si="10"/>
        <v>0</v>
      </c>
    </row>
    <row r="14" spans="1:19" s="85" customFormat="1" x14ac:dyDescent="0.6">
      <c r="A14" s="60">
        <f t="shared" si="5"/>
        <v>11</v>
      </c>
      <c r="B14" s="85" t="s">
        <v>154</v>
      </c>
      <c r="C14" s="174"/>
      <c r="D14" s="89"/>
      <c r="E14" s="959"/>
      <c r="F14" s="897">
        <v>157937000000</v>
      </c>
      <c r="G14" s="897">
        <f>F14*Assumptions!$C$56/Assumptions!$C$8</f>
        <v>1310245352</v>
      </c>
      <c r="H14" s="1442">
        <v>8.58</v>
      </c>
      <c r="I14" s="156">
        <f t="shared" si="6"/>
        <v>1.0342333654773386</v>
      </c>
      <c r="J14" s="156">
        <f t="shared" si="7"/>
        <v>0</v>
      </c>
      <c r="K14" s="156">
        <f t="shared" si="11"/>
        <v>1.0342333654773386</v>
      </c>
      <c r="L14" s="156">
        <f t="shared" si="0"/>
        <v>1.0342333654773386</v>
      </c>
      <c r="M14" s="952">
        <f t="shared" si="8"/>
        <v>0</v>
      </c>
      <c r="N14" s="70">
        <f t="shared" si="1"/>
        <v>1355099460.0000002</v>
      </c>
      <c r="O14" s="70">
        <f t="shared" si="2"/>
        <v>1355099460.0000002</v>
      </c>
      <c r="P14" s="70">
        <f t="shared" si="3"/>
        <v>1355099460.0000002</v>
      </c>
      <c r="Q14" s="70">
        <f t="shared" si="4"/>
        <v>0</v>
      </c>
      <c r="R14" s="70">
        <f t="shared" si="9"/>
        <v>0</v>
      </c>
      <c r="S14" s="70">
        <f t="shared" si="10"/>
        <v>0</v>
      </c>
    </row>
    <row r="15" spans="1:19" s="85" customFormat="1" x14ac:dyDescent="0.6">
      <c r="A15" s="60">
        <f t="shared" si="5"/>
        <v>12</v>
      </c>
      <c r="B15" s="85" t="s">
        <v>141</v>
      </c>
      <c r="C15" s="1447"/>
      <c r="D15" s="89"/>
      <c r="E15" s="959"/>
      <c r="F15" s="897">
        <v>442000000</v>
      </c>
      <c r="G15" s="897">
        <f>F15*Assumptions!$C$56/Assumptions!$C$8</f>
        <v>3666832</v>
      </c>
      <c r="H15" s="1442">
        <v>31.17</v>
      </c>
      <c r="I15" s="156">
        <f t="shared" si="6"/>
        <v>3.7572324011571845</v>
      </c>
      <c r="J15" s="156">
        <f t="shared" si="7"/>
        <v>0</v>
      </c>
      <c r="K15" s="156">
        <f t="shared" si="11"/>
        <v>3.7572324011571845</v>
      </c>
      <c r="L15" s="156">
        <f t="shared" si="0"/>
        <v>3.7572324011571845</v>
      </c>
      <c r="M15" s="952">
        <f t="shared" si="8"/>
        <v>0</v>
      </c>
      <c r="N15" s="70">
        <f t="shared" si="1"/>
        <v>13777140.000000002</v>
      </c>
      <c r="O15" s="70">
        <f t="shared" si="2"/>
        <v>13777140.000000002</v>
      </c>
      <c r="P15" s="70">
        <f t="shared" si="3"/>
        <v>13777140.000000002</v>
      </c>
      <c r="Q15" s="70">
        <f t="shared" si="4"/>
        <v>0</v>
      </c>
      <c r="R15" s="70">
        <f t="shared" si="9"/>
        <v>0</v>
      </c>
      <c r="S15" s="70">
        <f t="shared" si="10"/>
        <v>0</v>
      </c>
    </row>
    <row r="16" spans="1:19" s="85" customFormat="1" x14ac:dyDescent="0.6">
      <c r="A16" s="60">
        <f t="shared" si="5"/>
        <v>13</v>
      </c>
      <c r="B16" s="85" t="s">
        <v>152</v>
      </c>
      <c r="C16" s="174"/>
      <c r="D16" s="89"/>
      <c r="E16" s="959"/>
      <c r="F16" s="897">
        <v>31664000000</v>
      </c>
      <c r="G16" s="897">
        <f>F16*Assumptions!$C$56/Assumptions!$C$8</f>
        <v>262684544</v>
      </c>
      <c r="H16" s="1442">
        <v>7.59</v>
      </c>
      <c r="I16" s="156">
        <f t="shared" si="6"/>
        <v>0.91489874638379931</v>
      </c>
      <c r="J16" s="156">
        <f t="shared" si="7"/>
        <v>0</v>
      </c>
      <c r="K16" s="156">
        <f t="shared" si="11"/>
        <v>0.91489874638379931</v>
      </c>
      <c r="L16" s="156">
        <f t="shared" si="0"/>
        <v>0.91489874638379931</v>
      </c>
      <c r="M16" s="952">
        <f t="shared" si="8"/>
        <v>0</v>
      </c>
      <c r="N16" s="70">
        <f t="shared" si="1"/>
        <v>240329759.99999997</v>
      </c>
      <c r="O16" s="70">
        <f t="shared" si="2"/>
        <v>240329759.99999997</v>
      </c>
      <c r="P16" s="70">
        <f t="shared" si="3"/>
        <v>240329759.99999997</v>
      </c>
      <c r="Q16" s="70">
        <f t="shared" si="4"/>
        <v>0</v>
      </c>
      <c r="R16" s="70">
        <f t="shared" si="9"/>
        <v>0</v>
      </c>
      <c r="S16" s="70">
        <f t="shared" si="10"/>
        <v>0</v>
      </c>
    </row>
    <row r="17" spans="1:19" s="85" customFormat="1" x14ac:dyDescent="0.6">
      <c r="A17" s="60">
        <f t="shared" si="5"/>
        <v>14</v>
      </c>
      <c r="B17" s="85" t="s">
        <v>157</v>
      </c>
      <c r="C17" s="174"/>
      <c r="D17" s="506"/>
      <c r="E17" s="959"/>
      <c r="F17" s="897">
        <v>265900000000</v>
      </c>
      <c r="G17" s="897">
        <f>F17*Assumptions!$C$56/Assumptions!$C$8</f>
        <v>2205906400</v>
      </c>
      <c r="H17" s="1442">
        <v>7.29</v>
      </c>
      <c r="I17" s="156">
        <f t="shared" si="6"/>
        <v>0.87873674059787854</v>
      </c>
      <c r="J17" s="156">
        <f t="shared" si="7"/>
        <v>0</v>
      </c>
      <c r="K17" s="156">
        <f t="shared" si="11"/>
        <v>0.87873674059787854</v>
      </c>
      <c r="L17" s="156">
        <f t="shared" si="0"/>
        <v>0.87873674059787854</v>
      </c>
      <c r="M17" s="952">
        <f t="shared" si="8"/>
        <v>0</v>
      </c>
      <c r="N17" s="70">
        <f t="shared" si="1"/>
        <v>1938411000</v>
      </c>
      <c r="O17" s="70">
        <f t="shared" si="2"/>
        <v>1938411000</v>
      </c>
      <c r="P17" s="70">
        <f t="shared" si="3"/>
        <v>1938411000</v>
      </c>
      <c r="Q17" s="70">
        <f t="shared" si="4"/>
        <v>0</v>
      </c>
      <c r="R17" s="70">
        <f t="shared" si="9"/>
        <v>0</v>
      </c>
      <c r="S17" s="70">
        <f t="shared" si="10"/>
        <v>0</v>
      </c>
    </row>
    <row r="18" spans="1:19" s="85" customFormat="1" x14ac:dyDescent="0.6">
      <c r="A18" s="60">
        <f t="shared" si="5"/>
        <v>15</v>
      </c>
      <c r="B18" s="85" t="s">
        <v>160</v>
      </c>
      <c r="C18" s="174"/>
      <c r="D18" s="89"/>
      <c r="E18" s="959"/>
      <c r="F18" s="897">
        <v>372537000000</v>
      </c>
      <c r="G18" s="897">
        <f>F18*Assumptions!$C$56/Assumptions!$C$8</f>
        <v>3090566952</v>
      </c>
      <c r="H18" s="1442">
        <v>7.61</v>
      </c>
      <c r="I18" s="156">
        <f t="shared" si="6"/>
        <v>0.91730954676952747</v>
      </c>
      <c r="J18" s="156">
        <f t="shared" si="7"/>
        <v>0</v>
      </c>
      <c r="K18" s="156">
        <f t="shared" si="11"/>
        <v>0.91730954676952747</v>
      </c>
      <c r="L18" s="156">
        <f t="shared" si="0"/>
        <v>0.91730954676952747</v>
      </c>
      <c r="M18" s="952">
        <f t="shared" si="8"/>
        <v>0</v>
      </c>
      <c r="N18" s="70">
        <f t="shared" si="1"/>
        <v>2835006570</v>
      </c>
      <c r="O18" s="70">
        <f t="shared" si="2"/>
        <v>2835006570</v>
      </c>
      <c r="P18" s="70">
        <f t="shared" si="3"/>
        <v>2835006570</v>
      </c>
      <c r="Q18" s="70">
        <f t="shared" si="4"/>
        <v>0</v>
      </c>
      <c r="R18" s="70">
        <f t="shared" si="9"/>
        <v>0</v>
      </c>
      <c r="S18" s="70">
        <f t="shared" si="10"/>
        <v>0</v>
      </c>
    </row>
    <row r="19" spans="1:19" s="85" customFormat="1" x14ac:dyDescent="0.6">
      <c r="A19" s="60">
        <f t="shared" si="5"/>
        <v>16</v>
      </c>
      <c r="B19" s="85" t="s">
        <v>151</v>
      </c>
      <c r="C19" s="174"/>
      <c r="D19" s="89"/>
      <c r="E19" s="959"/>
      <c r="F19" s="897">
        <v>178772000000</v>
      </c>
      <c r="G19" s="897">
        <f>F19*Assumptions!$C$56/Assumptions!$C$8</f>
        <v>1483092512</v>
      </c>
      <c r="H19" s="1442">
        <v>6.51</v>
      </c>
      <c r="I19" s="156">
        <f t="shared" si="6"/>
        <v>0.78471552555448409</v>
      </c>
      <c r="J19" s="156">
        <f t="shared" si="7"/>
        <v>0</v>
      </c>
      <c r="K19" s="156">
        <f t="shared" si="11"/>
        <v>0.78471552555448409</v>
      </c>
      <c r="L19" s="156">
        <f t="shared" si="0"/>
        <v>0.78471552555448409</v>
      </c>
      <c r="M19" s="952">
        <f t="shared" si="8"/>
        <v>0</v>
      </c>
      <c r="N19" s="70">
        <f t="shared" si="1"/>
        <v>1163805720</v>
      </c>
      <c r="O19" s="70">
        <f t="shared" si="2"/>
        <v>1163805720</v>
      </c>
      <c r="P19" s="70">
        <f t="shared" si="3"/>
        <v>1163805720</v>
      </c>
      <c r="Q19" s="70">
        <f t="shared" si="4"/>
        <v>0</v>
      </c>
      <c r="R19" s="70">
        <f t="shared" si="9"/>
        <v>0</v>
      </c>
      <c r="S19" s="70">
        <f t="shared" si="10"/>
        <v>0</v>
      </c>
    </row>
    <row r="20" spans="1:19" s="85" customFormat="1" x14ac:dyDescent="0.6">
      <c r="A20" s="60">
        <f t="shared" si="5"/>
        <v>17</v>
      </c>
      <c r="B20" s="85" t="s">
        <v>168</v>
      </c>
      <c r="C20" s="174"/>
      <c r="D20" s="89"/>
      <c r="E20" s="959"/>
      <c r="F20" s="897">
        <v>121064000000</v>
      </c>
      <c r="G20" s="897">
        <f>F20*Assumptions!$C$56/Assumptions!$C$8</f>
        <v>1004346944</v>
      </c>
      <c r="H20" s="1442">
        <v>8.8699999999999992</v>
      </c>
      <c r="I20" s="156">
        <f t="shared" si="6"/>
        <v>1.0691899710703954</v>
      </c>
      <c r="J20" s="156">
        <f t="shared" si="7"/>
        <v>0</v>
      </c>
      <c r="K20" s="156">
        <f t="shared" si="11"/>
        <v>1.0691899710703954</v>
      </c>
      <c r="L20" s="156">
        <f t="shared" si="0"/>
        <v>1.0691899710703954</v>
      </c>
      <c r="M20" s="952">
        <f t="shared" si="8"/>
        <v>0</v>
      </c>
      <c r="N20" s="70">
        <f t="shared" si="1"/>
        <v>1073837680</v>
      </c>
      <c r="O20" s="70">
        <f t="shared" si="2"/>
        <v>1073837680</v>
      </c>
      <c r="P20" s="70">
        <f t="shared" si="3"/>
        <v>1073837680</v>
      </c>
      <c r="Q20" s="70">
        <f t="shared" si="4"/>
        <v>0</v>
      </c>
      <c r="R20" s="70">
        <f t="shared" si="9"/>
        <v>0</v>
      </c>
      <c r="S20" s="70">
        <f t="shared" si="10"/>
        <v>0</v>
      </c>
    </row>
    <row r="21" spans="1:19" s="85" customFormat="1" x14ac:dyDescent="0.6">
      <c r="A21" s="60">
        <f t="shared" si="5"/>
        <v>18</v>
      </c>
      <c r="B21" s="85" t="s">
        <v>167</v>
      </c>
      <c r="C21" s="174"/>
      <c r="D21" s="89"/>
      <c r="E21" s="959"/>
      <c r="F21" s="897">
        <v>116524000000</v>
      </c>
      <c r="G21" s="897">
        <f>F21*Assumptions!$C$56/Assumptions!$C$8</f>
        <v>966683104</v>
      </c>
      <c r="H21" s="1442">
        <v>8.75</v>
      </c>
      <c r="I21" s="156">
        <f t="shared" si="6"/>
        <v>1.0547251687560271</v>
      </c>
      <c r="J21" s="156">
        <f t="shared" si="7"/>
        <v>0</v>
      </c>
      <c r="K21" s="156">
        <f t="shared" si="11"/>
        <v>1.0547251687560271</v>
      </c>
      <c r="L21" s="156">
        <f t="shared" si="0"/>
        <v>1.0547251687560271</v>
      </c>
      <c r="M21" s="952">
        <f t="shared" si="8"/>
        <v>0</v>
      </c>
      <c r="N21" s="70">
        <f t="shared" si="1"/>
        <v>1019585000.0000001</v>
      </c>
      <c r="O21" s="70">
        <f t="shared" si="2"/>
        <v>1019585000.0000001</v>
      </c>
      <c r="P21" s="70">
        <f t="shared" si="3"/>
        <v>1019585000.0000001</v>
      </c>
      <c r="Q21" s="70">
        <f t="shared" si="4"/>
        <v>0</v>
      </c>
      <c r="R21" s="70">
        <f t="shared" si="9"/>
        <v>0</v>
      </c>
      <c r="S21" s="70">
        <f t="shared" si="10"/>
        <v>0</v>
      </c>
    </row>
    <row r="22" spans="1:19" s="85" customFormat="1" x14ac:dyDescent="0.6">
      <c r="A22" s="60">
        <f t="shared" si="5"/>
        <v>19</v>
      </c>
      <c r="B22" s="85" t="s">
        <v>179</v>
      </c>
      <c r="C22" s="174"/>
      <c r="D22" s="89"/>
      <c r="E22" s="959"/>
      <c r="F22" s="897">
        <v>949421000000</v>
      </c>
      <c r="G22" s="897">
        <f>F22*Assumptions!$C$56/Assumptions!$C$8</f>
        <v>7876396616</v>
      </c>
      <c r="H22" s="1442">
        <v>8.01</v>
      </c>
      <c r="I22" s="156">
        <f t="shared" si="6"/>
        <v>0.96552555448408872</v>
      </c>
      <c r="J22" s="156">
        <f t="shared" si="7"/>
        <v>0</v>
      </c>
      <c r="K22" s="156">
        <f t="shared" si="11"/>
        <v>0.96552555448408872</v>
      </c>
      <c r="L22" s="156">
        <f t="shared" si="0"/>
        <v>0.96552555448408872</v>
      </c>
      <c r="M22" s="952">
        <f t="shared" si="8"/>
        <v>0</v>
      </c>
      <c r="N22" s="70">
        <f t="shared" si="1"/>
        <v>7604862210</v>
      </c>
      <c r="O22" s="70">
        <f t="shared" si="2"/>
        <v>7604862210</v>
      </c>
      <c r="P22" s="70">
        <f t="shared" si="3"/>
        <v>7604862210</v>
      </c>
      <c r="Q22" s="70">
        <f t="shared" si="4"/>
        <v>0</v>
      </c>
      <c r="R22" s="70">
        <f t="shared" si="9"/>
        <v>0</v>
      </c>
      <c r="S22" s="70">
        <f t="shared" si="10"/>
        <v>0</v>
      </c>
    </row>
    <row r="23" spans="1:19" s="85" customFormat="1" x14ac:dyDescent="0.6">
      <c r="A23" s="60">
        <f t="shared" si="5"/>
        <v>20</v>
      </c>
      <c r="B23" s="85" t="s">
        <v>158</v>
      </c>
      <c r="C23" s="174"/>
      <c r="D23" s="89"/>
      <c r="E23" s="959"/>
      <c r="F23" s="897">
        <v>20972000000</v>
      </c>
      <c r="G23" s="897">
        <f>F23*Assumptions!$C$56/Assumptions!$C$8</f>
        <v>173983712</v>
      </c>
      <c r="H23" s="1442">
        <v>14.16</v>
      </c>
      <c r="I23" s="156">
        <f t="shared" si="6"/>
        <v>1.7068466730954677</v>
      </c>
      <c r="J23" s="156">
        <f t="shared" si="7"/>
        <v>0</v>
      </c>
      <c r="K23" s="156">
        <f t="shared" si="11"/>
        <v>1.7068466730954677</v>
      </c>
      <c r="L23" s="156">
        <f t="shared" si="0"/>
        <v>1.7068466730954677</v>
      </c>
      <c r="M23" s="952">
        <f t="shared" si="8"/>
        <v>0</v>
      </c>
      <c r="N23" s="70">
        <f t="shared" si="1"/>
        <v>296963520</v>
      </c>
      <c r="O23" s="70">
        <f t="shared" si="2"/>
        <v>296963520</v>
      </c>
      <c r="P23" s="70">
        <f t="shared" si="3"/>
        <v>296963520</v>
      </c>
      <c r="Q23" s="70">
        <f t="shared" si="4"/>
        <v>0</v>
      </c>
      <c r="R23" s="70">
        <f t="shared" si="9"/>
        <v>0</v>
      </c>
      <c r="S23" s="70">
        <f t="shared" si="10"/>
        <v>0</v>
      </c>
    </row>
    <row r="24" spans="1:19" s="85" customFormat="1" x14ac:dyDescent="0.6">
      <c r="A24" s="60">
        <f t="shared" si="5"/>
        <v>21</v>
      </c>
      <c r="B24" s="85" t="s">
        <v>150</v>
      </c>
      <c r="C24" s="174"/>
      <c r="D24" s="89"/>
      <c r="E24" s="959"/>
      <c r="F24" s="897">
        <v>14765000000</v>
      </c>
      <c r="G24" s="897">
        <f>F24*Assumptions!$C$56/Assumptions!$C$8</f>
        <v>122490440</v>
      </c>
      <c r="H24" s="1442">
        <v>9.8000000000000007</v>
      </c>
      <c r="I24" s="156">
        <f t="shared" si="6"/>
        <v>1.1812921890067505</v>
      </c>
      <c r="J24" s="156">
        <f t="shared" si="7"/>
        <v>0</v>
      </c>
      <c r="K24" s="156">
        <f t="shared" ref="K24:K54" si="12">(I24-D24)/(1+C24)</f>
        <v>1.1812921890067505</v>
      </c>
      <c r="L24" s="156">
        <f t="shared" si="0"/>
        <v>1.1812921890067505</v>
      </c>
      <c r="M24" s="952">
        <f t="shared" si="8"/>
        <v>0</v>
      </c>
      <c r="N24" s="70">
        <f t="shared" si="1"/>
        <v>144697000.00000003</v>
      </c>
      <c r="O24" s="70">
        <f t="shared" si="2"/>
        <v>144697000.00000003</v>
      </c>
      <c r="P24" s="70">
        <f t="shared" si="3"/>
        <v>144697000.00000003</v>
      </c>
      <c r="Q24" s="70">
        <f t="shared" si="4"/>
        <v>0</v>
      </c>
      <c r="R24" s="70">
        <f t="shared" si="9"/>
        <v>0</v>
      </c>
      <c r="S24" s="70">
        <f t="shared" si="10"/>
        <v>0</v>
      </c>
    </row>
    <row r="25" spans="1:19" s="85" customFormat="1" x14ac:dyDescent="0.6">
      <c r="A25" s="60">
        <f t="shared" si="5"/>
        <v>22</v>
      </c>
      <c r="B25" s="85" t="s">
        <v>166</v>
      </c>
      <c r="C25" s="174"/>
      <c r="D25" s="89"/>
      <c r="E25" s="959"/>
      <c r="F25" s="897">
        <v>44554000000</v>
      </c>
      <c r="G25" s="897">
        <f>F25*Assumptions!$C$56/Assumptions!$C$8</f>
        <v>369619984</v>
      </c>
      <c r="H25" s="1442">
        <v>10.81</v>
      </c>
      <c r="I25" s="156">
        <f t="shared" si="6"/>
        <v>1.3030376084860174</v>
      </c>
      <c r="J25" s="156">
        <f t="shared" si="7"/>
        <v>0</v>
      </c>
      <c r="K25" s="156">
        <f t="shared" si="12"/>
        <v>1.3030376084860174</v>
      </c>
      <c r="L25" s="156">
        <f t="shared" si="0"/>
        <v>1.3030376084860174</v>
      </c>
      <c r="M25" s="952">
        <f t="shared" si="8"/>
        <v>0</v>
      </c>
      <c r="N25" s="70">
        <f t="shared" si="1"/>
        <v>481628740</v>
      </c>
      <c r="O25" s="70">
        <f t="shared" si="2"/>
        <v>481628740</v>
      </c>
      <c r="P25" s="70">
        <f t="shared" si="3"/>
        <v>481628740</v>
      </c>
      <c r="Q25" s="70">
        <f t="shared" si="4"/>
        <v>0</v>
      </c>
      <c r="R25" s="70">
        <f t="shared" si="9"/>
        <v>0</v>
      </c>
      <c r="S25" s="70">
        <f t="shared" si="10"/>
        <v>0</v>
      </c>
    </row>
    <row r="26" spans="1:19" s="85" customFormat="1" x14ac:dyDescent="0.6">
      <c r="A26" s="60">
        <f t="shared" si="5"/>
        <v>23</v>
      </c>
      <c r="B26" s="85" t="s">
        <v>155</v>
      </c>
      <c r="C26" s="174"/>
      <c r="D26" s="89"/>
      <c r="E26" s="959"/>
      <c r="F26" s="897">
        <v>171196000000</v>
      </c>
      <c r="G26" s="897">
        <f>F26*Assumptions!$C$56/Assumptions!$C$8</f>
        <v>1420242016</v>
      </c>
      <c r="H26" s="1442">
        <v>7.51</v>
      </c>
      <c r="I26" s="156">
        <f t="shared" si="6"/>
        <v>0.90525554484088722</v>
      </c>
      <c r="J26" s="156">
        <f t="shared" si="7"/>
        <v>0</v>
      </c>
      <c r="K26" s="156">
        <f t="shared" si="12"/>
        <v>0.90525554484088722</v>
      </c>
      <c r="L26" s="156">
        <f t="shared" si="0"/>
        <v>0.90525554484088722</v>
      </c>
      <c r="M26" s="952">
        <f t="shared" si="8"/>
        <v>0</v>
      </c>
      <c r="N26" s="70">
        <f t="shared" si="1"/>
        <v>1285681960</v>
      </c>
      <c r="O26" s="70">
        <f t="shared" si="2"/>
        <v>1285681960</v>
      </c>
      <c r="P26" s="70">
        <f t="shared" si="3"/>
        <v>1285681960</v>
      </c>
      <c r="Q26" s="70">
        <f t="shared" si="4"/>
        <v>0</v>
      </c>
      <c r="R26" s="70">
        <f t="shared" si="9"/>
        <v>0</v>
      </c>
      <c r="S26" s="70">
        <f t="shared" si="10"/>
        <v>0</v>
      </c>
    </row>
    <row r="27" spans="1:19" s="85" customFormat="1" x14ac:dyDescent="0.6">
      <c r="A27" s="60">
        <f t="shared" si="5"/>
        <v>24</v>
      </c>
      <c r="B27" s="85" t="s">
        <v>162</v>
      </c>
      <c r="C27" s="174"/>
      <c r="D27" s="89"/>
      <c r="E27" s="959"/>
      <c r="F27" s="897">
        <v>157401000000</v>
      </c>
      <c r="G27" s="897">
        <f>F27*Assumptions!$C$56/Assumptions!$C$8</f>
        <v>1305798696</v>
      </c>
      <c r="H27" s="1442">
        <v>7.31</v>
      </c>
      <c r="I27" s="156">
        <f t="shared" si="6"/>
        <v>0.88114754098360659</v>
      </c>
      <c r="J27" s="156">
        <f t="shared" si="7"/>
        <v>0</v>
      </c>
      <c r="K27" s="156">
        <f t="shared" si="12"/>
        <v>0.88114754098360659</v>
      </c>
      <c r="L27" s="156">
        <f t="shared" si="0"/>
        <v>0.88114754098360659</v>
      </c>
      <c r="M27" s="952">
        <f t="shared" si="8"/>
        <v>0</v>
      </c>
      <c r="N27" s="70">
        <f t="shared" si="1"/>
        <v>1150601310</v>
      </c>
      <c r="O27" s="70">
        <f t="shared" si="2"/>
        <v>1150601310</v>
      </c>
      <c r="P27" s="70">
        <f t="shared" si="3"/>
        <v>1150601310</v>
      </c>
      <c r="Q27" s="70">
        <f t="shared" si="4"/>
        <v>0</v>
      </c>
      <c r="R27" s="70">
        <f t="shared" si="9"/>
        <v>0</v>
      </c>
      <c r="S27" s="70">
        <f t="shared" si="10"/>
        <v>0</v>
      </c>
    </row>
    <row r="28" spans="1:19" s="85" customFormat="1" x14ac:dyDescent="0.6">
      <c r="A28" s="60">
        <f t="shared" si="5"/>
        <v>25</v>
      </c>
      <c r="B28" s="85" t="s">
        <v>183</v>
      </c>
      <c r="C28" s="174"/>
      <c r="D28" s="89"/>
      <c r="E28" s="959"/>
      <c r="F28" s="897">
        <v>121835000000</v>
      </c>
      <c r="G28" s="897">
        <f>F28*Assumptions!$C$56/Assumptions!$C$8</f>
        <v>1010743160</v>
      </c>
      <c r="H28" s="1442">
        <v>7.87</v>
      </c>
      <c r="I28" s="156">
        <f t="shared" si="6"/>
        <v>0.94864995178399225</v>
      </c>
      <c r="J28" s="156">
        <f t="shared" si="7"/>
        <v>0</v>
      </c>
      <c r="K28" s="156">
        <f t="shared" si="12"/>
        <v>0.94864995178399225</v>
      </c>
      <c r="L28" s="156">
        <f t="shared" si="0"/>
        <v>0.94864995178399225</v>
      </c>
      <c r="M28" s="952">
        <f t="shared" si="8"/>
        <v>0</v>
      </c>
      <c r="N28" s="70">
        <f t="shared" si="1"/>
        <v>958841450</v>
      </c>
      <c r="O28" s="70">
        <f t="shared" si="2"/>
        <v>958841450</v>
      </c>
      <c r="P28" s="70">
        <f t="shared" si="3"/>
        <v>958841450</v>
      </c>
      <c r="Q28" s="70">
        <f t="shared" si="4"/>
        <v>0</v>
      </c>
      <c r="R28" s="70">
        <f t="shared" si="9"/>
        <v>0</v>
      </c>
      <c r="S28" s="70">
        <f t="shared" si="10"/>
        <v>0</v>
      </c>
    </row>
    <row r="29" spans="1:19" s="85" customFormat="1" x14ac:dyDescent="0.6">
      <c r="A29" s="60">
        <f t="shared" si="5"/>
        <v>26</v>
      </c>
      <c r="B29" s="85" t="s">
        <v>184</v>
      </c>
      <c r="C29" s="174"/>
      <c r="D29" s="89"/>
      <c r="E29" s="959"/>
      <c r="F29" s="897">
        <v>65691000000</v>
      </c>
      <c r="G29" s="897">
        <f>F29*Assumptions!$C$56/Assumptions!$C$8</f>
        <v>544972536</v>
      </c>
      <c r="H29" s="1442">
        <v>9.14</v>
      </c>
      <c r="I29" s="156">
        <f t="shared" si="6"/>
        <v>1.1017357762777242</v>
      </c>
      <c r="J29" s="156">
        <f t="shared" si="7"/>
        <v>0</v>
      </c>
      <c r="K29" s="156">
        <f t="shared" si="12"/>
        <v>1.1017357762777242</v>
      </c>
      <c r="L29" s="156">
        <f t="shared" si="0"/>
        <v>1.1017357762777242</v>
      </c>
      <c r="M29" s="952">
        <f t="shared" si="8"/>
        <v>0</v>
      </c>
      <c r="N29" s="70">
        <f t="shared" si="1"/>
        <v>600415740</v>
      </c>
      <c r="O29" s="70">
        <f t="shared" si="2"/>
        <v>600415740</v>
      </c>
      <c r="P29" s="70">
        <f t="shared" si="3"/>
        <v>600415740</v>
      </c>
      <c r="Q29" s="70">
        <f t="shared" si="4"/>
        <v>0</v>
      </c>
      <c r="R29" s="70">
        <f t="shared" si="9"/>
        <v>0</v>
      </c>
      <c r="S29" s="70">
        <f t="shared" si="10"/>
        <v>0</v>
      </c>
    </row>
    <row r="30" spans="1:19" s="85" customFormat="1" x14ac:dyDescent="0.6">
      <c r="A30" s="60">
        <f t="shared" si="5"/>
        <v>27</v>
      </c>
      <c r="B30" s="85" t="s">
        <v>164</v>
      </c>
      <c r="C30" s="174"/>
      <c r="D30" s="89"/>
      <c r="E30" s="959"/>
      <c r="F30" s="897">
        <v>21920000000</v>
      </c>
      <c r="G30" s="897">
        <f>F30*Assumptions!$C$56/Assumptions!$C$8</f>
        <v>181848320</v>
      </c>
      <c r="H30" s="1442">
        <v>8.08</v>
      </c>
      <c r="I30" s="156">
        <f t="shared" si="6"/>
        <v>0.97396335583413696</v>
      </c>
      <c r="J30" s="156">
        <f t="shared" si="7"/>
        <v>0</v>
      </c>
      <c r="K30" s="156">
        <f t="shared" si="12"/>
        <v>0.97396335583413696</v>
      </c>
      <c r="L30" s="156">
        <f t="shared" si="0"/>
        <v>0.97396335583413696</v>
      </c>
      <c r="M30" s="952">
        <f t="shared" si="8"/>
        <v>0</v>
      </c>
      <c r="N30" s="70">
        <f t="shared" si="1"/>
        <v>177113600</v>
      </c>
      <c r="O30" s="70">
        <f t="shared" si="2"/>
        <v>177113600</v>
      </c>
      <c r="P30" s="70">
        <f t="shared" si="3"/>
        <v>177113600</v>
      </c>
      <c r="Q30" s="70">
        <f t="shared" si="4"/>
        <v>0</v>
      </c>
      <c r="R30" s="70">
        <f t="shared" si="9"/>
        <v>0</v>
      </c>
      <c r="S30" s="70">
        <f t="shared" si="10"/>
        <v>0</v>
      </c>
    </row>
    <row r="31" spans="1:19" s="85" customFormat="1" x14ac:dyDescent="0.6">
      <c r="A31" s="60">
        <f t="shared" si="5"/>
        <v>28</v>
      </c>
      <c r="B31" s="85" t="s">
        <v>165</v>
      </c>
      <c r="C31" s="174"/>
      <c r="D31" s="89"/>
      <c r="E31" s="959"/>
      <c r="F31" s="897">
        <v>85604000000</v>
      </c>
      <c r="G31" s="897">
        <f>F31*Assumptions!$C$56/Assumptions!$C$8</f>
        <v>710170784</v>
      </c>
      <c r="H31" s="1442">
        <v>6.4</v>
      </c>
      <c r="I31" s="156">
        <f t="shared" si="6"/>
        <v>0.77145612343297976</v>
      </c>
      <c r="J31" s="156">
        <f t="shared" si="7"/>
        <v>0</v>
      </c>
      <c r="K31" s="156">
        <f t="shared" si="12"/>
        <v>0.77145612343297976</v>
      </c>
      <c r="L31" s="156">
        <f t="shared" si="0"/>
        <v>0.77145612343297976</v>
      </c>
      <c r="M31" s="952">
        <f t="shared" si="8"/>
        <v>0</v>
      </c>
      <c r="N31" s="70">
        <f t="shared" si="1"/>
        <v>547865600</v>
      </c>
      <c r="O31" s="70">
        <f t="shared" si="2"/>
        <v>547865600</v>
      </c>
      <c r="P31" s="70">
        <f t="shared" si="3"/>
        <v>547865600</v>
      </c>
      <c r="Q31" s="70">
        <f t="shared" si="4"/>
        <v>0</v>
      </c>
      <c r="R31" s="70">
        <f t="shared" si="9"/>
        <v>0</v>
      </c>
      <c r="S31" s="70">
        <f t="shared" si="10"/>
        <v>0</v>
      </c>
    </row>
    <row r="32" spans="1:19" s="85" customFormat="1" x14ac:dyDescent="0.6">
      <c r="A32" s="60">
        <f t="shared" si="5"/>
        <v>29</v>
      </c>
      <c r="B32" s="85" t="s">
        <v>147</v>
      </c>
      <c r="C32" s="1447"/>
      <c r="D32" s="89"/>
      <c r="E32" s="959"/>
      <c r="F32" s="897">
        <v>17724000000</v>
      </c>
      <c r="G32" s="897">
        <f>F32*Assumptions!$C$56/Assumptions!$C$8</f>
        <v>147038304</v>
      </c>
      <c r="H32" s="1442">
        <v>8.66</v>
      </c>
      <c r="I32" s="156">
        <f t="shared" si="6"/>
        <v>1.0438765670202508</v>
      </c>
      <c r="J32" s="156">
        <f t="shared" si="7"/>
        <v>0</v>
      </c>
      <c r="K32" s="156">
        <f t="shared" si="12"/>
        <v>1.0438765670202508</v>
      </c>
      <c r="L32" s="156">
        <f t="shared" si="0"/>
        <v>1.0438765670202508</v>
      </c>
      <c r="M32" s="952">
        <f t="shared" si="8"/>
        <v>0</v>
      </c>
      <c r="N32" s="70">
        <f t="shared" si="1"/>
        <v>153489840</v>
      </c>
      <c r="O32" s="70">
        <f t="shared" si="2"/>
        <v>153489840</v>
      </c>
      <c r="P32" s="70">
        <f t="shared" si="3"/>
        <v>153489840</v>
      </c>
      <c r="Q32" s="70">
        <f t="shared" si="4"/>
        <v>0</v>
      </c>
      <c r="R32" s="70">
        <f t="shared" si="9"/>
        <v>0</v>
      </c>
      <c r="S32" s="70">
        <f t="shared" si="10"/>
        <v>0</v>
      </c>
    </row>
    <row r="33" spans="1:19" s="85" customFormat="1" x14ac:dyDescent="0.6">
      <c r="A33" s="60">
        <f t="shared" si="5"/>
        <v>30</v>
      </c>
      <c r="B33" s="85" t="s">
        <v>170</v>
      </c>
      <c r="C33" s="174"/>
      <c r="D33" s="89"/>
      <c r="E33" s="959"/>
      <c r="F33" s="897">
        <v>8386000000</v>
      </c>
      <c r="G33" s="897">
        <f>F33*Assumptions!$C$56/Assumptions!$C$8</f>
        <v>69570256</v>
      </c>
      <c r="H33" s="1442">
        <v>13.63</v>
      </c>
      <c r="I33" s="156">
        <f t="shared" si="6"/>
        <v>1.6429604628736743</v>
      </c>
      <c r="J33" s="156">
        <f t="shared" si="7"/>
        <v>0</v>
      </c>
      <c r="K33" s="156">
        <f t="shared" si="12"/>
        <v>1.6429604628736743</v>
      </c>
      <c r="L33" s="156">
        <f t="shared" si="0"/>
        <v>1.6429604628736743</v>
      </c>
      <c r="M33" s="952">
        <f t="shared" si="8"/>
        <v>0</v>
      </c>
      <c r="N33" s="70">
        <f t="shared" si="1"/>
        <v>114301180.00000001</v>
      </c>
      <c r="O33" s="70">
        <f t="shared" si="2"/>
        <v>114301180.00000001</v>
      </c>
      <c r="P33" s="70">
        <f t="shared" si="3"/>
        <v>114301180.00000001</v>
      </c>
      <c r="Q33" s="70">
        <f t="shared" si="4"/>
        <v>0</v>
      </c>
      <c r="R33" s="70">
        <f t="shared" si="9"/>
        <v>0</v>
      </c>
      <c r="S33" s="70">
        <f t="shared" si="10"/>
        <v>0</v>
      </c>
    </row>
    <row r="34" spans="1:19" s="85" customFormat="1" x14ac:dyDescent="0.6">
      <c r="A34" s="60">
        <f t="shared" si="5"/>
        <v>31</v>
      </c>
      <c r="B34" s="85" t="s">
        <v>187</v>
      </c>
      <c r="C34" s="174"/>
      <c r="D34" s="89"/>
      <c r="E34" s="959"/>
      <c r="F34" s="897">
        <v>55368000000</v>
      </c>
      <c r="G34" s="897">
        <f>F34*Assumptions!$C$56/Assumptions!$C$8</f>
        <v>459332928</v>
      </c>
      <c r="H34" s="1442">
        <v>8.5</v>
      </c>
      <c r="I34" s="156">
        <f t="shared" si="6"/>
        <v>1.0245901639344264</v>
      </c>
      <c r="J34" s="156">
        <f t="shared" si="7"/>
        <v>0</v>
      </c>
      <c r="K34" s="156">
        <f t="shared" si="12"/>
        <v>1.0245901639344264</v>
      </c>
      <c r="L34" s="156">
        <f t="shared" si="0"/>
        <v>1.0245901639344264</v>
      </c>
      <c r="M34" s="952">
        <f t="shared" si="8"/>
        <v>0</v>
      </c>
      <c r="N34" s="70">
        <f t="shared" si="1"/>
        <v>470628000.00000006</v>
      </c>
      <c r="O34" s="70">
        <f t="shared" si="2"/>
        <v>470628000.00000006</v>
      </c>
      <c r="P34" s="70">
        <f t="shared" si="3"/>
        <v>470628000.00000006</v>
      </c>
      <c r="Q34" s="70">
        <f t="shared" si="4"/>
        <v>0</v>
      </c>
      <c r="R34" s="70">
        <f t="shared" si="9"/>
        <v>0</v>
      </c>
      <c r="S34" s="70">
        <f t="shared" si="10"/>
        <v>0</v>
      </c>
    </row>
    <row r="35" spans="1:19" s="85" customFormat="1" x14ac:dyDescent="0.6">
      <c r="A35" s="60">
        <f t="shared" si="5"/>
        <v>32</v>
      </c>
      <c r="B35" s="85" t="s">
        <v>182</v>
      </c>
      <c r="C35" s="174"/>
      <c r="D35" s="89"/>
      <c r="E35" s="959"/>
      <c r="F35" s="897">
        <v>17937000000</v>
      </c>
      <c r="G35" s="897">
        <f>F35*Assumptions!$C$56/Assumptions!$C$8</f>
        <v>148805352</v>
      </c>
      <c r="H35" s="1442">
        <v>6.32</v>
      </c>
      <c r="I35" s="156">
        <f t="shared" si="6"/>
        <v>0.76181292189006755</v>
      </c>
      <c r="J35" s="156">
        <f t="shared" si="7"/>
        <v>0</v>
      </c>
      <c r="K35" s="156">
        <f t="shared" si="12"/>
        <v>0.76181292189006755</v>
      </c>
      <c r="L35" s="156">
        <f t="shared" si="0"/>
        <v>0.76181292189006755</v>
      </c>
      <c r="M35" s="952">
        <f t="shared" si="8"/>
        <v>0</v>
      </c>
      <c r="N35" s="70">
        <f t="shared" si="1"/>
        <v>113361840</v>
      </c>
      <c r="O35" s="70">
        <f t="shared" si="2"/>
        <v>113361840</v>
      </c>
      <c r="P35" s="70">
        <f t="shared" si="3"/>
        <v>113361840</v>
      </c>
      <c r="Q35" s="70">
        <f t="shared" si="4"/>
        <v>0</v>
      </c>
      <c r="R35" s="70">
        <f t="shared" si="9"/>
        <v>0</v>
      </c>
      <c r="S35" s="70">
        <f t="shared" si="10"/>
        <v>0</v>
      </c>
    </row>
    <row r="36" spans="1:19" s="85" customFormat="1" x14ac:dyDescent="0.6">
      <c r="A36" s="60">
        <f t="shared" si="5"/>
        <v>33</v>
      </c>
      <c r="B36" s="85" t="s">
        <v>140</v>
      </c>
      <c r="C36" s="174"/>
      <c r="D36" s="89"/>
      <c r="E36" s="959"/>
      <c r="F36" s="897">
        <v>83058000000</v>
      </c>
      <c r="G36" s="897">
        <f>F36*Assumptions!$C$56/Assumptions!$C$8</f>
        <v>689049168</v>
      </c>
      <c r="H36" s="1442">
        <v>6.86</v>
      </c>
      <c r="I36" s="156">
        <f t="shared" si="6"/>
        <v>0.82690453230472516</v>
      </c>
      <c r="J36" s="156">
        <f t="shared" si="7"/>
        <v>0</v>
      </c>
      <c r="K36" s="156">
        <f t="shared" si="12"/>
        <v>0.82690453230472516</v>
      </c>
      <c r="L36" s="156">
        <f t="shared" si="0"/>
        <v>0.82690453230472516</v>
      </c>
      <c r="M36" s="952">
        <f t="shared" si="8"/>
        <v>0</v>
      </c>
      <c r="N36" s="70">
        <f t="shared" si="1"/>
        <v>569777880</v>
      </c>
      <c r="O36" s="70">
        <f t="shared" si="2"/>
        <v>569777880</v>
      </c>
      <c r="P36" s="70">
        <f t="shared" si="3"/>
        <v>569777880</v>
      </c>
      <c r="Q36" s="70">
        <f t="shared" si="4"/>
        <v>0</v>
      </c>
      <c r="R36" s="70">
        <f t="shared" si="9"/>
        <v>0</v>
      </c>
      <c r="S36" s="70">
        <f t="shared" si="10"/>
        <v>0</v>
      </c>
    </row>
    <row r="37" spans="1:19" s="85" customFormat="1" x14ac:dyDescent="0.6">
      <c r="A37" s="60">
        <f t="shared" si="5"/>
        <v>34</v>
      </c>
      <c r="B37" s="85" t="s">
        <v>145</v>
      </c>
      <c r="C37" s="174"/>
      <c r="D37" s="89"/>
      <c r="E37" s="959"/>
      <c r="F37" s="897">
        <v>105103000000</v>
      </c>
      <c r="G37" s="897">
        <f>F37*Assumptions!$C$56/Assumptions!$C$8</f>
        <v>871934488</v>
      </c>
      <c r="H37" s="1442">
        <v>8.27</v>
      </c>
      <c r="I37" s="156">
        <f t="shared" si="6"/>
        <v>0.9968659594985535</v>
      </c>
      <c r="J37" s="156">
        <f t="shared" si="7"/>
        <v>0</v>
      </c>
      <c r="K37" s="156">
        <f t="shared" si="12"/>
        <v>0.9968659594985535</v>
      </c>
      <c r="L37" s="156">
        <f t="shared" si="0"/>
        <v>0.9968659594985535</v>
      </c>
      <c r="M37" s="952">
        <f t="shared" si="8"/>
        <v>0</v>
      </c>
      <c r="N37" s="70">
        <f t="shared" si="1"/>
        <v>869201810</v>
      </c>
      <c r="O37" s="70">
        <f t="shared" si="2"/>
        <v>869201810</v>
      </c>
      <c r="P37" s="70">
        <f t="shared" si="3"/>
        <v>869201810</v>
      </c>
      <c r="Q37" s="70">
        <f t="shared" si="4"/>
        <v>0</v>
      </c>
      <c r="R37" s="70">
        <f t="shared" si="9"/>
        <v>0</v>
      </c>
      <c r="S37" s="70">
        <f t="shared" si="10"/>
        <v>0</v>
      </c>
    </row>
    <row r="38" spans="1:19" s="85" customFormat="1" x14ac:dyDescent="0.6">
      <c r="A38" s="60">
        <f t="shared" si="5"/>
        <v>35</v>
      </c>
      <c r="B38" s="85" t="s">
        <v>173</v>
      </c>
      <c r="C38" s="174"/>
      <c r="D38" s="89"/>
      <c r="E38" s="959"/>
      <c r="F38" s="897">
        <v>31660000000</v>
      </c>
      <c r="G38" s="897">
        <f>F38*Assumptions!$C$56/Assumptions!$C$8</f>
        <v>262651360</v>
      </c>
      <c r="H38" s="1442">
        <v>6.62</v>
      </c>
      <c r="I38" s="156">
        <f t="shared" si="6"/>
        <v>0.79797492767598843</v>
      </c>
      <c r="J38" s="156">
        <f t="shared" si="7"/>
        <v>0</v>
      </c>
      <c r="K38" s="156">
        <f t="shared" si="12"/>
        <v>0.79797492767598843</v>
      </c>
      <c r="L38" s="156">
        <f t="shared" si="0"/>
        <v>0.79797492767598843</v>
      </c>
      <c r="M38" s="952">
        <f t="shared" si="8"/>
        <v>0</v>
      </c>
      <c r="N38" s="70">
        <f t="shared" si="1"/>
        <v>209589200</v>
      </c>
      <c r="O38" s="70">
        <f t="shared" si="2"/>
        <v>209589200</v>
      </c>
      <c r="P38" s="70">
        <f t="shared" si="3"/>
        <v>209589200</v>
      </c>
      <c r="Q38" s="70">
        <f t="shared" si="4"/>
        <v>0</v>
      </c>
      <c r="R38" s="70">
        <f t="shared" si="9"/>
        <v>0</v>
      </c>
      <c r="S38" s="70">
        <f t="shared" si="10"/>
        <v>0</v>
      </c>
    </row>
    <row r="39" spans="1:19" s="85" customFormat="1" x14ac:dyDescent="0.6">
      <c r="A39" s="60">
        <f t="shared" si="5"/>
        <v>36</v>
      </c>
      <c r="B39" s="85" t="s">
        <v>163</v>
      </c>
      <c r="C39" s="174"/>
      <c r="D39" s="89"/>
      <c r="E39" s="959"/>
      <c r="F39" s="897">
        <v>276004000000</v>
      </c>
      <c r="G39" s="897">
        <f>F39*Assumptions!$C$56/Assumptions!$C$8</f>
        <v>2289729184</v>
      </c>
      <c r="H39" s="1442">
        <v>6.48</v>
      </c>
      <c r="I39" s="156">
        <f t="shared" si="6"/>
        <v>0.78109932497589207</v>
      </c>
      <c r="J39" s="156">
        <f t="shared" si="7"/>
        <v>0</v>
      </c>
      <c r="K39" s="156">
        <f t="shared" si="12"/>
        <v>0.78109932497589207</v>
      </c>
      <c r="L39" s="156">
        <f t="shared" si="0"/>
        <v>0.78109932497589207</v>
      </c>
      <c r="M39" s="952">
        <f t="shared" si="8"/>
        <v>0</v>
      </c>
      <c r="N39" s="70">
        <f t="shared" si="1"/>
        <v>1788505920.0000002</v>
      </c>
      <c r="O39" s="70">
        <f t="shared" si="2"/>
        <v>1788505920.0000002</v>
      </c>
      <c r="P39" s="70">
        <f t="shared" si="3"/>
        <v>1788505920.0000002</v>
      </c>
      <c r="Q39" s="70">
        <f t="shared" si="4"/>
        <v>0</v>
      </c>
      <c r="R39" s="70">
        <f t="shared" si="9"/>
        <v>0</v>
      </c>
      <c r="S39" s="70">
        <f t="shared" si="10"/>
        <v>0</v>
      </c>
    </row>
    <row r="40" spans="1:19" s="85" customFormat="1" x14ac:dyDescent="0.6">
      <c r="A40" s="60">
        <f t="shared" si="5"/>
        <v>37</v>
      </c>
      <c r="B40" s="85" t="s">
        <v>185</v>
      </c>
      <c r="C40" s="174"/>
      <c r="D40" s="89"/>
      <c r="E40" s="959"/>
      <c r="F40" s="897">
        <v>184547000000</v>
      </c>
      <c r="G40" s="897">
        <f>F40*Assumptions!$C$56/Assumptions!$C$8</f>
        <v>1531001912</v>
      </c>
      <c r="H40" s="1442">
        <v>8.1199999999999992</v>
      </c>
      <c r="I40" s="156">
        <f t="shared" si="6"/>
        <v>0.97878495660559295</v>
      </c>
      <c r="J40" s="156">
        <f t="shared" si="7"/>
        <v>0</v>
      </c>
      <c r="K40" s="156">
        <f t="shared" si="12"/>
        <v>0.97878495660559295</v>
      </c>
      <c r="L40" s="156">
        <f t="shared" si="0"/>
        <v>0.97878495660559295</v>
      </c>
      <c r="M40" s="952">
        <f t="shared" si="8"/>
        <v>0</v>
      </c>
      <c r="N40" s="70">
        <f t="shared" si="1"/>
        <v>1498521639.9999998</v>
      </c>
      <c r="O40" s="70">
        <f t="shared" si="2"/>
        <v>1498521639.9999998</v>
      </c>
      <c r="P40" s="70">
        <f t="shared" si="3"/>
        <v>1498521639.9999998</v>
      </c>
      <c r="Q40" s="70">
        <f t="shared" si="4"/>
        <v>0</v>
      </c>
      <c r="R40" s="70">
        <f t="shared" si="9"/>
        <v>0</v>
      </c>
      <c r="S40" s="70">
        <f t="shared" si="10"/>
        <v>0</v>
      </c>
    </row>
    <row r="41" spans="1:19" s="85" customFormat="1" x14ac:dyDescent="0.6">
      <c r="A41" s="60">
        <f t="shared" si="5"/>
        <v>38</v>
      </c>
      <c r="B41" s="85" t="s">
        <v>153</v>
      </c>
      <c r="C41" s="174"/>
      <c r="D41" s="89"/>
      <c r="E41" s="959"/>
      <c r="F41" s="897">
        <v>53632000000</v>
      </c>
      <c r="G41" s="897">
        <f>F41*Assumptions!$C$56/Assumptions!$C$8</f>
        <v>444931072</v>
      </c>
      <c r="H41" s="1442">
        <v>10.16</v>
      </c>
      <c r="I41" s="156">
        <f t="shared" si="6"/>
        <v>1.2246865959498554</v>
      </c>
      <c r="J41" s="156">
        <f t="shared" si="7"/>
        <v>0</v>
      </c>
      <c r="K41" s="156">
        <f t="shared" si="12"/>
        <v>1.2246865959498554</v>
      </c>
      <c r="L41" s="156">
        <f t="shared" si="0"/>
        <v>1.2246865959498554</v>
      </c>
      <c r="M41" s="952">
        <f t="shared" si="8"/>
        <v>0</v>
      </c>
      <c r="N41" s="70">
        <f t="shared" si="1"/>
        <v>544901120</v>
      </c>
      <c r="O41" s="70">
        <f t="shared" si="2"/>
        <v>544901120</v>
      </c>
      <c r="P41" s="70">
        <f t="shared" si="3"/>
        <v>544901120</v>
      </c>
      <c r="Q41" s="70">
        <f t="shared" si="4"/>
        <v>0</v>
      </c>
      <c r="R41" s="70">
        <f t="shared" si="9"/>
        <v>0</v>
      </c>
      <c r="S41" s="70">
        <f t="shared" si="10"/>
        <v>0</v>
      </c>
    </row>
    <row r="42" spans="1:19" s="85" customFormat="1" x14ac:dyDescent="0.6">
      <c r="A42" s="60">
        <f t="shared" si="5"/>
        <v>39</v>
      </c>
      <c r="B42" s="85" t="s">
        <v>138</v>
      </c>
      <c r="C42" s="174"/>
      <c r="D42" s="89"/>
      <c r="E42" s="959"/>
      <c r="F42" s="897">
        <v>212050000000</v>
      </c>
      <c r="G42" s="897">
        <f>F42*Assumptions!$C$56/Assumptions!$C$8</f>
        <v>1759166800</v>
      </c>
      <c r="H42" s="1442">
        <v>9.32</v>
      </c>
      <c r="I42" s="156">
        <f t="shared" si="6"/>
        <v>1.1234329797492768</v>
      </c>
      <c r="J42" s="156">
        <f t="shared" si="7"/>
        <v>0</v>
      </c>
      <c r="K42" s="156">
        <f t="shared" si="12"/>
        <v>1.1234329797492768</v>
      </c>
      <c r="L42" s="156">
        <f t="shared" si="0"/>
        <v>1.1234329797492768</v>
      </c>
      <c r="M42" s="952">
        <f t="shared" si="8"/>
        <v>0</v>
      </c>
      <c r="N42" s="70">
        <f t="shared" si="1"/>
        <v>1976306000</v>
      </c>
      <c r="O42" s="70">
        <f t="shared" si="2"/>
        <v>1976306000</v>
      </c>
      <c r="P42" s="70">
        <f t="shared" si="3"/>
        <v>1976306000</v>
      </c>
      <c r="Q42" s="70">
        <f t="shared" si="4"/>
        <v>0</v>
      </c>
      <c r="R42" s="70">
        <f t="shared" si="9"/>
        <v>0</v>
      </c>
      <c r="S42" s="70">
        <f t="shared" si="10"/>
        <v>0</v>
      </c>
    </row>
    <row r="43" spans="1:19" s="85" customFormat="1" x14ac:dyDescent="0.6">
      <c r="A43" s="60">
        <f t="shared" si="5"/>
        <v>40</v>
      </c>
      <c r="B43" s="85" t="s">
        <v>146</v>
      </c>
      <c r="C43" s="174"/>
      <c r="D43" s="89"/>
      <c r="E43" s="959"/>
      <c r="F43" s="897">
        <v>8624000000</v>
      </c>
      <c r="G43" s="897">
        <f>F43*Assumptions!$C$56/Assumptions!$C$8</f>
        <v>71544704</v>
      </c>
      <c r="H43" s="1442">
        <v>11.99</v>
      </c>
      <c r="I43" s="156">
        <f t="shared" si="6"/>
        <v>1.4452748312439729</v>
      </c>
      <c r="J43" s="156">
        <f t="shared" si="7"/>
        <v>0</v>
      </c>
      <c r="K43" s="156">
        <f t="shared" si="12"/>
        <v>1.4452748312439729</v>
      </c>
      <c r="L43" s="156">
        <f t="shared" si="0"/>
        <v>1.4452748312439729</v>
      </c>
      <c r="M43" s="952">
        <f t="shared" si="8"/>
        <v>0</v>
      </c>
      <c r="N43" s="70">
        <f t="shared" si="1"/>
        <v>103401760</v>
      </c>
      <c r="O43" s="70">
        <f t="shared" si="2"/>
        <v>103401760</v>
      </c>
      <c r="P43" s="70">
        <f t="shared" si="3"/>
        <v>103401760</v>
      </c>
      <c r="Q43" s="70">
        <f t="shared" si="4"/>
        <v>0</v>
      </c>
      <c r="R43" s="70">
        <f t="shared" si="9"/>
        <v>0</v>
      </c>
      <c r="S43" s="70">
        <f t="shared" si="10"/>
        <v>0</v>
      </c>
    </row>
    <row r="44" spans="1:19" s="85" customFormat="1" x14ac:dyDescent="0.6">
      <c r="A44" s="60">
        <f t="shared" si="5"/>
        <v>41</v>
      </c>
      <c r="B44" s="85" t="s">
        <v>186</v>
      </c>
      <c r="C44" s="174"/>
      <c r="D44" s="89"/>
      <c r="E44" s="959"/>
      <c r="F44" s="897">
        <v>84898000000</v>
      </c>
      <c r="G44" s="897">
        <f>F44*Assumptions!$C$56/Assumptions!$C$8</f>
        <v>704313808</v>
      </c>
      <c r="H44" s="1442">
        <v>8.52</v>
      </c>
      <c r="I44" s="156">
        <f t="shared" si="6"/>
        <v>1.0270009643201543</v>
      </c>
      <c r="J44" s="156">
        <f t="shared" si="7"/>
        <v>0</v>
      </c>
      <c r="K44" s="156">
        <f t="shared" si="12"/>
        <v>1.0270009643201543</v>
      </c>
      <c r="L44" s="156">
        <f t="shared" si="0"/>
        <v>1.0270009643201543</v>
      </c>
      <c r="M44" s="952">
        <f t="shared" si="8"/>
        <v>0</v>
      </c>
      <c r="N44" s="70">
        <f t="shared" si="1"/>
        <v>723330960</v>
      </c>
      <c r="O44" s="70">
        <f t="shared" si="2"/>
        <v>723330960</v>
      </c>
      <c r="P44" s="70">
        <f t="shared" si="3"/>
        <v>723330960</v>
      </c>
      <c r="Q44" s="70">
        <f t="shared" si="4"/>
        <v>0</v>
      </c>
      <c r="R44" s="70">
        <f t="shared" si="9"/>
        <v>0</v>
      </c>
      <c r="S44" s="70">
        <f t="shared" si="10"/>
        <v>0</v>
      </c>
    </row>
    <row r="45" spans="1:19" s="85" customFormat="1" x14ac:dyDescent="0.6">
      <c r="A45" s="60">
        <f t="shared" si="5"/>
        <v>42</v>
      </c>
      <c r="B45" s="85" t="s">
        <v>159</v>
      </c>
      <c r="C45" s="174"/>
      <c r="D45" s="89"/>
      <c r="E45" s="959"/>
      <c r="F45" s="897">
        <v>44094000000</v>
      </c>
      <c r="G45" s="897">
        <f>F45*Assumptions!$C$56/Assumptions!$C$8</f>
        <v>365803824</v>
      </c>
      <c r="H45" s="1442">
        <v>6.22</v>
      </c>
      <c r="I45" s="156">
        <f t="shared" si="6"/>
        <v>0.74975891996142718</v>
      </c>
      <c r="J45" s="156">
        <f t="shared" si="7"/>
        <v>0</v>
      </c>
      <c r="K45" s="156">
        <f t="shared" si="12"/>
        <v>0.74975891996142718</v>
      </c>
      <c r="L45" s="156">
        <f t="shared" si="0"/>
        <v>0.74975891996142718</v>
      </c>
      <c r="M45" s="952">
        <f t="shared" si="8"/>
        <v>0</v>
      </c>
      <c r="N45" s="70">
        <f t="shared" si="1"/>
        <v>274264680</v>
      </c>
      <c r="O45" s="70">
        <f t="shared" si="2"/>
        <v>274264680</v>
      </c>
      <c r="P45" s="70">
        <f t="shared" si="3"/>
        <v>274264680</v>
      </c>
      <c r="Q45" s="70">
        <f t="shared" si="4"/>
        <v>0</v>
      </c>
      <c r="R45" s="70">
        <f t="shared" si="9"/>
        <v>0</v>
      </c>
      <c r="S45" s="70">
        <f t="shared" si="10"/>
        <v>0</v>
      </c>
    </row>
    <row r="46" spans="1:19" s="85" customFormat="1" x14ac:dyDescent="0.6">
      <c r="A46" s="60">
        <f t="shared" si="5"/>
        <v>43</v>
      </c>
      <c r="B46" s="85" t="s">
        <v>177</v>
      </c>
      <c r="C46" s="174"/>
      <c r="D46" s="89"/>
      <c r="E46" s="959"/>
      <c r="F46" s="897">
        <v>114682000000</v>
      </c>
      <c r="G46" s="897">
        <f>F46*Assumptions!$C$56/Assumptions!$C$8</f>
        <v>951401872</v>
      </c>
      <c r="H46" s="1442">
        <v>8.4600000000000009</v>
      </c>
      <c r="I46" s="156">
        <f t="shared" si="6"/>
        <v>1.01976856316297</v>
      </c>
      <c r="J46" s="156">
        <f t="shared" si="7"/>
        <v>0</v>
      </c>
      <c r="K46" s="156">
        <f t="shared" si="12"/>
        <v>1.01976856316297</v>
      </c>
      <c r="L46" s="156">
        <f t="shared" si="0"/>
        <v>1.01976856316297</v>
      </c>
      <c r="M46" s="952">
        <f t="shared" si="8"/>
        <v>0</v>
      </c>
      <c r="N46" s="70">
        <f t="shared" si="1"/>
        <v>970209719.99999988</v>
      </c>
      <c r="O46" s="70">
        <f t="shared" si="2"/>
        <v>970209719.99999988</v>
      </c>
      <c r="P46" s="70">
        <f t="shared" si="3"/>
        <v>970209719.99999988</v>
      </c>
      <c r="Q46" s="70">
        <f t="shared" si="4"/>
        <v>0</v>
      </c>
      <c r="R46" s="70">
        <f t="shared" si="9"/>
        <v>0</v>
      </c>
      <c r="S46" s="70">
        <f t="shared" si="10"/>
        <v>0</v>
      </c>
    </row>
    <row r="47" spans="1:19" s="85" customFormat="1" x14ac:dyDescent="0.6">
      <c r="A47" s="60">
        <f t="shared" si="5"/>
        <v>44</v>
      </c>
      <c r="B47" s="85" t="s">
        <v>180</v>
      </c>
      <c r="C47" s="174"/>
      <c r="D47" s="89"/>
      <c r="E47" s="959"/>
      <c r="F47" s="897">
        <v>1606000000000</v>
      </c>
      <c r="G47" s="897">
        <f>F47*Assumptions!$C$56/Assumptions!$C$8</f>
        <v>13323376000</v>
      </c>
      <c r="H47" s="1442">
        <v>6.92</v>
      </c>
      <c r="I47" s="156">
        <f t="shared" si="6"/>
        <v>0.83413693346190931</v>
      </c>
      <c r="J47" s="156">
        <f t="shared" si="7"/>
        <v>0</v>
      </c>
      <c r="K47" s="156">
        <f t="shared" si="12"/>
        <v>0.83413693346190931</v>
      </c>
      <c r="L47" s="156">
        <f t="shared" si="0"/>
        <v>0.83413693346190931</v>
      </c>
      <c r="M47" s="952">
        <f t="shared" si="8"/>
        <v>0</v>
      </c>
      <c r="N47" s="70">
        <f t="shared" si="1"/>
        <v>11113520000</v>
      </c>
      <c r="O47" s="70">
        <f t="shared" si="2"/>
        <v>11113520000</v>
      </c>
      <c r="P47" s="70">
        <f t="shared" si="3"/>
        <v>11113520000</v>
      </c>
      <c r="Q47" s="70">
        <f t="shared" si="4"/>
        <v>0</v>
      </c>
      <c r="R47" s="70">
        <f t="shared" si="9"/>
        <v>0</v>
      </c>
      <c r="S47" s="70">
        <f t="shared" si="10"/>
        <v>0</v>
      </c>
    </row>
    <row r="48" spans="1:19" s="85" customFormat="1" x14ac:dyDescent="0.6">
      <c r="A48" s="60">
        <f t="shared" si="5"/>
        <v>45</v>
      </c>
      <c r="B48" s="85" t="s">
        <v>161</v>
      </c>
      <c r="C48" s="174"/>
      <c r="D48" s="89"/>
      <c r="E48" s="959"/>
      <c r="F48" s="897">
        <v>37189000000</v>
      </c>
      <c r="G48" s="897">
        <f>F48*Assumptions!$C$56/Assumptions!$C$8</f>
        <v>308519944</v>
      </c>
      <c r="H48" s="1442">
        <v>7.97</v>
      </c>
      <c r="I48" s="156">
        <f t="shared" si="6"/>
        <v>0.96070395371263262</v>
      </c>
      <c r="J48" s="156">
        <f t="shared" si="7"/>
        <v>0</v>
      </c>
      <c r="K48" s="156">
        <f t="shared" si="12"/>
        <v>0.96070395371263262</v>
      </c>
      <c r="L48" s="156">
        <f t="shared" si="0"/>
        <v>0.96070395371263262</v>
      </c>
      <c r="M48" s="952">
        <f t="shared" si="8"/>
        <v>0</v>
      </c>
      <c r="N48" s="70">
        <f t="shared" si="1"/>
        <v>296396330</v>
      </c>
      <c r="O48" s="70">
        <f t="shared" si="2"/>
        <v>296396330</v>
      </c>
      <c r="P48" s="70">
        <f t="shared" si="3"/>
        <v>296396330</v>
      </c>
      <c r="Q48" s="70">
        <f t="shared" si="4"/>
        <v>0</v>
      </c>
      <c r="R48" s="70">
        <f t="shared" si="9"/>
        <v>0</v>
      </c>
      <c r="S48" s="70">
        <f t="shared" si="10"/>
        <v>0</v>
      </c>
    </row>
    <row r="49" spans="1:19" s="85" customFormat="1" x14ac:dyDescent="0.6">
      <c r="A49" s="60">
        <f t="shared" si="5"/>
        <v>46</v>
      </c>
      <c r="B49" s="85" t="s">
        <v>156</v>
      </c>
      <c r="C49" s="174"/>
      <c r="D49" s="89"/>
      <c r="E49" s="959"/>
      <c r="F49" s="897">
        <v>2040000000</v>
      </c>
      <c r="G49" s="897">
        <f>F49*Assumptions!$C$56/Assumptions!$C$8</f>
        <v>16923840</v>
      </c>
      <c r="H49" s="1442">
        <v>7.89</v>
      </c>
      <c r="I49" s="156">
        <f t="shared" si="6"/>
        <v>0.95106075216972019</v>
      </c>
      <c r="J49" s="156">
        <f t="shared" si="7"/>
        <v>0</v>
      </c>
      <c r="K49" s="156">
        <f t="shared" si="12"/>
        <v>0.95106075216972019</v>
      </c>
      <c r="L49" s="156">
        <f t="shared" si="0"/>
        <v>0.95106075216972019</v>
      </c>
      <c r="M49" s="952">
        <f t="shared" si="8"/>
        <v>0</v>
      </c>
      <c r="N49" s="70">
        <f t="shared" si="1"/>
        <v>16095599.999999998</v>
      </c>
      <c r="O49" s="70">
        <f t="shared" si="2"/>
        <v>16095599.999999998</v>
      </c>
      <c r="P49" s="70">
        <f t="shared" si="3"/>
        <v>16095599.999999998</v>
      </c>
      <c r="Q49" s="70">
        <f t="shared" si="4"/>
        <v>0</v>
      </c>
      <c r="R49" s="70">
        <f t="shared" si="9"/>
        <v>0</v>
      </c>
      <c r="S49" s="70">
        <f t="shared" si="10"/>
        <v>0</v>
      </c>
    </row>
    <row r="50" spans="1:19" s="85" customFormat="1" x14ac:dyDescent="0.6">
      <c r="A50" s="60">
        <f t="shared" si="5"/>
        <v>47</v>
      </c>
      <c r="B50" s="85" t="s">
        <v>174</v>
      </c>
      <c r="C50" s="174"/>
      <c r="D50" s="89"/>
      <c r="E50" s="959"/>
      <c r="F50" s="897">
        <v>86817000000</v>
      </c>
      <c r="G50" s="897">
        <f>F50*Assumptions!$C$56/Assumptions!$C$8</f>
        <v>720233832</v>
      </c>
      <c r="H50" s="1442">
        <v>8.1300000000000008</v>
      </c>
      <c r="I50" s="156">
        <f t="shared" si="6"/>
        <v>0.97999035679845714</v>
      </c>
      <c r="J50" s="156">
        <f t="shared" si="7"/>
        <v>0</v>
      </c>
      <c r="K50" s="156">
        <f t="shared" si="12"/>
        <v>0.97999035679845714</v>
      </c>
      <c r="L50" s="156">
        <f t="shared" si="0"/>
        <v>0.97999035679845714</v>
      </c>
      <c r="M50" s="952">
        <f t="shared" si="8"/>
        <v>0</v>
      </c>
      <c r="N50" s="70">
        <f t="shared" si="1"/>
        <v>705822210</v>
      </c>
      <c r="O50" s="70">
        <f t="shared" si="2"/>
        <v>705822210</v>
      </c>
      <c r="P50" s="70">
        <f t="shared" si="3"/>
        <v>705822210</v>
      </c>
      <c r="Q50" s="70">
        <f t="shared" si="4"/>
        <v>0</v>
      </c>
      <c r="R50" s="70">
        <f t="shared" si="9"/>
        <v>0</v>
      </c>
      <c r="S50" s="70">
        <f t="shared" si="10"/>
        <v>0</v>
      </c>
    </row>
    <row r="51" spans="1:19" s="85" customFormat="1" x14ac:dyDescent="0.6">
      <c r="A51" s="60">
        <f t="shared" si="5"/>
        <v>48</v>
      </c>
      <c r="B51" s="85" t="s">
        <v>139</v>
      </c>
      <c r="C51" s="174"/>
      <c r="D51" s="89"/>
      <c r="E51" s="959"/>
      <c r="F51" s="897">
        <v>76527000000</v>
      </c>
      <c r="G51" s="897">
        <f>F51*Assumptions!$C$56/Assumptions!$C$8</f>
        <v>634867992</v>
      </c>
      <c r="H51" s="1442">
        <v>9.7799999999999994</v>
      </c>
      <c r="I51" s="156">
        <f t="shared" si="6"/>
        <v>1.1788813886210221</v>
      </c>
      <c r="J51" s="156">
        <f t="shared" si="7"/>
        <v>0</v>
      </c>
      <c r="K51" s="156">
        <f t="shared" si="12"/>
        <v>1.1788813886210221</v>
      </c>
      <c r="L51" s="156">
        <f t="shared" si="0"/>
        <v>1.1788813886210221</v>
      </c>
      <c r="M51" s="952">
        <f t="shared" si="8"/>
        <v>0</v>
      </c>
      <c r="N51" s="70">
        <f t="shared" si="1"/>
        <v>748434060</v>
      </c>
      <c r="O51" s="70">
        <f t="shared" si="2"/>
        <v>748434060</v>
      </c>
      <c r="P51" s="70">
        <f t="shared" si="3"/>
        <v>748434060</v>
      </c>
      <c r="Q51" s="70">
        <f t="shared" si="4"/>
        <v>0</v>
      </c>
      <c r="R51" s="70">
        <f t="shared" si="9"/>
        <v>0</v>
      </c>
      <c r="S51" s="70">
        <f t="shared" si="10"/>
        <v>0</v>
      </c>
    </row>
    <row r="52" spans="1:19" s="85" customFormat="1" x14ac:dyDescent="0.6">
      <c r="A52" s="60">
        <f t="shared" si="5"/>
        <v>49</v>
      </c>
      <c r="B52" s="85" t="s">
        <v>148</v>
      </c>
      <c r="C52" s="174"/>
      <c r="D52" s="89"/>
      <c r="E52" s="959"/>
      <c r="F52" s="897">
        <v>25474000000</v>
      </c>
      <c r="G52" s="897">
        <f>F52*Assumptions!$C$56/Assumptions!$C$8</f>
        <v>211332304</v>
      </c>
      <c r="H52" s="1442">
        <v>8.9499999999999993</v>
      </c>
      <c r="I52" s="156">
        <f t="shared" si="6"/>
        <v>1.0788331726133076</v>
      </c>
      <c r="J52" s="156">
        <f t="shared" si="7"/>
        <v>0</v>
      </c>
      <c r="K52" s="156">
        <f t="shared" si="12"/>
        <v>1.0788331726133076</v>
      </c>
      <c r="L52" s="156">
        <f t="shared" si="0"/>
        <v>1.0788331726133076</v>
      </c>
      <c r="M52" s="952">
        <f t="shared" si="8"/>
        <v>0</v>
      </c>
      <c r="N52" s="70">
        <f t="shared" si="1"/>
        <v>227992300</v>
      </c>
      <c r="O52" s="70">
        <f t="shared" si="2"/>
        <v>227992300</v>
      </c>
      <c r="P52" s="70">
        <f t="shared" si="3"/>
        <v>227992300</v>
      </c>
      <c r="Q52" s="70">
        <f t="shared" si="4"/>
        <v>0</v>
      </c>
      <c r="R52" s="70">
        <f t="shared" si="9"/>
        <v>0</v>
      </c>
      <c r="S52" s="70">
        <f t="shared" si="10"/>
        <v>0</v>
      </c>
    </row>
    <row r="53" spans="1:19" s="85" customFormat="1" x14ac:dyDescent="0.6">
      <c r="A53" s="60">
        <f t="shared" si="5"/>
        <v>50</v>
      </c>
      <c r="B53" s="85" t="s">
        <v>149</v>
      </c>
      <c r="C53" s="174"/>
      <c r="D53" s="89"/>
      <c r="E53" s="959"/>
      <c r="F53" s="897">
        <v>136709000000</v>
      </c>
      <c r="G53" s="897">
        <f>F53*Assumptions!$C$56/Assumptions!$C$8</f>
        <v>1134137864</v>
      </c>
      <c r="H53" s="1442">
        <v>6.78</v>
      </c>
      <c r="I53" s="156">
        <f t="shared" si="6"/>
        <v>0.81726133076181295</v>
      </c>
      <c r="J53" s="156">
        <f t="shared" si="7"/>
        <v>0</v>
      </c>
      <c r="K53" s="156">
        <f t="shared" si="12"/>
        <v>0.81726133076181295</v>
      </c>
      <c r="L53" s="156">
        <f t="shared" si="0"/>
        <v>0.81726133076181295</v>
      </c>
      <c r="M53" s="952">
        <f t="shared" si="8"/>
        <v>0</v>
      </c>
      <c r="N53" s="70">
        <f t="shared" si="1"/>
        <v>926887020</v>
      </c>
      <c r="O53" s="70">
        <f t="shared" si="2"/>
        <v>926887020</v>
      </c>
      <c r="P53" s="70">
        <f t="shared" si="3"/>
        <v>926887020</v>
      </c>
      <c r="Q53" s="70">
        <f t="shared" si="4"/>
        <v>0</v>
      </c>
      <c r="R53" s="70">
        <f t="shared" si="9"/>
        <v>0</v>
      </c>
      <c r="S53" s="70">
        <f t="shared" si="10"/>
        <v>0</v>
      </c>
    </row>
    <row r="54" spans="1:19" s="85" customFormat="1" x14ac:dyDescent="0.6">
      <c r="A54" s="60">
        <f t="shared" si="5"/>
        <v>51</v>
      </c>
      <c r="B54" s="85" t="s">
        <v>169</v>
      </c>
      <c r="C54" s="174"/>
      <c r="D54" s="89"/>
      <c r="E54" s="959"/>
      <c r="F54" s="897">
        <v>47667000000</v>
      </c>
      <c r="G54" s="897">
        <f>F54*Assumptions!$C$56/Assumptions!$C$8</f>
        <v>395445432</v>
      </c>
      <c r="H54" s="1442">
        <v>7.43</v>
      </c>
      <c r="I54" s="156">
        <f t="shared" si="6"/>
        <v>0.8956123432979749</v>
      </c>
      <c r="J54" s="156">
        <f t="shared" si="7"/>
        <v>0</v>
      </c>
      <c r="K54" s="156">
        <f t="shared" si="12"/>
        <v>0.8956123432979749</v>
      </c>
      <c r="L54" s="156">
        <f t="shared" si="0"/>
        <v>0.8956123432979749</v>
      </c>
      <c r="M54" s="952">
        <f t="shared" si="8"/>
        <v>0</v>
      </c>
      <c r="N54" s="70">
        <f t="shared" si="1"/>
        <v>354165810</v>
      </c>
      <c r="O54" s="70">
        <f t="shared" si="2"/>
        <v>354165810</v>
      </c>
      <c r="P54" s="70">
        <f t="shared" si="3"/>
        <v>354165810</v>
      </c>
      <c r="Q54" s="70">
        <f t="shared" si="4"/>
        <v>0</v>
      </c>
      <c r="R54" s="70">
        <f t="shared" si="9"/>
        <v>0</v>
      </c>
      <c r="S54" s="70"/>
    </row>
    <row r="55" spans="1:19" s="85" customFormat="1" x14ac:dyDescent="0.6">
      <c r="C55" s="174"/>
      <c r="D55" s="89"/>
      <c r="E55" s="959"/>
      <c r="F55" s="913"/>
      <c r="G55" s="913"/>
      <c r="H55" s="1443"/>
      <c r="I55" s="156"/>
      <c r="J55" s="156"/>
      <c r="K55" s="156"/>
      <c r="L55" s="156"/>
      <c r="M55" s="952"/>
      <c r="N55" s="70"/>
      <c r="O55" s="70"/>
      <c r="P55" s="70"/>
      <c r="R55" s="70">
        <f t="shared" si="9"/>
        <v>0</v>
      </c>
      <c r="S55" s="70"/>
    </row>
    <row r="56" spans="1:19" s="104" customFormat="1" x14ac:dyDescent="0.6">
      <c r="B56" s="104" t="s">
        <v>42</v>
      </c>
      <c r="C56" s="943"/>
      <c r="D56" s="942"/>
      <c r="E56" s="959"/>
      <c r="F56" s="951">
        <f>SUM(F4:F55)</f>
        <v>7554140000000</v>
      </c>
      <c r="G56" s="951">
        <f>SUM(G4:G55)</f>
        <v>62669145440</v>
      </c>
      <c r="H56" s="1443"/>
      <c r="I56" s="881"/>
      <c r="J56" s="881"/>
      <c r="K56" s="156"/>
      <c r="L56" s="881"/>
      <c r="M56" s="952"/>
      <c r="N56" s="593">
        <f>SUM(N4:N55)</f>
        <v>59528321720</v>
      </c>
      <c r="O56" s="593">
        <f>SUM(O4:O55)</f>
        <v>59528321720</v>
      </c>
      <c r="P56" s="593">
        <f>SUM(P4:P55)</f>
        <v>59528321720</v>
      </c>
      <c r="Q56" s="593">
        <f>SUM(Q4:Q55)</f>
        <v>0</v>
      </c>
      <c r="R56" s="593">
        <f>SUM(R4:R55)</f>
        <v>0</v>
      </c>
      <c r="S56" s="593"/>
    </row>
    <row r="57" spans="1:19" s="104" customFormat="1" ht="15.9" thickBot="1" x14ac:dyDescent="0.65">
      <c r="A57" s="99"/>
      <c r="B57" s="99"/>
      <c r="C57" s="945"/>
      <c r="D57" s="944"/>
      <c r="E57" s="960"/>
      <c r="F57" s="954">
        <v>7521903000000</v>
      </c>
      <c r="G57" s="954">
        <f>F57*Assumptions!$C$56/Assumptions!$C$8</f>
        <v>62401707288</v>
      </c>
      <c r="H57" s="1444"/>
      <c r="I57" s="237"/>
      <c r="J57" s="237"/>
      <c r="K57" s="237"/>
      <c r="L57" s="237"/>
      <c r="M57" s="955"/>
      <c r="N57" s="944"/>
      <c r="O57" s="108"/>
      <c r="P57" s="944"/>
      <c r="Q57" s="944"/>
      <c r="R57" s="942"/>
      <c r="S57" s="593"/>
    </row>
    <row r="58" spans="1:19" s="85" customFormat="1" ht="15.9" thickTop="1" x14ac:dyDescent="0.6">
      <c r="C58" s="174"/>
      <c r="D58" s="89"/>
      <c r="E58" s="174"/>
      <c r="G58" s="360">
        <f>G56/G57</f>
        <v>1.0042857505607292</v>
      </c>
      <c r="H58" s="413"/>
      <c r="I58" s="156"/>
      <c r="J58" s="156"/>
      <c r="K58" s="156"/>
      <c r="L58" s="156"/>
      <c r="M58" s="156"/>
      <c r="N58" s="181"/>
      <c r="O58" s="70"/>
      <c r="P58" s="70"/>
      <c r="S58" s="70"/>
    </row>
    <row r="59" spans="1:19" s="85" customFormat="1" x14ac:dyDescent="0.6">
      <c r="C59" s="174"/>
      <c r="D59" s="89"/>
      <c r="E59" s="178"/>
      <c r="F59" s="957"/>
      <c r="G59" s="957"/>
      <c r="H59" s="1442"/>
      <c r="I59" s="156"/>
      <c r="J59" s="156"/>
      <c r="K59" s="156"/>
      <c r="L59" s="156"/>
      <c r="M59" s="156"/>
      <c r="N59" s="70"/>
      <c r="Q59" s="240" t="s">
        <v>504</v>
      </c>
      <c r="S59" s="70"/>
    </row>
    <row r="60" spans="1:19" s="85" customFormat="1" x14ac:dyDescent="0.6">
      <c r="C60" s="174"/>
      <c r="D60" s="89"/>
      <c r="E60" s="178"/>
      <c r="F60" s="1655" t="s">
        <v>1746</v>
      </c>
      <c r="G60" s="21">
        <f>LARGE($G$4:$G$54,1)</f>
        <v>13323376000</v>
      </c>
      <c r="H60" s="413"/>
      <c r="I60" s="156"/>
      <c r="J60" s="156"/>
      <c r="K60" s="156"/>
      <c r="L60" s="156"/>
      <c r="M60" s="156"/>
      <c r="N60" s="70"/>
      <c r="O60" s="70" t="s">
        <v>26</v>
      </c>
      <c r="P60" s="70">
        <f>N56-O56</f>
        <v>0</v>
      </c>
      <c r="Q60" s="881">
        <f>P60/$G$56</f>
        <v>0</v>
      </c>
      <c r="S60" s="70"/>
    </row>
    <row r="61" spans="1:19" s="85" customFormat="1" x14ac:dyDescent="0.6">
      <c r="C61" s="174"/>
      <c r="D61" s="89"/>
      <c r="E61" s="174"/>
      <c r="F61" s="1658" t="s">
        <v>1744</v>
      </c>
      <c r="G61" s="21">
        <f>LARGE($G$4:$G$54,2)</f>
        <v>7876396616</v>
      </c>
      <c r="H61" s="526"/>
      <c r="I61" s="156"/>
      <c r="J61" s="156"/>
      <c r="K61" s="156"/>
      <c r="L61" s="156"/>
      <c r="M61" s="156"/>
      <c r="N61" s="70"/>
      <c r="O61" s="70" t="s">
        <v>654</v>
      </c>
      <c r="P61" s="70">
        <f>P56-O56</f>
        <v>0</v>
      </c>
      <c r="Q61" s="881">
        <f>P61/$G$56</f>
        <v>0</v>
      </c>
      <c r="S61" s="70"/>
    </row>
    <row r="62" spans="1:19" s="85" customFormat="1" x14ac:dyDescent="0.6">
      <c r="C62" s="174"/>
      <c r="D62" s="89"/>
      <c r="E62" s="174"/>
      <c r="F62" s="1660" t="s">
        <v>1745</v>
      </c>
      <c r="G62" s="21">
        <f>LARGE($G$4:$G$54,3)</f>
        <v>6446838192</v>
      </c>
      <c r="H62" s="526"/>
      <c r="I62" s="156"/>
      <c r="J62" s="156"/>
      <c r="K62" s="156"/>
      <c r="L62" s="156"/>
      <c r="M62" s="156"/>
      <c r="N62" s="70"/>
      <c r="O62" s="70" t="s">
        <v>602</v>
      </c>
      <c r="P62" s="70">
        <f>P60-P61</f>
        <v>0</v>
      </c>
      <c r="Q62" s="881">
        <f>P62/$G$56</f>
        <v>0</v>
      </c>
      <c r="S62" s="70"/>
    </row>
    <row r="63" spans="1:19" s="85" customFormat="1" x14ac:dyDescent="0.6">
      <c r="C63" s="174"/>
      <c r="D63" s="89"/>
      <c r="E63" s="174"/>
      <c r="H63" s="526"/>
      <c r="I63" s="156"/>
      <c r="J63" s="156"/>
      <c r="K63" s="156"/>
      <c r="L63" s="156"/>
      <c r="M63" s="156"/>
      <c r="N63" s="70"/>
      <c r="O63" s="70"/>
      <c r="Q63" s="70"/>
      <c r="S63" s="70"/>
    </row>
    <row r="64" spans="1:19" s="85" customFormat="1" x14ac:dyDescent="0.6">
      <c r="C64" s="174"/>
      <c r="D64" s="89"/>
      <c r="E64" s="174"/>
      <c r="H64" s="526"/>
      <c r="I64" s="156"/>
      <c r="J64" s="156"/>
      <c r="K64" s="156"/>
      <c r="L64" s="156"/>
      <c r="M64" s="156"/>
      <c r="N64" s="70"/>
      <c r="O64" s="70" t="s">
        <v>686</v>
      </c>
      <c r="Q64" s="506">
        <f>O56/G56</f>
        <v>0.94988245494735435</v>
      </c>
      <c r="R64" s="506"/>
      <c r="S64" s="70"/>
    </row>
    <row r="65" spans="3:19" s="85" customFormat="1" x14ac:dyDescent="0.6">
      <c r="C65" s="174"/>
      <c r="D65" s="89"/>
      <c r="E65" s="174"/>
      <c r="H65" s="526"/>
      <c r="I65" s="156"/>
      <c r="J65" s="156"/>
      <c r="K65" s="156"/>
      <c r="L65" s="156"/>
      <c r="M65" s="156"/>
      <c r="N65" s="70"/>
      <c r="O65" s="70" t="s">
        <v>645</v>
      </c>
      <c r="Q65" s="506">
        <f>N56/G56</f>
        <v>0.94988245494735435</v>
      </c>
      <c r="S65" s="70"/>
    </row>
    <row r="66" spans="3:19" s="85" customFormat="1" x14ac:dyDescent="0.6">
      <c r="C66" s="174"/>
      <c r="D66" s="89"/>
      <c r="E66" s="174"/>
      <c r="H66" s="526"/>
      <c r="I66" s="156"/>
      <c r="J66" s="156"/>
      <c r="K66" s="156"/>
      <c r="L66" s="156"/>
      <c r="M66" s="156"/>
      <c r="N66" s="70"/>
      <c r="O66" s="70"/>
      <c r="P66" s="70"/>
      <c r="S66" s="70"/>
    </row>
    <row r="67" spans="3:19" s="85" customFormat="1" x14ac:dyDescent="0.6">
      <c r="C67" s="174"/>
      <c r="D67" s="89"/>
      <c r="E67" s="174"/>
      <c r="H67" s="526"/>
      <c r="I67" s="156"/>
      <c r="J67" s="156"/>
      <c r="K67" s="156"/>
      <c r="L67" s="156"/>
      <c r="M67" s="156"/>
      <c r="N67" s="70"/>
      <c r="O67" s="17"/>
      <c r="P67" s="1"/>
      <c r="Q67" s="17"/>
      <c r="R67" s="826"/>
      <c r="S67" s="70"/>
    </row>
    <row r="68" spans="3:19" s="85" customFormat="1" x14ac:dyDescent="0.6">
      <c r="C68" s="174"/>
      <c r="D68" s="89"/>
      <c r="E68" s="174"/>
      <c r="H68" s="526"/>
      <c r="I68" s="156"/>
      <c r="J68" s="156"/>
      <c r="K68" s="156"/>
      <c r="L68" s="156"/>
      <c r="M68" s="156"/>
      <c r="N68" s="70"/>
      <c r="O68" s="1"/>
      <c r="P68" s="1"/>
      <c r="Q68" s="17"/>
      <c r="R68" s="17"/>
      <c r="S68" s="70"/>
    </row>
    <row r="69" spans="3:19" s="85" customFormat="1" x14ac:dyDescent="0.6">
      <c r="C69" s="174"/>
      <c r="D69" s="89"/>
      <c r="E69" s="174"/>
      <c r="H69" s="526"/>
      <c r="I69" s="156"/>
      <c r="J69" s="156"/>
      <c r="K69" s="156"/>
      <c r="L69" s="156"/>
      <c r="M69" s="156"/>
      <c r="N69" s="70"/>
      <c r="O69" s="1"/>
      <c r="P69" s="1"/>
      <c r="Q69" s="17"/>
      <c r="R69" s="17"/>
      <c r="S69" s="70"/>
    </row>
    <row r="70" spans="3:19" s="85" customFormat="1" x14ac:dyDescent="0.6">
      <c r="C70" s="174"/>
      <c r="D70" s="89"/>
      <c r="E70" s="174"/>
      <c r="H70" s="526"/>
      <c r="I70" s="156"/>
      <c r="J70" s="156"/>
      <c r="K70" s="156"/>
      <c r="L70" s="156"/>
      <c r="M70" s="156"/>
      <c r="N70" s="70"/>
      <c r="O70" s="1"/>
      <c r="P70" s="1"/>
      <c r="Q70" s="70"/>
      <c r="R70" s="17"/>
      <c r="S70" s="70"/>
    </row>
    <row r="71" spans="3:19" s="85" customFormat="1" x14ac:dyDescent="0.6">
      <c r="C71" s="174"/>
      <c r="D71" s="89"/>
      <c r="E71" s="174"/>
      <c r="H71" s="526"/>
      <c r="I71" s="156"/>
      <c r="J71" s="156"/>
      <c r="K71" s="156"/>
      <c r="L71" s="156"/>
      <c r="M71" s="156"/>
      <c r="N71" s="70"/>
      <c r="O71" s="1"/>
      <c r="Q71" s="70"/>
      <c r="S71" s="70"/>
    </row>
    <row r="72" spans="3:19" s="85" customFormat="1" x14ac:dyDescent="0.6">
      <c r="C72" s="174"/>
      <c r="D72" s="89"/>
      <c r="E72" s="174"/>
      <c r="H72" s="526"/>
      <c r="I72" s="156"/>
      <c r="J72" s="156"/>
      <c r="K72" s="156"/>
      <c r="L72" s="156"/>
      <c r="M72" s="156"/>
      <c r="N72" s="70"/>
      <c r="O72" s="1"/>
      <c r="Q72" s="70"/>
      <c r="S72" s="70"/>
    </row>
    <row r="73" spans="3:19" s="85" customFormat="1" x14ac:dyDescent="0.6">
      <c r="C73" s="174"/>
      <c r="D73" s="89"/>
      <c r="E73" s="174"/>
      <c r="H73" s="526"/>
      <c r="I73" s="156"/>
      <c r="J73" s="156"/>
      <c r="K73" s="156"/>
      <c r="L73" s="156"/>
      <c r="M73" s="156"/>
      <c r="N73" s="70"/>
      <c r="O73" s="1"/>
      <c r="P73" s="1"/>
      <c r="Q73" s="70"/>
      <c r="R73" s="17"/>
      <c r="S73" s="70"/>
    </row>
    <row r="74" spans="3:19" s="85" customFormat="1" x14ac:dyDescent="0.6">
      <c r="C74" s="174"/>
      <c r="D74" s="89"/>
      <c r="E74" s="174"/>
      <c r="H74" s="526"/>
      <c r="I74" s="156"/>
      <c r="J74" s="156"/>
      <c r="K74" s="156"/>
      <c r="L74" s="156"/>
      <c r="M74" s="156"/>
      <c r="N74" s="70"/>
      <c r="O74" s="1"/>
      <c r="P74" s="1"/>
      <c r="Q74" s="891"/>
      <c r="R74" s="17"/>
      <c r="S74" s="70"/>
    </row>
    <row r="75" spans="3:19" s="85" customFormat="1" x14ac:dyDescent="0.6">
      <c r="C75" s="174"/>
      <c r="D75" s="89"/>
      <c r="E75" s="174"/>
      <c r="H75" s="526"/>
      <c r="I75" s="156"/>
      <c r="J75" s="156"/>
      <c r="K75" s="156"/>
      <c r="L75" s="156"/>
      <c r="M75" s="156"/>
      <c r="N75" s="70"/>
      <c r="O75" s="1"/>
      <c r="S75" s="70"/>
    </row>
    <row r="76" spans="3:19" s="85" customFormat="1" x14ac:dyDescent="0.6">
      <c r="C76" s="174"/>
      <c r="D76" s="89"/>
      <c r="E76" s="174"/>
      <c r="H76" s="526"/>
      <c r="I76" s="156"/>
      <c r="J76" s="156"/>
      <c r="K76" s="156"/>
      <c r="L76" s="156"/>
      <c r="M76" s="156"/>
      <c r="N76" s="70"/>
      <c r="O76" s="1"/>
      <c r="P76" s="1"/>
      <c r="Q76" s="891"/>
      <c r="R76" s="929">
        <f>COUNTIF(R4:R54,"&gt;0")</f>
        <v>0</v>
      </c>
      <c r="S76" s="70"/>
    </row>
    <row r="77" spans="3:19" s="85" customFormat="1" x14ac:dyDescent="0.6">
      <c r="C77" s="174"/>
      <c r="D77" s="89"/>
      <c r="E77" s="174"/>
      <c r="H77" s="526"/>
      <c r="I77" s="156"/>
      <c r="J77" s="156"/>
      <c r="K77" s="156"/>
      <c r="L77" s="156"/>
      <c r="M77" s="156"/>
      <c r="N77" s="70"/>
      <c r="O77" s="17"/>
      <c r="P77" s="1"/>
      <c r="Q77" s="891"/>
      <c r="R77" s="929">
        <f>COUNTIF(S4:S53,"&lt;0")</f>
        <v>0</v>
      </c>
      <c r="S77" s="70"/>
    </row>
    <row r="78" spans="3:19" s="85" customFormat="1" x14ac:dyDescent="0.6">
      <c r="C78" s="174"/>
      <c r="D78" s="89"/>
      <c r="E78" s="174"/>
      <c r="H78" s="526"/>
      <c r="I78" s="156"/>
      <c r="J78" s="156"/>
      <c r="K78" s="156"/>
      <c r="L78" s="156"/>
      <c r="M78" s="156"/>
      <c r="N78" s="70"/>
      <c r="O78" s="17"/>
      <c r="P78" s="17"/>
      <c r="Q78" s="891"/>
      <c r="R78" s="1"/>
      <c r="S78" s="70"/>
    </row>
    <row r="79" spans="3:19" s="85" customFormat="1" x14ac:dyDescent="0.6">
      <c r="C79" s="174"/>
      <c r="D79" s="89"/>
      <c r="E79" s="174"/>
      <c r="H79" s="526"/>
      <c r="I79" s="156"/>
      <c r="J79" s="156"/>
      <c r="K79" s="156"/>
      <c r="L79" s="156"/>
      <c r="M79" s="156"/>
      <c r="N79" s="70"/>
      <c r="O79" s="17"/>
      <c r="P79" s="17"/>
      <c r="Q79" s="891"/>
      <c r="R79" s="1"/>
      <c r="S79" s="70"/>
    </row>
    <row r="80" spans="3:19" s="1" customFormat="1" x14ac:dyDescent="0.6">
      <c r="C80" s="96"/>
      <c r="D80" s="55"/>
      <c r="E80" s="96"/>
      <c r="F80" s="13"/>
      <c r="G80" s="13"/>
      <c r="H80" s="1441"/>
      <c r="I80" s="360"/>
      <c r="J80" s="360"/>
      <c r="K80" s="54"/>
      <c r="L80" s="54"/>
      <c r="M80" s="54"/>
      <c r="N80" s="17"/>
      <c r="O80" s="70"/>
      <c r="P80" s="17"/>
      <c r="S80" s="17"/>
    </row>
    <row r="81" spans="3:19" s="1" customFormat="1" x14ac:dyDescent="0.6">
      <c r="C81" s="96"/>
      <c r="D81" s="55"/>
      <c r="E81" s="96"/>
      <c r="F81" s="13"/>
      <c r="G81" s="13"/>
      <c r="H81" s="1441"/>
      <c r="I81" s="360"/>
      <c r="J81" s="360"/>
      <c r="S81" s="17"/>
    </row>
    <row r="82" spans="3:19" s="1" customFormat="1" x14ac:dyDescent="0.6">
      <c r="C82" s="174"/>
      <c r="D82" s="89"/>
      <c r="E82" s="174"/>
      <c r="F82" s="21"/>
      <c r="G82" s="21"/>
      <c r="H82" s="1445"/>
      <c r="I82" s="54"/>
      <c r="J82" s="54"/>
      <c r="S82" s="17"/>
    </row>
    <row r="83" spans="3:19" s="1" customFormat="1" x14ac:dyDescent="0.6">
      <c r="C83" s="96"/>
      <c r="D83" s="55"/>
      <c r="E83" s="96"/>
      <c r="F83" s="13"/>
      <c r="G83" s="13"/>
      <c r="H83" s="1441"/>
      <c r="I83" s="54"/>
      <c r="J83" s="54"/>
      <c r="S83" s="17"/>
    </row>
    <row r="84" spans="3:19" s="1" customFormat="1" x14ac:dyDescent="0.6">
      <c r="C84" s="96"/>
      <c r="D84" s="55"/>
      <c r="E84" s="96"/>
      <c r="F84" s="13"/>
      <c r="G84" s="13"/>
      <c r="H84" s="1441"/>
      <c r="I84" s="54"/>
      <c r="J84" s="54"/>
      <c r="S84" s="17"/>
    </row>
    <row r="85" spans="3:19" s="1" customFormat="1" x14ac:dyDescent="0.6">
      <c r="C85" s="96"/>
      <c r="D85" s="55"/>
      <c r="E85" s="96"/>
      <c r="F85" s="13"/>
      <c r="G85" s="13"/>
      <c r="H85" s="1441"/>
      <c r="I85" s="54"/>
      <c r="J85" s="54"/>
      <c r="S85" s="17"/>
    </row>
    <row r="86" spans="3:19" s="1" customFormat="1" x14ac:dyDescent="0.6">
      <c r="C86" s="96"/>
      <c r="D86" s="55"/>
      <c r="E86" s="96"/>
      <c r="F86" s="13"/>
      <c r="G86" s="13"/>
      <c r="H86" s="1441"/>
      <c r="I86" s="54"/>
      <c r="J86" s="54"/>
      <c r="S86" s="17"/>
    </row>
    <row r="87" spans="3:19" s="1" customFormat="1" x14ac:dyDescent="0.6">
      <c r="C87" s="96"/>
      <c r="D87" s="55"/>
      <c r="E87" s="96"/>
      <c r="F87" s="13"/>
      <c r="G87" s="13"/>
      <c r="H87" s="1441"/>
      <c r="I87" s="54"/>
      <c r="J87" s="54"/>
      <c r="S87" s="17"/>
    </row>
    <row r="88" spans="3:19" s="1" customFormat="1" x14ac:dyDescent="0.6">
      <c r="C88" s="96"/>
      <c r="D88" s="55"/>
      <c r="E88" s="96"/>
      <c r="F88" s="13"/>
      <c r="G88" s="13"/>
      <c r="H88" s="1441"/>
      <c r="I88" s="54"/>
      <c r="J88" s="54"/>
      <c r="S88" s="17"/>
    </row>
    <row r="89" spans="3:19" s="1" customFormat="1" x14ac:dyDescent="0.6">
      <c r="C89" s="96"/>
      <c r="D89" s="55"/>
      <c r="E89" s="96"/>
      <c r="F89" s="13"/>
      <c r="G89" s="13"/>
      <c r="H89" s="1441"/>
      <c r="I89" s="54"/>
      <c r="J89" s="54"/>
      <c r="S89" s="17"/>
    </row>
    <row r="90" spans="3:19" s="1" customFormat="1" x14ac:dyDescent="0.6">
      <c r="C90" s="96"/>
      <c r="D90" s="55"/>
      <c r="E90" s="96"/>
      <c r="F90" s="13"/>
      <c r="G90" s="13"/>
      <c r="H90" s="1441"/>
      <c r="I90" s="54"/>
      <c r="J90" s="54"/>
      <c r="S90" s="17"/>
    </row>
    <row r="91" spans="3:19" s="1" customFormat="1" x14ac:dyDescent="0.6">
      <c r="C91" s="96"/>
      <c r="D91" s="55"/>
      <c r="E91" s="96"/>
      <c r="F91" s="13"/>
      <c r="G91" s="13"/>
      <c r="H91" s="1441"/>
      <c r="I91" s="54"/>
      <c r="J91" s="54"/>
      <c r="S91" s="17"/>
    </row>
    <row r="92" spans="3:19" s="1" customFormat="1" x14ac:dyDescent="0.6">
      <c r="C92" s="96"/>
      <c r="D92" s="55"/>
      <c r="E92" s="96"/>
      <c r="F92" s="13"/>
      <c r="G92" s="13"/>
      <c r="H92" s="1441"/>
      <c r="I92" s="54"/>
      <c r="J92" s="54"/>
      <c r="S92" s="17"/>
    </row>
    <row r="93" spans="3:19" s="1" customFormat="1" x14ac:dyDescent="0.6">
      <c r="C93" s="96"/>
      <c r="D93" s="55"/>
      <c r="E93" s="96"/>
      <c r="F93" s="13"/>
      <c r="G93" s="13"/>
      <c r="H93" s="1441"/>
      <c r="I93" s="54"/>
      <c r="J93" s="54"/>
      <c r="S93" s="17"/>
    </row>
    <row r="94" spans="3:19" s="1" customFormat="1" x14ac:dyDescent="0.6">
      <c r="C94" s="96"/>
      <c r="D94" s="55"/>
      <c r="E94" s="96"/>
      <c r="F94" s="13"/>
      <c r="G94" s="13"/>
      <c r="H94" s="1441"/>
      <c r="I94" s="54"/>
      <c r="J94" s="54"/>
      <c r="S94" s="17"/>
    </row>
    <row r="95" spans="3:19" s="1" customFormat="1" x14ac:dyDescent="0.6">
      <c r="C95" s="96"/>
      <c r="D95" s="55"/>
      <c r="E95" s="96"/>
      <c r="F95" s="13"/>
      <c r="G95" s="13"/>
      <c r="H95" s="1441"/>
      <c r="I95" s="54"/>
      <c r="J95" s="54"/>
      <c r="S95" s="17"/>
    </row>
    <row r="96" spans="3:19" s="1" customFormat="1" x14ac:dyDescent="0.6">
      <c r="C96" s="96"/>
      <c r="D96" s="55"/>
      <c r="E96" s="96"/>
      <c r="F96" s="13"/>
      <c r="G96" s="13"/>
      <c r="H96" s="1441"/>
      <c r="I96" s="54"/>
      <c r="J96" s="54"/>
      <c r="S96" s="17"/>
    </row>
    <row r="97" spans="3:19" s="1" customFormat="1" x14ac:dyDescent="0.6">
      <c r="C97" s="96"/>
      <c r="D97" s="55"/>
      <c r="E97" s="96"/>
      <c r="F97" s="13"/>
      <c r="G97" s="13"/>
      <c r="H97" s="1441"/>
      <c r="S97" s="17"/>
    </row>
    <row r="98" spans="3:19" s="1" customFormat="1" x14ac:dyDescent="0.6">
      <c r="C98" s="96"/>
      <c r="D98" s="55"/>
      <c r="E98" s="96"/>
      <c r="F98" s="13"/>
      <c r="G98" s="13"/>
      <c r="H98" s="1441"/>
      <c r="S98" s="17"/>
    </row>
    <row r="99" spans="3:19" s="1" customFormat="1" x14ac:dyDescent="0.6">
      <c r="C99" s="174"/>
      <c r="D99" s="89"/>
      <c r="E99" s="174"/>
      <c r="F99" s="21"/>
      <c r="G99" s="21"/>
      <c r="H99" s="1445"/>
      <c r="S99" s="17"/>
    </row>
    <row r="100" spans="3:19" s="1" customFormat="1" x14ac:dyDescent="0.6">
      <c r="C100" s="96"/>
      <c r="D100" s="55"/>
      <c r="E100" s="96"/>
      <c r="F100" s="13"/>
      <c r="G100" s="13"/>
      <c r="H100" s="1441"/>
      <c r="S100" s="17"/>
    </row>
    <row r="101" spans="3:19" s="1" customFormat="1" x14ac:dyDescent="0.6">
      <c r="C101" s="174"/>
      <c r="D101" s="89"/>
      <c r="E101" s="174"/>
      <c r="F101" s="21"/>
      <c r="G101" s="21"/>
      <c r="H101" s="1445"/>
      <c r="S101" s="17"/>
    </row>
    <row r="102" spans="3:19" s="1" customFormat="1" x14ac:dyDescent="0.6">
      <c r="C102" s="96"/>
      <c r="D102" s="55"/>
      <c r="E102" s="96"/>
      <c r="F102" s="13"/>
      <c r="G102" s="13"/>
      <c r="H102" s="1441"/>
      <c r="S102" s="17"/>
    </row>
    <row r="103" spans="3:19" s="1" customFormat="1" x14ac:dyDescent="0.6">
      <c r="C103" s="96"/>
      <c r="D103" s="55"/>
      <c r="E103" s="96"/>
      <c r="F103" s="13"/>
      <c r="G103" s="13"/>
      <c r="H103" s="1441"/>
      <c r="S103" s="17"/>
    </row>
    <row r="104" spans="3:19" s="1" customFormat="1" x14ac:dyDescent="0.6">
      <c r="C104" s="96"/>
      <c r="D104" s="55"/>
      <c r="E104" s="96"/>
      <c r="F104" s="13"/>
      <c r="G104" s="13"/>
      <c r="H104" s="1441"/>
      <c r="S104" s="17"/>
    </row>
    <row r="105" spans="3:19" s="1" customFormat="1" x14ac:dyDescent="0.6">
      <c r="C105" s="96"/>
      <c r="D105" s="55"/>
      <c r="E105" s="96"/>
      <c r="F105" s="13"/>
      <c r="G105" s="13"/>
      <c r="H105" s="1441"/>
      <c r="S105" s="17"/>
    </row>
    <row r="106" spans="3:19" s="1" customFormat="1" x14ac:dyDescent="0.6">
      <c r="C106" s="96"/>
      <c r="D106" s="55"/>
      <c r="E106" s="96"/>
      <c r="F106" s="13"/>
      <c r="G106" s="13"/>
      <c r="H106" s="1441"/>
      <c r="S106" s="17"/>
    </row>
    <row r="107" spans="3:19" s="1" customFormat="1" x14ac:dyDescent="0.6">
      <c r="C107" s="174"/>
      <c r="D107" s="89"/>
      <c r="E107" s="174"/>
      <c r="F107" s="21"/>
      <c r="G107" s="21"/>
      <c r="H107" s="1445"/>
      <c r="S107" s="17"/>
    </row>
    <row r="108" spans="3:19" s="1" customFormat="1" x14ac:dyDescent="0.6">
      <c r="C108" s="96"/>
      <c r="D108" s="55"/>
      <c r="E108" s="96"/>
      <c r="F108" s="13"/>
      <c r="G108" s="13"/>
      <c r="H108" s="1441"/>
      <c r="S108" s="17"/>
    </row>
    <row r="109" spans="3:19" s="1" customFormat="1" x14ac:dyDescent="0.6">
      <c r="C109" s="96"/>
      <c r="D109" s="55"/>
      <c r="E109" s="96"/>
      <c r="F109" s="13"/>
      <c r="G109" s="13"/>
      <c r="H109" s="1441"/>
      <c r="S109" s="17"/>
    </row>
    <row r="110" spans="3:19" s="1" customFormat="1" x14ac:dyDescent="0.6">
      <c r="C110" s="96"/>
      <c r="D110" s="55"/>
      <c r="E110" s="96"/>
      <c r="F110" s="13"/>
      <c r="G110" s="13"/>
      <c r="H110" s="1441"/>
      <c r="S110" s="17"/>
    </row>
    <row r="111" spans="3:19" s="1" customFormat="1" x14ac:dyDescent="0.6">
      <c r="C111" s="174"/>
      <c r="D111" s="89"/>
      <c r="E111" s="174"/>
      <c r="F111" s="21"/>
      <c r="G111" s="21"/>
      <c r="H111" s="1445"/>
      <c r="S111" s="17"/>
    </row>
    <row r="112" spans="3:19" s="1" customFormat="1" x14ac:dyDescent="0.6">
      <c r="C112" s="96"/>
      <c r="D112" s="55"/>
      <c r="E112" s="96"/>
      <c r="F112" s="13"/>
      <c r="G112" s="13"/>
      <c r="H112" s="1441"/>
      <c r="S112" s="17"/>
    </row>
    <row r="113" spans="3:19" s="1" customFormat="1" x14ac:dyDescent="0.6">
      <c r="C113" s="96"/>
      <c r="D113" s="55"/>
      <c r="E113" s="96"/>
      <c r="F113" s="13"/>
      <c r="G113" s="13"/>
      <c r="H113" s="1441"/>
      <c r="S113" s="17"/>
    </row>
    <row r="114" spans="3:19" s="1" customFormat="1" x14ac:dyDescent="0.6">
      <c r="C114" s="96"/>
      <c r="D114" s="55"/>
      <c r="E114" s="96"/>
      <c r="F114" s="13"/>
      <c r="G114" s="13"/>
      <c r="H114" s="1441"/>
      <c r="S114" s="17"/>
    </row>
    <row r="115" spans="3:19" s="1" customFormat="1" x14ac:dyDescent="0.6">
      <c r="C115" s="96"/>
      <c r="D115" s="55"/>
      <c r="E115" s="96"/>
      <c r="F115" s="13"/>
      <c r="G115" s="13"/>
      <c r="H115" s="1441"/>
      <c r="S115" s="17"/>
    </row>
    <row r="116" spans="3:19" s="1" customFormat="1" x14ac:dyDescent="0.6">
      <c r="C116" s="96"/>
      <c r="D116" s="55"/>
      <c r="E116" s="96"/>
      <c r="F116" s="13"/>
      <c r="G116" s="13"/>
      <c r="H116" s="1441"/>
      <c r="S116" s="17"/>
    </row>
    <row r="117" spans="3:19" s="1" customFormat="1" x14ac:dyDescent="0.6">
      <c r="C117" s="174"/>
      <c r="D117" s="89"/>
      <c r="E117" s="174"/>
      <c r="F117" s="21"/>
      <c r="G117" s="21"/>
      <c r="H117" s="1445"/>
      <c r="S117" s="17"/>
    </row>
    <row r="118" spans="3:19" s="1" customFormat="1" x14ac:dyDescent="0.6">
      <c r="C118" s="96"/>
      <c r="D118" s="55"/>
      <c r="E118" s="96"/>
      <c r="F118" s="13"/>
      <c r="G118" s="13"/>
      <c r="H118" s="1441"/>
      <c r="S118" s="17"/>
    </row>
    <row r="119" spans="3:19" s="1" customFormat="1" x14ac:dyDescent="0.6">
      <c r="C119" s="96"/>
      <c r="D119" s="55"/>
      <c r="E119" s="96"/>
      <c r="F119" s="13"/>
      <c r="G119" s="13"/>
      <c r="H119" s="1441"/>
      <c r="S119" s="17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8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2.84765625" style="1" customWidth="1"/>
    <col min="3" max="3" width="11.59765625" style="21" bestFit="1" customWidth="1"/>
    <col min="4" max="6" width="11.59765625" style="21" customWidth="1"/>
    <col min="7" max="7" width="16.84765625" style="88" customWidth="1"/>
    <col min="8" max="8" width="11.84765625" style="21" customWidth="1"/>
    <col min="9" max="9" width="8.09765625" style="28" customWidth="1"/>
    <col min="10" max="10" width="10.59765625" style="13" customWidth="1"/>
    <col min="11" max="11" width="17.34765625" style="13" customWidth="1"/>
    <col min="12" max="12" width="13.34765625" style="55" customWidth="1"/>
    <col min="13" max="13" width="8.59765625" style="5" customWidth="1"/>
    <col min="14" max="14" width="11.5" style="85" customWidth="1"/>
    <col min="15" max="15" width="11.09765625" style="506" customWidth="1"/>
    <col min="16" max="16" width="16" style="271" bestFit="1" customWidth="1"/>
    <col min="17" max="17" width="10" style="416" customWidth="1"/>
    <col min="18" max="18" width="9.34765625" style="506" customWidth="1"/>
    <col min="19" max="19" width="9.5" style="28" customWidth="1"/>
    <col min="20" max="20" width="9.5" style="330" customWidth="1"/>
    <col min="21" max="22" width="9.5" style="10" customWidth="1"/>
    <col min="23" max="23" width="16.5" style="17" customWidth="1"/>
    <col min="24" max="24" width="9.5" style="271" customWidth="1"/>
    <col min="25" max="25" width="15" style="271" bestFit="1" customWidth="1"/>
    <col min="26" max="26" width="12.34765625" style="10" customWidth="1"/>
    <col min="27" max="27" width="15" style="70" customWidth="1"/>
    <col min="28" max="28" width="14" style="53" customWidth="1"/>
    <col min="29" max="29" width="14.09765625" style="53" customWidth="1"/>
    <col min="30" max="30" width="19.84765625" style="527" customWidth="1"/>
    <col min="31" max="31" width="10.59765625" style="10" bestFit="1" customWidth="1"/>
    <col min="32" max="32" width="18.5" style="17" bestFit="1" customWidth="1"/>
    <col min="33" max="33" width="18.5" bestFit="1" customWidth="1"/>
    <col min="34" max="16384" width="10.84765625" style="1"/>
  </cols>
  <sheetData>
    <row r="1" spans="1:33" x14ac:dyDescent="0.6">
      <c r="A1" s="24" t="s">
        <v>130</v>
      </c>
      <c r="C1" s="496">
        <v>2015</v>
      </c>
      <c r="J1" s="81"/>
      <c r="K1" s="14" t="s">
        <v>131</v>
      </c>
      <c r="L1" s="64"/>
      <c r="AD1" s="415"/>
      <c r="AG1" s="1"/>
    </row>
    <row r="2" spans="1:33" s="2" customFormat="1" x14ac:dyDescent="0.6">
      <c r="C2" s="64" t="s">
        <v>42</v>
      </c>
      <c r="D2" s="64"/>
      <c r="E2" s="64"/>
      <c r="F2" s="64"/>
      <c r="G2" s="492" t="s">
        <v>123</v>
      </c>
      <c r="H2" s="501"/>
      <c r="I2" s="71"/>
      <c r="J2" s="14" t="s">
        <v>128</v>
      </c>
      <c r="K2" s="14" t="s">
        <v>597</v>
      </c>
      <c r="L2" s="56"/>
      <c r="M2" s="6" t="s">
        <v>124</v>
      </c>
      <c r="N2" s="508" t="s">
        <v>638</v>
      </c>
      <c r="O2" s="508" t="s">
        <v>638</v>
      </c>
      <c r="P2" s="272" t="s">
        <v>42</v>
      </c>
      <c r="Q2" s="507" t="s">
        <v>627</v>
      </c>
      <c r="R2" s="508" t="s">
        <v>627</v>
      </c>
      <c r="S2" s="71" t="s">
        <v>194</v>
      </c>
      <c r="T2" s="497" t="s">
        <v>194</v>
      </c>
      <c r="U2" s="11" t="s">
        <v>194</v>
      </c>
      <c r="V2" s="11" t="s">
        <v>650</v>
      </c>
      <c r="W2" s="18" t="s">
        <v>397</v>
      </c>
      <c r="X2" s="272" t="s">
        <v>881</v>
      </c>
      <c r="Y2" s="272" t="s">
        <v>1747</v>
      </c>
      <c r="Z2" s="11" t="s">
        <v>1623</v>
      </c>
      <c r="AA2" s="114"/>
      <c r="AB2" s="114" t="s">
        <v>123</v>
      </c>
      <c r="AC2" s="114" t="s">
        <v>42</v>
      </c>
      <c r="AD2" s="528"/>
      <c r="AE2" s="11" t="s">
        <v>645</v>
      </c>
      <c r="AF2" s="18"/>
    </row>
    <row r="3" spans="1:33" s="2" customFormat="1" x14ac:dyDescent="0.6">
      <c r="C3" s="64" t="s">
        <v>132</v>
      </c>
      <c r="D3" s="64" t="s">
        <v>131</v>
      </c>
      <c r="E3" s="64" t="s">
        <v>196</v>
      </c>
      <c r="F3" s="64" t="s">
        <v>100</v>
      </c>
      <c r="G3" s="492" t="s">
        <v>133</v>
      </c>
      <c r="H3" s="64" t="s">
        <v>134</v>
      </c>
      <c r="I3" s="71" t="s">
        <v>135</v>
      </c>
      <c r="J3" s="14" t="s">
        <v>682</v>
      </c>
      <c r="K3" s="14" t="s">
        <v>128</v>
      </c>
      <c r="L3" s="56" t="s">
        <v>41</v>
      </c>
      <c r="M3" s="6" t="s">
        <v>674</v>
      </c>
      <c r="N3" s="508" t="s">
        <v>648</v>
      </c>
      <c r="O3" s="508" t="s">
        <v>639</v>
      </c>
      <c r="P3" s="272" t="s">
        <v>1684</v>
      </c>
      <c r="Q3" s="507" t="s">
        <v>683</v>
      </c>
      <c r="R3" s="508" t="s">
        <v>606</v>
      </c>
      <c r="S3" s="71" t="s">
        <v>84</v>
      </c>
      <c r="T3" s="497" t="s">
        <v>651</v>
      </c>
      <c r="U3" s="11" t="s">
        <v>652</v>
      </c>
      <c r="V3" s="11" t="s">
        <v>403</v>
      </c>
      <c r="W3" s="18" t="s">
        <v>85</v>
      </c>
      <c r="X3" s="272" t="s">
        <v>79</v>
      </c>
      <c r="Y3" s="272" t="s">
        <v>85</v>
      </c>
      <c r="Z3" s="11" t="s">
        <v>198</v>
      </c>
      <c r="AA3" s="114" t="s">
        <v>602</v>
      </c>
      <c r="AB3" s="114" t="s">
        <v>76</v>
      </c>
      <c r="AC3" s="114" t="s">
        <v>77</v>
      </c>
      <c r="AD3" s="528" t="s">
        <v>34</v>
      </c>
      <c r="AE3" s="11" t="s">
        <v>639</v>
      </c>
      <c r="AF3" s="18" t="s">
        <v>642</v>
      </c>
    </row>
    <row r="4" spans="1:33" x14ac:dyDescent="0.6">
      <c r="A4" s="61">
        <v>1</v>
      </c>
      <c r="B4" s="44" t="s">
        <v>37</v>
      </c>
      <c r="C4" s="290">
        <v>3780836</v>
      </c>
      <c r="D4" s="290">
        <v>1401616</v>
      </c>
      <c r="E4" s="290">
        <v>1359480</v>
      </c>
      <c r="F4" s="348">
        <f>C4-D4-E4</f>
        <v>1019740</v>
      </c>
      <c r="G4" s="504">
        <v>4317159</v>
      </c>
      <c r="H4" s="66">
        <f>1470997+38837+1372570</f>
        <v>2882404</v>
      </c>
      <c r="I4" s="79">
        <f>H4/G4</f>
        <v>0.66766222879444559</v>
      </c>
      <c r="J4" s="26">
        <f>Assumptions!$C$62</f>
        <v>27296</v>
      </c>
      <c r="K4" s="26">
        <f>D4*I4*J4</f>
        <v>25543762281.289093</v>
      </c>
      <c r="L4" s="399">
        <v>1</v>
      </c>
      <c r="M4" s="852">
        <f>Assumptions!$C$64</f>
        <v>3.6635404454865184E-2</v>
      </c>
      <c r="N4" s="861"/>
      <c r="O4" s="458">
        <f>'State Elec Res'!V66</f>
        <v>4.3899029615688221</v>
      </c>
      <c r="P4" s="1047">
        <f>O4*K4</f>
        <v>112134637688.24097</v>
      </c>
      <c r="Q4" s="509"/>
      <c r="R4" s="306"/>
      <c r="S4" s="361"/>
      <c r="T4" s="362"/>
      <c r="U4" s="320"/>
      <c r="V4" s="320"/>
      <c r="W4" s="847">
        <f>'State Elec Res'!V63*K4</f>
        <v>8066500994.815711</v>
      </c>
      <c r="X4" s="1460">
        <f>'State Elec Res'!V62</f>
        <v>0.24455018855407892</v>
      </c>
      <c r="Y4" s="1047">
        <f>X4*K4</f>
        <v>6246731882.2698174</v>
      </c>
      <c r="Z4" s="881">
        <f>'State Elec Res'!V64</f>
        <v>-7.1241232693387641E-2</v>
      </c>
      <c r="AA4" s="366">
        <f>Z4*K4</f>
        <v>-1819769112.5458946</v>
      </c>
      <c r="AB4" s="336"/>
      <c r="AC4" s="342">
        <f>-'OECD electricity subsidies'!C3</f>
        <v>-151121418</v>
      </c>
      <c r="AD4" s="849">
        <f>AA4+AC4</f>
        <v>-1970890530.5458946</v>
      </c>
      <c r="AE4" s="320">
        <f>'State Elec Res'!V67</f>
        <v>4.6344531501229005</v>
      </c>
      <c r="AF4" s="342">
        <f>AE4*K4+AC4</f>
        <v>118230248152.51076</v>
      </c>
      <c r="AG4" s="17"/>
    </row>
    <row r="5" spans="1:33" s="2" customFormat="1" x14ac:dyDescent="0.6">
      <c r="A5" s="46"/>
      <c r="B5" s="40" t="s">
        <v>35</v>
      </c>
      <c r="C5" s="356"/>
      <c r="D5" s="356"/>
      <c r="E5" s="356"/>
      <c r="F5" s="356"/>
      <c r="G5" s="493"/>
      <c r="H5" s="65"/>
      <c r="I5" s="79">
        <f>G5*H5</f>
        <v>0</v>
      </c>
      <c r="J5" s="31"/>
      <c r="K5" s="31"/>
      <c r="L5" s="418"/>
      <c r="M5" s="853"/>
      <c r="N5" s="862"/>
      <c r="O5" s="863"/>
      <c r="P5" s="1052"/>
      <c r="Q5" s="510"/>
      <c r="R5" s="511"/>
      <c r="S5" s="372"/>
      <c r="T5" s="498"/>
      <c r="U5" s="316"/>
      <c r="V5" s="316"/>
      <c r="W5" s="343"/>
      <c r="X5" s="1051"/>
      <c r="Y5" s="1052"/>
      <c r="Z5" s="845"/>
      <c r="AA5" s="367"/>
      <c r="AB5" s="338"/>
      <c r="AC5" s="343"/>
      <c r="AD5" s="850"/>
      <c r="AE5" s="316"/>
      <c r="AF5" s="343"/>
    </row>
    <row r="6" spans="1:33" x14ac:dyDescent="0.6">
      <c r="A6" s="46">
        <f>A4+1</f>
        <v>2</v>
      </c>
      <c r="B6" s="44" t="s">
        <v>0</v>
      </c>
      <c r="C6" s="290">
        <v>81714</v>
      </c>
      <c r="D6" s="290">
        <v>18835</v>
      </c>
      <c r="E6" s="290">
        <v>21755</v>
      </c>
      <c r="F6" s="290">
        <f t="shared" ref="F6:F63" si="0">C6-D6-E6</f>
        <v>41124</v>
      </c>
      <c r="G6" s="494">
        <v>70648</v>
      </c>
      <c r="H6" s="66">
        <f>4248+209+22816</f>
        <v>27273</v>
      </c>
      <c r="I6" s="79">
        <f t="shared" ref="I6:I63" si="1">H6/G6</f>
        <v>0.38604065224776357</v>
      </c>
      <c r="J6" s="26">
        <f>Assumptions!$C$62</f>
        <v>27296</v>
      </c>
      <c r="K6" s="26">
        <f t="shared" ref="K6:K65" si="2">D6*I6*J6</f>
        <v>198471281.90012455</v>
      </c>
      <c r="L6" s="391">
        <f>Assumptions!$H$3</f>
        <v>1.1863330000000001</v>
      </c>
      <c r="M6" s="852">
        <f>Assumptions!$C$64</f>
        <v>3.6635404454865184E-2</v>
      </c>
      <c r="N6" s="1522">
        <v>162.80000000000001</v>
      </c>
      <c r="O6" s="458">
        <f t="shared" ref="O6:O11" si="3">N6*M6*L6</f>
        <v>7.0755792936694029</v>
      </c>
      <c r="P6" s="1047">
        <f t="shared" ref="P6:P65" si="4">O6*K6</f>
        <v>1404299292.6005442</v>
      </c>
      <c r="Q6" s="512">
        <v>19</v>
      </c>
      <c r="R6" s="306">
        <f t="shared" ref="R6" si="5">Q6*M6*L6</f>
        <v>0.82577399618991809</v>
      </c>
      <c r="S6" s="373">
        <v>0.21</v>
      </c>
      <c r="T6" s="499">
        <f>S6*O6</f>
        <v>1.4858716516705746</v>
      </c>
      <c r="U6" s="281">
        <f>S6*R6</f>
        <v>0.17341253919988278</v>
      </c>
      <c r="V6" s="281">
        <f>T6+U6</f>
        <v>1.6592841908704574</v>
      </c>
      <c r="W6" s="342">
        <f t="shared" ref="W6:W39" si="6">T6*K6</f>
        <v>294902851.4461143</v>
      </c>
      <c r="X6" s="1053">
        <f t="shared" ref="X6:X41" si="7">R6+V6</f>
        <v>2.4850581870603756</v>
      </c>
      <c r="Y6" s="1047">
        <f t="shared" ref="Y6:Y26" si="8">X6*K6</f>
        <v>493212683.98227227</v>
      </c>
      <c r="Z6" s="535">
        <f>U6+R6</f>
        <v>0.99918653538980085</v>
      </c>
      <c r="AA6" s="366">
        <f>Z6*K6</f>
        <v>198309832.53615794</v>
      </c>
      <c r="AB6" s="336">
        <f>-'OECD electricity subsidies'!C14</f>
        <v>-71769668</v>
      </c>
      <c r="AC6" s="342">
        <f>AB6*L6</f>
        <v>-85142725.547444001</v>
      </c>
      <c r="AD6" s="849">
        <f t="shared" ref="AD6:AD26" si="9">AA6+AC6</f>
        <v>113167106.98871394</v>
      </c>
      <c r="AE6" s="281">
        <f t="shared" ref="AE6:AE26" si="10">(O6+R6)*(1+S6)</f>
        <v>9.5606374807297776</v>
      </c>
      <c r="AF6" s="342">
        <f>AE6*K6+AC6</f>
        <v>1812369251.0353723</v>
      </c>
      <c r="AG6" s="17"/>
    </row>
    <row r="7" spans="1:33" x14ac:dyDescent="0.6">
      <c r="A7" s="46">
        <f>A6+1</f>
        <v>3</v>
      </c>
      <c r="B7" s="44" t="s">
        <v>1</v>
      </c>
      <c r="C7" s="290">
        <v>54474</v>
      </c>
      <c r="D7" s="290">
        <v>14382</v>
      </c>
      <c r="E7" s="290">
        <v>14875</v>
      </c>
      <c r="F7" s="290">
        <f t="shared" si="0"/>
        <v>25217</v>
      </c>
      <c r="G7" s="494">
        <v>83892</v>
      </c>
      <c r="H7" s="66">
        <f>43837+94+2264</f>
        <v>46195</v>
      </c>
      <c r="I7" s="79">
        <f t="shared" si="1"/>
        <v>0.55064845277261243</v>
      </c>
      <c r="J7" s="26">
        <f>Assumptions!$C$62</f>
        <v>27296</v>
      </c>
      <c r="K7" s="26">
        <f t="shared" si="2"/>
        <v>216168653.40008584</v>
      </c>
      <c r="L7" s="391">
        <f>Assumptions!$H$15</f>
        <v>4.5997000000000003E-2</v>
      </c>
      <c r="M7" s="852">
        <f>Assumptions!$C$64</f>
        <v>3.6635404454865184E-2</v>
      </c>
      <c r="N7" s="1520">
        <v>2949</v>
      </c>
      <c r="O7" s="458">
        <f t="shared" si="3"/>
        <v>4.9694150424970696</v>
      </c>
      <c r="P7" s="1047">
        <f t="shared" si="4"/>
        <v>1074231757.9227219</v>
      </c>
      <c r="Q7" s="859">
        <v>30</v>
      </c>
      <c r="R7" s="306">
        <f t="shared" ref="R7:R26" si="11">Q7*M7*L7</f>
        <v>5.0553560961313027E-2</v>
      </c>
      <c r="S7" s="373">
        <v>0.21</v>
      </c>
      <c r="T7" s="499">
        <f t="shared" ref="T7:T39" si="12">S7*O7</f>
        <v>1.0435771589243845</v>
      </c>
      <c r="U7" s="281">
        <f t="shared" ref="U7:U39" si="13">S7*R7</f>
        <v>1.0616247801875735E-2</v>
      </c>
      <c r="V7" s="281">
        <f t="shared" ref="V7:V39" si="14">T7+U7</f>
        <v>1.0541934067262602</v>
      </c>
      <c r="W7" s="342">
        <f t="shared" si="6"/>
        <v>225588669.16377157</v>
      </c>
      <c r="X7" s="1053">
        <f t="shared" si="7"/>
        <v>1.1047469676875732</v>
      </c>
      <c r="Y7" s="1047">
        <f t="shared" si="8"/>
        <v>238811664.35285082</v>
      </c>
      <c r="Z7" s="535">
        <f t="shared" ref="Z7:Z39" si="15">U7+R7</f>
        <v>6.1169808763188761E-2</v>
      </c>
      <c r="AA7" s="366">
        <f t="shared" ref="AA7:AA39" si="16">Z7*K7</f>
        <v>13222995.189079285</v>
      </c>
      <c r="AB7" s="336">
        <f>-'OECD electricity subsidies'!C19</f>
        <v>0</v>
      </c>
      <c r="AC7" s="342">
        <f t="shared" ref="AC7:AC39" si="17">AB7*L7</f>
        <v>0</v>
      </c>
      <c r="AD7" s="849">
        <f t="shared" si="9"/>
        <v>13222995.189079285</v>
      </c>
      <c r="AE7" s="281">
        <f t="shared" si="10"/>
        <v>6.0741620101846427</v>
      </c>
      <c r="AF7" s="342">
        <f t="shared" ref="AF7:AF65" si="18">AE7*K7+AC7</f>
        <v>1313043422.2755728</v>
      </c>
      <c r="AG7" s="1"/>
    </row>
    <row r="8" spans="1:33" x14ac:dyDescent="0.6">
      <c r="A8" s="46">
        <f t="shared" ref="A8:A26" si="19">A7+1</f>
        <v>4</v>
      </c>
      <c r="B8" s="44" t="s">
        <v>2</v>
      </c>
      <c r="C8" s="290">
        <v>30700</v>
      </c>
      <c r="D8" s="290">
        <v>10177</v>
      </c>
      <c r="E8" s="290">
        <v>9945</v>
      </c>
      <c r="F8" s="290">
        <f t="shared" si="0"/>
        <v>10578</v>
      </c>
      <c r="G8" s="494">
        <v>28947</v>
      </c>
      <c r="H8" s="66">
        <f>7105+313+1816</f>
        <v>9234</v>
      </c>
      <c r="I8" s="79">
        <f t="shared" si="1"/>
        <v>0.3189967872318375</v>
      </c>
      <c r="J8" s="26">
        <f>Assumptions!$C$62</f>
        <v>27296</v>
      </c>
      <c r="K8" s="26">
        <f t="shared" si="2"/>
        <v>88614561.568659961</v>
      </c>
      <c r="L8" s="391">
        <f>Assumptions!$H$16</f>
        <v>0.15934999999999999</v>
      </c>
      <c r="M8" s="852">
        <f>Assumptions!$C$64</f>
        <v>3.6635404454865184E-2</v>
      </c>
      <c r="N8" s="1521">
        <v>958</v>
      </c>
      <c r="O8" s="458">
        <f t="shared" si="3"/>
        <v>5.5926619284876908</v>
      </c>
      <c r="P8" s="1047">
        <f t="shared" si="4"/>
        <v>495591284.79467303</v>
      </c>
      <c r="Q8" s="857">
        <v>878</v>
      </c>
      <c r="R8" s="306">
        <f t="shared" si="11"/>
        <v>5.1256337924970685</v>
      </c>
      <c r="S8" s="373">
        <v>0.25</v>
      </c>
      <c r="T8" s="499">
        <f t="shared" si="12"/>
        <v>1.3981654821219227</v>
      </c>
      <c r="U8" s="281">
        <f t="shared" si="13"/>
        <v>1.2814084481242671</v>
      </c>
      <c r="V8" s="281">
        <f t="shared" si="14"/>
        <v>2.6795739302461898</v>
      </c>
      <c r="W8" s="342">
        <f t="shared" si="6"/>
        <v>123897821.19866826</v>
      </c>
      <c r="X8" s="1053">
        <f t="shared" si="7"/>
        <v>7.8052077227432584</v>
      </c>
      <c r="Y8" s="1047">
        <f t="shared" si="8"/>
        <v>691655060.30321264</v>
      </c>
      <c r="Z8" s="535">
        <f t="shared" si="15"/>
        <v>6.4070422406213359</v>
      </c>
      <c r="AA8" s="366">
        <f t="shared" si="16"/>
        <v>567757239.1045444</v>
      </c>
      <c r="AB8" s="336">
        <f>-'OECD electricity subsidies'!C21</f>
        <v>0</v>
      </c>
      <c r="AC8" s="342">
        <f t="shared" si="17"/>
        <v>0</v>
      </c>
      <c r="AD8" s="849">
        <f t="shared" si="9"/>
        <v>567757239.1045444</v>
      </c>
      <c r="AE8" s="281">
        <f t="shared" si="10"/>
        <v>13.397869651230948</v>
      </c>
      <c r="AF8" s="342">
        <f t="shared" si="18"/>
        <v>1187246345.0978856</v>
      </c>
      <c r="AG8" s="1"/>
    </row>
    <row r="9" spans="1:33" x14ac:dyDescent="0.6">
      <c r="A9" s="46">
        <f t="shared" si="19"/>
        <v>5</v>
      </c>
      <c r="B9" s="44" t="s">
        <v>3</v>
      </c>
      <c r="C9" s="290">
        <v>514731</v>
      </c>
      <c r="D9" s="290">
        <v>128700</v>
      </c>
      <c r="E9" s="290">
        <v>149872</v>
      </c>
      <c r="F9" s="290">
        <f t="shared" si="0"/>
        <v>236159</v>
      </c>
      <c r="G9" s="494">
        <v>646888</v>
      </c>
      <c r="H9" s="66">
        <f>283710+6209+63017</f>
        <v>352936</v>
      </c>
      <c r="I9" s="79">
        <f t="shared" si="1"/>
        <v>0.54559058136802663</v>
      </c>
      <c r="J9" s="26">
        <f>Assumptions!$C$62</f>
        <v>27296</v>
      </c>
      <c r="K9" s="26">
        <f t="shared" si="2"/>
        <v>1916657093.5110872</v>
      </c>
      <c r="L9" s="391">
        <f>Assumptions!$H$3</f>
        <v>1.1863330000000001</v>
      </c>
      <c r="M9" s="852">
        <f>Assumptions!$C$64</f>
        <v>3.6635404454865184E-2</v>
      </c>
      <c r="N9" s="1522">
        <v>143.1</v>
      </c>
      <c r="O9" s="458">
        <f t="shared" si="3"/>
        <v>6.2193820449882775</v>
      </c>
      <c r="P9" s="1047">
        <f t="shared" si="4"/>
        <v>11920422713.782274</v>
      </c>
      <c r="Q9" s="512">
        <v>104.9</v>
      </c>
      <c r="R9" s="306">
        <f t="shared" si="11"/>
        <v>4.5591416947538113</v>
      </c>
      <c r="S9" s="373">
        <v>0.19</v>
      </c>
      <c r="T9" s="499">
        <f t="shared" si="12"/>
        <v>1.1816825885477726</v>
      </c>
      <c r="U9" s="281">
        <f t="shared" si="13"/>
        <v>0.86623692200322411</v>
      </c>
      <c r="V9" s="281">
        <f t="shared" si="14"/>
        <v>2.0479195105509969</v>
      </c>
      <c r="W9" s="342">
        <f t="shared" si="6"/>
        <v>2264880315.6186318</v>
      </c>
      <c r="X9" s="1053">
        <f t="shared" si="7"/>
        <v>6.6070612053048077</v>
      </c>
      <c r="Y9" s="1047">
        <f t="shared" si="8"/>
        <v>12663470726.409372</v>
      </c>
      <c r="Z9" s="535">
        <f t="shared" si="15"/>
        <v>5.425378616757035</v>
      </c>
      <c r="AA9" s="366">
        <f t="shared" si="16"/>
        <v>10398590410.790741</v>
      </c>
      <c r="AB9" s="336">
        <f>-'OECD electricity subsidies'!C23</f>
        <v>0</v>
      </c>
      <c r="AC9" s="342">
        <f t="shared" si="17"/>
        <v>0</v>
      </c>
      <c r="AD9" s="849">
        <f t="shared" si="9"/>
        <v>10398590410.790741</v>
      </c>
      <c r="AE9" s="281">
        <f t="shared" si="10"/>
        <v>12.826443250293083</v>
      </c>
      <c r="AF9" s="342">
        <f t="shared" si="18"/>
        <v>24583893440.191643</v>
      </c>
      <c r="AG9" s="1"/>
    </row>
    <row r="10" spans="1:33" x14ac:dyDescent="0.6">
      <c r="A10" s="46">
        <f t="shared" si="19"/>
        <v>6</v>
      </c>
      <c r="B10" s="44" t="s">
        <v>4</v>
      </c>
      <c r="C10" s="290">
        <v>6852</v>
      </c>
      <c r="D10" s="290">
        <v>1728</v>
      </c>
      <c r="E10" s="290">
        <v>2813</v>
      </c>
      <c r="F10" s="290">
        <f t="shared" si="0"/>
        <v>2311</v>
      </c>
      <c r="G10" s="494">
        <v>10417</v>
      </c>
      <c r="H10" s="66">
        <f>8597+128+62</f>
        <v>8787</v>
      </c>
      <c r="I10" s="79">
        <f t="shared" si="1"/>
        <v>0.84352500719976964</v>
      </c>
      <c r="J10" s="26">
        <f>Assumptions!$C$62</f>
        <v>27296</v>
      </c>
      <c r="K10" s="26">
        <f t="shared" si="2"/>
        <v>39786955.654795051</v>
      </c>
      <c r="L10" s="391">
        <f>Assumptions!$H$3</f>
        <v>1.1863330000000001</v>
      </c>
      <c r="M10" s="852">
        <f>Assumptions!$C$64</f>
        <v>3.6635404454865184E-2</v>
      </c>
      <c r="N10" s="1522">
        <v>91.1</v>
      </c>
      <c r="O10" s="458">
        <f t="shared" si="3"/>
        <v>3.9593690027842912</v>
      </c>
      <c r="P10" s="1047">
        <f t="shared" si="4"/>
        <v>157531238.93474868</v>
      </c>
      <c r="Q10" s="512">
        <v>13.4</v>
      </c>
      <c r="R10" s="306">
        <f t="shared" si="11"/>
        <v>0.58238797626025796</v>
      </c>
      <c r="S10" s="373">
        <v>0.2</v>
      </c>
      <c r="T10" s="499">
        <f t="shared" si="12"/>
        <v>0.7918738005568583</v>
      </c>
      <c r="U10" s="281">
        <f t="shared" si="13"/>
        <v>0.11647759525205159</v>
      </c>
      <c r="V10" s="281">
        <f t="shared" si="14"/>
        <v>0.90835139580890989</v>
      </c>
      <c r="W10" s="342">
        <f t="shared" si="6"/>
        <v>31506247.786949743</v>
      </c>
      <c r="X10" s="1053">
        <f t="shared" si="7"/>
        <v>1.490739372069168</v>
      </c>
      <c r="Y10" s="1047">
        <f t="shared" si="8"/>
        <v>59311981.289373003</v>
      </c>
      <c r="Z10" s="535">
        <f t="shared" si="15"/>
        <v>0.69886557151230955</v>
      </c>
      <c r="AA10" s="366">
        <f t="shared" si="16"/>
        <v>27805733.50242326</v>
      </c>
      <c r="AB10" s="336">
        <f>-'OECD electricity subsidies'!C25</f>
        <v>0</v>
      </c>
      <c r="AC10" s="342">
        <f t="shared" si="17"/>
        <v>0</v>
      </c>
      <c r="AD10" s="849">
        <f t="shared" si="9"/>
        <v>27805733.50242326</v>
      </c>
      <c r="AE10" s="281">
        <f t="shared" si="10"/>
        <v>5.4501083748534587</v>
      </c>
      <c r="AF10" s="342">
        <f t="shared" si="18"/>
        <v>216843220.22412169</v>
      </c>
      <c r="AG10" s="1"/>
    </row>
    <row r="11" spans="1:33" x14ac:dyDescent="0.6">
      <c r="A11" s="46">
        <f t="shared" si="19"/>
        <v>7</v>
      </c>
      <c r="B11" s="44" t="s">
        <v>5</v>
      </c>
      <c r="C11" s="290">
        <v>50787</v>
      </c>
      <c r="D11" s="290">
        <v>17538</v>
      </c>
      <c r="E11" s="290">
        <v>17926</v>
      </c>
      <c r="F11" s="290">
        <f t="shared" si="0"/>
        <v>15323</v>
      </c>
      <c r="G11" s="494">
        <v>51874</v>
      </c>
      <c r="H11" s="66">
        <f>22107+5663+9090</f>
        <v>36860</v>
      </c>
      <c r="I11" s="79">
        <f t="shared" si="1"/>
        <v>0.71056791456220847</v>
      </c>
      <c r="J11" s="26">
        <f>Assumptions!$C$62</f>
        <v>27296</v>
      </c>
      <c r="K11" s="26">
        <f t="shared" si="2"/>
        <v>340161116.57631958</v>
      </c>
      <c r="L11" s="391">
        <f>Assumptions!$H$3</f>
        <v>1.1863330000000001</v>
      </c>
      <c r="M11" s="852">
        <f>Assumptions!$C$64</f>
        <v>3.6635404454865184E-2</v>
      </c>
      <c r="N11" s="1522">
        <v>121.1</v>
      </c>
      <c r="O11" s="458">
        <f t="shared" si="3"/>
        <v>5.263222680978898</v>
      </c>
      <c r="P11" s="1047">
        <f t="shared" si="4"/>
        <v>1790343703.9515922</v>
      </c>
      <c r="Q11" s="512">
        <v>35.299999999999997</v>
      </c>
      <c r="R11" s="306">
        <f t="shared" si="11"/>
        <v>1.5342011613423214</v>
      </c>
      <c r="S11" s="373">
        <v>0.13</v>
      </c>
      <c r="T11" s="499">
        <f t="shared" si="12"/>
        <v>0.68421894852725673</v>
      </c>
      <c r="U11" s="281">
        <f t="shared" si="13"/>
        <v>0.1994461509745018</v>
      </c>
      <c r="V11" s="281">
        <f t="shared" si="14"/>
        <v>0.88366509950175853</v>
      </c>
      <c r="W11" s="342">
        <f t="shared" si="6"/>
        <v>232744681.51370698</v>
      </c>
      <c r="X11" s="1053">
        <f t="shared" si="7"/>
        <v>2.4178662608440797</v>
      </c>
      <c r="Y11" s="1047">
        <f t="shared" si="8"/>
        <v>822464087.02093291</v>
      </c>
      <c r="Z11" s="535">
        <f t="shared" si="15"/>
        <v>1.7336473123168232</v>
      </c>
      <c r="AA11" s="366">
        <f t="shared" si="16"/>
        <v>589719405.50722599</v>
      </c>
      <c r="AB11" s="336">
        <f>-'OECD electricity subsidies'!C27</f>
        <v>-48139641</v>
      </c>
      <c r="AC11" s="342">
        <f t="shared" si="17"/>
        <v>-57109644.726453006</v>
      </c>
      <c r="AD11" s="849">
        <f t="shared" si="9"/>
        <v>532609760.78077298</v>
      </c>
      <c r="AE11" s="281">
        <f t="shared" si="10"/>
        <v>7.6810889418229769</v>
      </c>
      <c r="AF11" s="342">
        <f t="shared" si="18"/>
        <v>2555698146.2460718</v>
      </c>
      <c r="AG11" s="1"/>
    </row>
    <row r="12" spans="1:33" x14ac:dyDescent="0.6">
      <c r="A12" s="46">
        <f t="shared" si="19"/>
        <v>8</v>
      </c>
      <c r="B12" s="44" t="s">
        <v>6</v>
      </c>
      <c r="C12" s="290">
        <v>232038</v>
      </c>
      <c r="D12" s="290">
        <v>70056</v>
      </c>
      <c r="E12" s="290">
        <v>72001</v>
      </c>
      <c r="F12" s="290">
        <f t="shared" si="0"/>
        <v>89981</v>
      </c>
      <c r="G12" s="494">
        <v>281020</v>
      </c>
      <c r="H12" s="66">
        <f>52676+17241+52498</f>
        <v>122415</v>
      </c>
      <c r="I12" s="79">
        <f t="shared" si="1"/>
        <v>0.43560956515550492</v>
      </c>
      <c r="J12" s="26">
        <f>Assumptions!$C$62</f>
        <v>27296</v>
      </c>
      <c r="K12" s="26">
        <f t="shared" si="2"/>
        <v>832993770.66059351</v>
      </c>
      <c r="L12" s="391">
        <f>Assumptions!$H$3</f>
        <v>1.1863330000000001</v>
      </c>
      <c r="M12" s="852">
        <f>Assumptions!$C$64</f>
        <v>3.6635404454865184E-2</v>
      </c>
      <c r="N12" s="1522"/>
      <c r="O12" s="1077">
        <f>Assumptions!C100</f>
        <v>5.0007327080890969</v>
      </c>
      <c r="P12" s="1047">
        <f t="shared" si="4"/>
        <v>4165579194.5768981</v>
      </c>
      <c r="Q12" s="512">
        <v>1</v>
      </c>
      <c r="R12" s="306">
        <f t="shared" si="11"/>
        <v>4.3461789273153584E-2</v>
      </c>
      <c r="S12" s="373">
        <v>0.21</v>
      </c>
      <c r="T12" s="499">
        <f t="shared" si="12"/>
        <v>1.0501538686987104</v>
      </c>
      <c r="U12" s="281">
        <f t="shared" si="13"/>
        <v>9.1269757473622527E-3</v>
      </c>
      <c r="V12" s="281">
        <f t="shared" si="14"/>
        <v>1.0592808444460726</v>
      </c>
      <c r="W12" s="342">
        <f t="shared" si="6"/>
        <v>874771630.8611486</v>
      </c>
      <c r="X12" s="1053">
        <f t="shared" si="7"/>
        <v>1.1027426337192261</v>
      </c>
      <c r="Y12" s="1047">
        <f t="shared" si="8"/>
        <v>918577744.52997184</v>
      </c>
      <c r="Z12" s="535">
        <f t="shared" si="15"/>
        <v>5.2588765020515835E-2</v>
      </c>
      <c r="AA12" s="366">
        <f t="shared" si="16"/>
        <v>43806113.668823406</v>
      </c>
      <c r="AB12" s="336">
        <f>-'OECD electricity subsidies'!C29</f>
        <v>-335514564</v>
      </c>
      <c r="AC12" s="342">
        <f t="shared" si="17"/>
        <v>-398031999.25381202</v>
      </c>
      <c r="AD12" s="849">
        <f t="shared" si="9"/>
        <v>-354225885.58498859</v>
      </c>
      <c r="AE12" s="281">
        <f t="shared" si="10"/>
        <v>6.1034753418083225</v>
      </c>
      <c r="AF12" s="342">
        <f t="shared" si="18"/>
        <v>4686124939.8530579</v>
      </c>
      <c r="AG12" s="1"/>
    </row>
    <row r="13" spans="1:33" x14ac:dyDescent="0.6">
      <c r="A13" s="46">
        <f t="shared" si="19"/>
        <v>9</v>
      </c>
      <c r="B13" s="44" t="s">
        <v>7</v>
      </c>
      <c r="C13" s="290">
        <v>424919</v>
      </c>
      <c r="D13" s="290">
        <v>142441</v>
      </c>
      <c r="E13" s="290">
        <v>146269</v>
      </c>
      <c r="F13" s="290">
        <f t="shared" si="0"/>
        <v>136209</v>
      </c>
      <c r="G13" s="494">
        <v>568454</v>
      </c>
      <c r="H13" s="66">
        <f>12174+2156+19794</f>
        <v>34124</v>
      </c>
      <c r="I13" s="79">
        <f t="shared" si="1"/>
        <v>6.0029483476235546E-2</v>
      </c>
      <c r="J13" s="26">
        <f>Assumptions!$C$62</f>
        <v>27296</v>
      </c>
      <c r="K13" s="26">
        <f t="shared" si="2"/>
        <v>233398805.96576682</v>
      </c>
      <c r="L13" s="391">
        <f>Assumptions!$H$3</f>
        <v>1.1863330000000001</v>
      </c>
      <c r="M13" s="852">
        <f>Assumptions!$C$64</f>
        <v>3.6635404454865184E-2</v>
      </c>
      <c r="N13" s="1522">
        <v>106.45</v>
      </c>
      <c r="O13" s="458">
        <f t="shared" ref="O13:O26" si="20">N13*M13*L13</f>
        <v>4.6265074681271994</v>
      </c>
      <c r="P13" s="1047">
        <f t="shared" si="4"/>
        <v>1079821318.8525913</v>
      </c>
      <c r="Q13" s="512">
        <v>31.69</v>
      </c>
      <c r="R13" s="306">
        <f t="shared" si="11"/>
        <v>1.3773041020662371</v>
      </c>
      <c r="S13" s="373">
        <v>0.2</v>
      </c>
      <c r="T13" s="499">
        <f t="shared" si="12"/>
        <v>0.9253014936254399</v>
      </c>
      <c r="U13" s="281">
        <f t="shared" si="13"/>
        <v>0.27546082041324743</v>
      </c>
      <c r="V13" s="281">
        <f t="shared" si="14"/>
        <v>1.2007623140386874</v>
      </c>
      <c r="W13" s="342">
        <f t="shared" si="6"/>
        <v>215964263.77051827</v>
      </c>
      <c r="X13" s="1053">
        <f t="shared" si="7"/>
        <v>2.5780664161049245</v>
      </c>
      <c r="Y13" s="1047">
        <f t="shared" si="8"/>
        <v>601717623.21933317</v>
      </c>
      <c r="Z13" s="535">
        <f t="shared" si="15"/>
        <v>1.6527649224794845</v>
      </c>
      <c r="AA13" s="366">
        <f t="shared" si="16"/>
        <v>385753359.44881481</v>
      </c>
      <c r="AB13" s="336">
        <f>-'OECD electricity subsidies'!C32</f>
        <v>0</v>
      </c>
      <c r="AC13" s="342">
        <f t="shared" si="17"/>
        <v>0</v>
      </c>
      <c r="AD13" s="849">
        <f t="shared" si="9"/>
        <v>385753359.44881481</v>
      </c>
      <c r="AE13" s="281">
        <f t="shared" si="10"/>
        <v>7.204573884232123</v>
      </c>
      <c r="AF13" s="342">
        <f t="shared" si="18"/>
        <v>1681538942.0719242</v>
      </c>
      <c r="AG13" s="1"/>
    </row>
    <row r="14" spans="1:33" x14ac:dyDescent="0.6">
      <c r="A14" s="46">
        <f t="shared" si="19"/>
        <v>10</v>
      </c>
      <c r="B14" s="44" t="s">
        <v>8</v>
      </c>
      <c r="C14" s="290">
        <v>25070</v>
      </c>
      <c r="D14" s="290">
        <v>7881</v>
      </c>
      <c r="E14" s="290">
        <v>6746</v>
      </c>
      <c r="F14" s="290">
        <f t="shared" si="0"/>
        <v>10443</v>
      </c>
      <c r="G14" s="494">
        <v>23387</v>
      </c>
      <c r="H14" s="66">
        <f>7393+407+12367</f>
        <v>20167</v>
      </c>
      <c r="I14" s="79">
        <f t="shared" si="1"/>
        <v>0.8623166716551931</v>
      </c>
      <c r="J14" s="26">
        <f>Assumptions!$C$62</f>
        <v>27296</v>
      </c>
      <c r="K14" s="26">
        <f t="shared" si="2"/>
        <v>185501369.2475307</v>
      </c>
      <c r="L14" s="391">
        <f>Assumptions!$H$3</f>
        <v>1.1863330000000001</v>
      </c>
      <c r="M14" s="852">
        <f>Assumptions!$C$64</f>
        <v>3.6635404454865184E-2</v>
      </c>
      <c r="N14" s="1522">
        <v>203.3</v>
      </c>
      <c r="O14" s="458">
        <f t="shared" si="20"/>
        <v>8.8357817592321233</v>
      </c>
      <c r="P14" s="1047">
        <f t="shared" si="4"/>
        <v>1639049614.7099144</v>
      </c>
      <c r="Q14" s="512">
        <v>0</v>
      </c>
      <c r="R14" s="306">
        <f t="shared" si="11"/>
        <v>0</v>
      </c>
      <c r="S14" s="373">
        <v>0.13500000000000001</v>
      </c>
      <c r="T14" s="499">
        <f t="shared" si="12"/>
        <v>1.1928305374963368</v>
      </c>
      <c r="U14" s="281">
        <f t="shared" si="13"/>
        <v>0</v>
      </c>
      <c r="V14" s="281">
        <f t="shared" si="14"/>
        <v>1.1928305374963368</v>
      </c>
      <c r="W14" s="342">
        <f t="shared" si="6"/>
        <v>221271697.9858385</v>
      </c>
      <c r="X14" s="1053">
        <f t="shared" si="7"/>
        <v>1.1928305374963368</v>
      </c>
      <c r="Y14" s="1047">
        <f t="shared" si="8"/>
        <v>221271697.9858385</v>
      </c>
      <c r="Z14" s="535">
        <f t="shared" si="15"/>
        <v>0</v>
      </c>
      <c r="AA14" s="366">
        <f t="shared" si="16"/>
        <v>0</v>
      </c>
      <c r="AB14" s="336">
        <f>-'OECD electricity subsidies'!C39</f>
        <v>0</v>
      </c>
      <c r="AC14" s="342">
        <f t="shared" si="17"/>
        <v>0</v>
      </c>
      <c r="AD14" s="849">
        <f t="shared" si="9"/>
        <v>0</v>
      </c>
      <c r="AE14" s="281">
        <f t="shared" si="10"/>
        <v>10.028612296728459</v>
      </c>
      <c r="AF14" s="342">
        <f t="shared" si="18"/>
        <v>1860321312.6957529</v>
      </c>
      <c r="AG14" s="1"/>
    </row>
    <row r="15" spans="1:33" x14ac:dyDescent="0.6">
      <c r="A15" s="46">
        <f t="shared" si="19"/>
        <v>11</v>
      </c>
      <c r="B15" s="44" t="s">
        <v>9</v>
      </c>
      <c r="C15" s="290">
        <v>287483</v>
      </c>
      <c r="D15" s="290">
        <v>66187</v>
      </c>
      <c r="E15" s="290">
        <v>92085</v>
      </c>
      <c r="F15" s="290">
        <f t="shared" si="0"/>
        <v>129211</v>
      </c>
      <c r="G15" s="494">
        <v>282994</v>
      </c>
      <c r="H15" s="66">
        <f>45388+13384+110860</f>
        <v>169632</v>
      </c>
      <c r="I15" s="79">
        <f t="shared" si="1"/>
        <v>0.59941906895552555</v>
      </c>
      <c r="J15" s="26">
        <f>Assumptions!$C$62</f>
        <v>27296</v>
      </c>
      <c r="K15" s="26">
        <f t="shared" si="2"/>
        <v>1082934677.7333231</v>
      </c>
      <c r="L15" s="391">
        <f>Assumptions!$H$3</f>
        <v>1.1863330000000001</v>
      </c>
      <c r="M15" s="852">
        <f>Assumptions!$C$64</f>
        <v>3.6635404454865184E-2</v>
      </c>
      <c r="N15" s="1522">
        <v>138.80000000000001</v>
      </c>
      <c r="O15" s="458">
        <f t="shared" si="20"/>
        <v>6.0324963511137177</v>
      </c>
      <c r="P15" s="1047">
        <f t="shared" si="4"/>
        <v>6532799491.9207811</v>
      </c>
      <c r="Q15" s="512">
        <v>68.3</v>
      </c>
      <c r="R15" s="306">
        <f t="shared" si="11"/>
        <v>2.9684402073563896</v>
      </c>
      <c r="S15" s="373">
        <v>0.22</v>
      </c>
      <c r="T15" s="499">
        <f t="shared" si="12"/>
        <v>1.327149197245018</v>
      </c>
      <c r="U15" s="281">
        <f t="shared" si="13"/>
        <v>0.65305684561840571</v>
      </c>
      <c r="V15" s="281">
        <f t="shared" si="14"/>
        <v>1.9802060428634238</v>
      </c>
      <c r="W15" s="342">
        <f t="shared" si="6"/>
        <v>1437215888.2225721</v>
      </c>
      <c r="X15" s="1053">
        <f t="shared" si="7"/>
        <v>4.948646250219813</v>
      </c>
      <c r="Y15" s="1047">
        <f t="shared" si="8"/>
        <v>5359060632.1980114</v>
      </c>
      <c r="Z15" s="535">
        <f t="shared" si="15"/>
        <v>3.6214970529747954</v>
      </c>
      <c r="AA15" s="366">
        <f t="shared" si="16"/>
        <v>3921844743.9754395</v>
      </c>
      <c r="AB15" s="336">
        <f>-'OECD electricity subsidies'!C41</f>
        <v>-1258126303</v>
      </c>
      <c r="AC15" s="342">
        <f t="shared" si="17"/>
        <v>-1492556751.4168992</v>
      </c>
      <c r="AD15" s="849">
        <f t="shared" si="9"/>
        <v>2429287992.5585403</v>
      </c>
      <c r="AE15" s="281">
        <f t="shared" si="10"/>
        <v>10.981142601333531</v>
      </c>
      <c r="AF15" s="342">
        <f t="shared" si="18"/>
        <v>10399303372.701893</v>
      </c>
      <c r="AG15" s="1"/>
    </row>
    <row r="16" spans="1:33" x14ac:dyDescent="0.6">
      <c r="A16" s="46">
        <f t="shared" si="19"/>
        <v>12</v>
      </c>
      <c r="B16" s="44" t="s">
        <v>10</v>
      </c>
      <c r="C16" s="290">
        <v>6221</v>
      </c>
      <c r="D16" s="290">
        <v>900</v>
      </c>
      <c r="E16" s="290">
        <v>2000</v>
      </c>
      <c r="F16" s="290">
        <f t="shared" si="0"/>
        <v>3321</v>
      </c>
      <c r="G16" s="494">
        <v>2762</v>
      </c>
      <c r="H16" s="66">
        <v>834</v>
      </c>
      <c r="I16" s="79">
        <f t="shared" si="1"/>
        <v>0.30195510499637945</v>
      </c>
      <c r="J16" s="26">
        <f>Assumptions!$C$62</f>
        <v>27296</v>
      </c>
      <c r="K16" s="26">
        <f t="shared" si="2"/>
        <v>7417949.8913830556</v>
      </c>
      <c r="L16" s="391">
        <f>Assumptions!$H$3</f>
        <v>1.1863330000000001</v>
      </c>
      <c r="M16" s="852">
        <f>Assumptions!$C$64</f>
        <v>3.6635404454865184E-2</v>
      </c>
      <c r="N16" s="1522">
        <v>125.8</v>
      </c>
      <c r="O16" s="458">
        <f t="shared" si="20"/>
        <v>5.4674930905627201</v>
      </c>
      <c r="P16" s="1047">
        <f t="shared" si="4"/>
        <v>40557589.777277336</v>
      </c>
      <c r="Q16" s="512">
        <v>30.5</v>
      </c>
      <c r="R16" s="306">
        <f t="shared" si="11"/>
        <v>1.3255845728311844</v>
      </c>
      <c r="S16" s="373">
        <v>0.06</v>
      </c>
      <c r="T16" s="499">
        <f t="shared" si="12"/>
        <v>0.32804958543376322</v>
      </c>
      <c r="U16" s="281">
        <f t="shared" si="13"/>
        <v>7.9535074369871062E-2</v>
      </c>
      <c r="V16" s="281">
        <f t="shared" si="14"/>
        <v>0.40758465980363429</v>
      </c>
      <c r="W16" s="342">
        <f t="shared" si="6"/>
        <v>2433455.3866366404</v>
      </c>
      <c r="X16" s="1053">
        <f t="shared" si="7"/>
        <v>1.7331692326348187</v>
      </c>
      <c r="Y16" s="1047">
        <f t="shared" si="8"/>
        <v>12856562.520971907</v>
      </c>
      <c r="Z16" s="535">
        <f t="shared" si="15"/>
        <v>1.4051196472010554</v>
      </c>
      <c r="AA16" s="366">
        <f t="shared" si="16"/>
        <v>10423107.134335266</v>
      </c>
      <c r="AB16" s="336">
        <f>-'OECD electricity subsidies'!C49</f>
        <v>0</v>
      </c>
      <c r="AC16" s="342">
        <f t="shared" si="17"/>
        <v>0</v>
      </c>
      <c r="AD16" s="849">
        <f t="shared" si="9"/>
        <v>10423107.134335266</v>
      </c>
      <c r="AE16" s="281">
        <f t="shared" si="10"/>
        <v>7.2006623231975393</v>
      </c>
      <c r="AF16" s="342">
        <f t="shared" si="18"/>
        <v>53414152.298249245</v>
      </c>
      <c r="AG16" s="1"/>
    </row>
    <row r="17" spans="1:33" x14ac:dyDescent="0.6">
      <c r="A17" s="46">
        <f t="shared" si="19"/>
        <v>13</v>
      </c>
      <c r="B17" s="44" t="s">
        <v>11</v>
      </c>
      <c r="C17" s="290">
        <v>36193</v>
      </c>
      <c r="D17" s="290">
        <v>10839</v>
      </c>
      <c r="E17" s="290">
        <v>7937</v>
      </c>
      <c r="F17" s="290">
        <f t="shared" si="0"/>
        <v>17417</v>
      </c>
      <c r="G17" s="494">
        <v>30342</v>
      </c>
      <c r="H17" s="66">
        <f>5908+77+5108</f>
        <v>11093</v>
      </c>
      <c r="I17" s="79">
        <f t="shared" si="1"/>
        <v>0.36559883989189901</v>
      </c>
      <c r="J17" s="26">
        <f>Assumptions!$C$62</f>
        <v>27296</v>
      </c>
      <c r="K17" s="26">
        <f t="shared" si="2"/>
        <v>108166564.13525806</v>
      </c>
      <c r="L17" s="391">
        <f>Assumptions!$H$17</f>
        <v>3.8049999999999998E-3</v>
      </c>
      <c r="M17" s="852">
        <f>Assumptions!$C$64</f>
        <v>3.6635404454865184E-2</v>
      </c>
      <c r="N17" s="388">
        <v>27693</v>
      </c>
      <c r="O17" s="458">
        <f t="shared" si="20"/>
        <v>3.8603408924384524</v>
      </c>
      <c r="P17" s="1047">
        <f t="shared" si="4"/>
        <v>417559810.72590321</v>
      </c>
      <c r="Q17" s="515">
        <v>0</v>
      </c>
      <c r="R17" s="306">
        <f t="shared" si="11"/>
        <v>0</v>
      </c>
      <c r="S17" s="373">
        <v>0.27</v>
      </c>
      <c r="T17" s="499">
        <f t="shared" si="12"/>
        <v>1.0422920409583822</v>
      </c>
      <c r="U17" s="281">
        <f t="shared" si="13"/>
        <v>0</v>
      </c>
      <c r="V17" s="281">
        <f t="shared" si="14"/>
        <v>1.0422920409583822</v>
      </c>
      <c r="W17" s="342">
        <f t="shared" si="6"/>
        <v>112741148.89599387</v>
      </c>
      <c r="X17" s="1053">
        <f t="shared" si="7"/>
        <v>1.0422920409583822</v>
      </c>
      <c r="Y17" s="1047">
        <f t="shared" si="8"/>
        <v>112741148.89599387</v>
      </c>
      <c r="Z17" s="535">
        <f t="shared" si="15"/>
        <v>0</v>
      </c>
      <c r="AA17" s="366">
        <f t="shared" si="16"/>
        <v>0</v>
      </c>
      <c r="AB17" s="336">
        <f>-'OECD electricity subsidies'!C51</f>
        <v>0</v>
      </c>
      <c r="AC17" s="342">
        <f t="shared" si="17"/>
        <v>0</v>
      </c>
      <c r="AD17" s="849">
        <f t="shared" si="9"/>
        <v>0</v>
      </c>
      <c r="AE17" s="281">
        <f t="shared" si="10"/>
        <v>4.9026329333968341</v>
      </c>
      <c r="AF17" s="342">
        <f t="shared" si="18"/>
        <v>530300959.62189704</v>
      </c>
      <c r="AG17" s="1"/>
    </row>
    <row r="18" spans="1:33" x14ac:dyDescent="0.6">
      <c r="A18" s="46">
        <f t="shared" si="19"/>
        <v>14</v>
      </c>
      <c r="B18" s="44" t="s">
        <v>12</v>
      </c>
      <c r="C18" s="290">
        <v>103112</v>
      </c>
      <c r="D18" s="290">
        <v>22682</v>
      </c>
      <c r="E18" s="290">
        <v>35752</v>
      </c>
      <c r="F18" s="290">
        <f t="shared" si="0"/>
        <v>44678</v>
      </c>
      <c r="G18" s="494">
        <v>110070</v>
      </c>
      <c r="H18" s="66">
        <f>42546+1431+46357</f>
        <v>90334</v>
      </c>
      <c r="I18" s="79">
        <f t="shared" si="1"/>
        <v>0.82069592077768694</v>
      </c>
      <c r="J18" s="26">
        <f>Assumptions!$C$62</f>
        <v>27296</v>
      </c>
      <c r="K18" s="26">
        <f t="shared" si="2"/>
        <v>508115718.99016994</v>
      </c>
      <c r="L18" s="391">
        <f>Assumptions!$H$3</f>
        <v>1.1863330000000001</v>
      </c>
      <c r="M18" s="852">
        <f>Assumptions!$C$64</f>
        <v>3.6635404454865184E-2</v>
      </c>
      <c r="N18" s="1522">
        <v>138</v>
      </c>
      <c r="O18" s="458">
        <f t="shared" si="20"/>
        <v>5.9977269196951948</v>
      </c>
      <c r="P18" s="1047">
        <f t="shared" si="4"/>
        <v>3047539326.1076212</v>
      </c>
      <c r="Q18" s="512">
        <v>14.5</v>
      </c>
      <c r="R18" s="306">
        <f t="shared" si="11"/>
        <v>0.63019594446072691</v>
      </c>
      <c r="S18" s="373">
        <v>0.21</v>
      </c>
      <c r="T18" s="499">
        <f t="shared" si="12"/>
        <v>1.2595226531359909</v>
      </c>
      <c r="U18" s="281">
        <f t="shared" si="13"/>
        <v>0.13234114833675265</v>
      </c>
      <c r="V18" s="281">
        <f t="shared" si="14"/>
        <v>1.3918638014727436</v>
      </c>
      <c r="W18" s="342">
        <f t="shared" si="6"/>
        <v>639983258.48260045</v>
      </c>
      <c r="X18" s="1053">
        <f t="shared" si="7"/>
        <v>2.0220597459334706</v>
      </c>
      <c r="Y18" s="1047">
        <f t="shared" si="8"/>
        <v>1027440341.6460658</v>
      </c>
      <c r="Z18" s="535">
        <f t="shared" si="15"/>
        <v>0.7625370927974795</v>
      </c>
      <c r="AA18" s="366">
        <f t="shared" si="16"/>
        <v>387457083.16346526</v>
      </c>
      <c r="AB18" s="336">
        <f>-'OECD electricity subsidies'!C53</f>
        <v>0</v>
      </c>
      <c r="AC18" s="342">
        <f t="shared" si="17"/>
        <v>0</v>
      </c>
      <c r="AD18" s="849">
        <f t="shared" si="9"/>
        <v>387457083.16346526</v>
      </c>
      <c r="AE18" s="281">
        <f t="shared" si="10"/>
        <v>8.0197866656286649</v>
      </c>
      <c r="AF18" s="342">
        <f t="shared" si="18"/>
        <v>4074979667.7536869</v>
      </c>
      <c r="AG18" s="1"/>
    </row>
    <row r="19" spans="1:33" x14ac:dyDescent="0.6">
      <c r="A19" s="46">
        <f t="shared" si="19"/>
        <v>15</v>
      </c>
      <c r="B19" s="44" t="s">
        <v>13</v>
      </c>
      <c r="C19" s="290">
        <v>60813</v>
      </c>
      <c r="D19" s="290">
        <v>16874</v>
      </c>
      <c r="E19" s="290">
        <v>12385</v>
      </c>
      <c r="F19" s="290">
        <f t="shared" si="0"/>
        <v>31554</v>
      </c>
      <c r="G19" s="494">
        <v>65299</v>
      </c>
      <c r="H19" s="66">
        <f>5081+861+7783</f>
        <v>13725</v>
      </c>
      <c r="I19" s="79">
        <f t="shared" si="1"/>
        <v>0.2101869860181626</v>
      </c>
      <c r="J19" s="26">
        <f>Assumptions!$C$62</f>
        <v>27296</v>
      </c>
      <c r="K19" s="26">
        <f t="shared" si="2"/>
        <v>96810592.235715702</v>
      </c>
      <c r="L19" s="391">
        <f>Assumptions!$H$3</f>
        <v>1.1863330000000001</v>
      </c>
      <c r="M19" s="852">
        <f>Assumptions!$C$64</f>
        <v>3.6635404454865184E-2</v>
      </c>
      <c r="N19" s="1522">
        <v>126.1</v>
      </c>
      <c r="O19" s="458">
        <f t="shared" si="20"/>
        <v>5.480531627344666</v>
      </c>
      <c r="P19" s="1047">
        <f t="shared" si="4"/>
        <v>530573512.60980785</v>
      </c>
      <c r="Q19" s="512">
        <v>41.3</v>
      </c>
      <c r="R19" s="306">
        <f t="shared" si="11"/>
        <v>1.7949718969812427</v>
      </c>
      <c r="S19" s="373">
        <v>0.2</v>
      </c>
      <c r="T19" s="499">
        <f t="shared" si="12"/>
        <v>1.0961063254689332</v>
      </c>
      <c r="U19" s="281">
        <f t="shared" si="13"/>
        <v>0.35899437939624856</v>
      </c>
      <c r="V19" s="281">
        <f t="shared" si="14"/>
        <v>1.4551007048651816</v>
      </c>
      <c r="W19" s="342">
        <f t="shared" si="6"/>
        <v>106114702.52196157</v>
      </c>
      <c r="X19" s="1053">
        <f t="shared" si="7"/>
        <v>3.2500726018464245</v>
      </c>
      <c r="Y19" s="1047">
        <f t="shared" si="8"/>
        <v>314641453.39382577</v>
      </c>
      <c r="Z19" s="535">
        <f t="shared" si="15"/>
        <v>2.1539662763774912</v>
      </c>
      <c r="AA19" s="366">
        <f t="shared" si="16"/>
        <v>208526750.8718642</v>
      </c>
      <c r="AB19" s="336">
        <f>-'OECD electricity subsidies'!C55</f>
        <v>0</v>
      </c>
      <c r="AC19" s="342">
        <f t="shared" si="17"/>
        <v>0</v>
      </c>
      <c r="AD19" s="849">
        <f t="shared" si="9"/>
        <v>208526750.8718642</v>
      </c>
      <c r="AE19" s="281">
        <f t="shared" si="10"/>
        <v>8.7306042291910906</v>
      </c>
      <c r="AF19" s="342">
        <f t="shared" si="18"/>
        <v>845214966.00363362</v>
      </c>
      <c r="AG19" s="1"/>
    </row>
    <row r="20" spans="1:33" x14ac:dyDescent="0.6">
      <c r="A20" s="46">
        <f t="shared" si="19"/>
        <v>16</v>
      </c>
      <c r="B20" s="44" t="s">
        <v>14</v>
      </c>
      <c r="C20" s="290">
        <v>127819</v>
      </c>
      <c r="D20" s="290">
        <v>28280</v>
      </c>
      <c r="E20" s="290">
        <v>45443</v>
      </c>
      <c r="F20" s="290">
        <f t="shared" si="0"/>
        <v>54096</v>
      </c>
      <c r="G20" s="494">
        <v>164944</v>
      </c>
      <c r="H20" s="66">
        <f>132962+2118+6387</f>
        <v>141467</v>
      </c>
      <c r="I20" s="79">
        <f t="shared" si="1"/>
        <v>0.85766684450480168</v>
      </c>
      <c r="J20" s="26">
        <f>Assumptions!$C$62</f>
        <v>27296</v>
      </c>
      <c r="K20" s="26">
        <f t="shared" si="2"/>
        <v>662059522.02541471</v>
      </c>
      <c r="L20" s="391">
        <f>Assumptions!$H$18</f>
        <v>0.28262100000000001</v>
      </c>
      <c r="M20" s="852">
        <f>Assumptions!$C$64</f>
        <v>3.6635404454865184E-2</v>
      </c>
      <c r="N20" s="1523">
        <v>485.9</v>
      </c>
      <c r="O20" s="458">
        <f t="shared" si="20"/>
        <v>5.0309768427608441</v>
      </c>
      <c r="P20" s="1047">
        <f t="shared" si="4"/>
        <v>3330806123.8391743</v>
      </c>
      <c r="Q20" s="516">
        <v>20</v>
      </c>
      <c r="R20" s="306">
        <f t="shared" si="11"/>
        <v>0.20707869284876906</v>
      </c>
      <c r="S20" s="373">
        <v>0.23</v>
      </c>
      <c r="T20" s="499">
        <f t="shared" si="12"/>
        <v>1.1571246738349943</v>
      </c>
      <c r="U20" s="281">
        <f t="shared" si="13"/>
        <v>4.7628099355216884E-2</v>
      </c>
      <c r="V20" s="281">
        <f t="shared" si="14"/>
        <v>1.2047527731902112</v>
      </c>
      <c r="W20" s="342">
        <f t="shared" si="6"/>
        <v>766085408.48301017</v>
      </c>
      <c r="X20" s="1053">
        <f t="shared" si="7"/>
        <v>1.4118314660389804</v>
      </c>
      <c r="Y20" s="1047">
        <f t="shared" si="8"/>
        <v>934716465.58620787</v>
      </c>
      <c r="Z20" s="535">
        <f t="shared" si="15"/>
        <v>0.25470679220398595</v>
      </c>
      <c r="AA20" s="366">
        <f t="shared" si="16"/>
        <v>168631057.10319757</v>
      </c>
      <c r="AB20" s="336">
        <f>-'OECD electricity subsidies'!C59</f>
        <v>0</v>
      </c>
      <c r="AC20" s="342">
        <f t="shared" si="17"/>
        <v>0</v>
      </c>
      <c r="AD20" s="849">
        <f t="shared" si="9"/>
        <v>168631057.10319757</v>
      </c>
      <c r="AE20" s="281">
        <f t="shared" si="10"/>
        <v>6.4428083087998234</v>
      </c>
      <c r="AF20" s="342">
        <f t="shared" si="18"/>
        <v>4265522589.4253817</v>
      </c>
      <c r="AG20" s="1"/>
    </row>
    <row r="21" spans="1:33" x14ac:dyDescent="0.6">
      <c r="A21" s="46">
        <f t="shared" si="19"/>
        <v>17</v>
      </c>
      <c r="B21" s="44" t="s">
        <v>15</v>
      </c>
      <c r="C21" s="290">
        <v>45812</v>
      </c>
      <c r="D21" s="290">
        <v>11974</v>
      </c>
      <c r="E21" s="290">
        <v>17193</v>
      </c>
      <c r="F21" s="290">
        <f t="shared" si="0"/>
        <v>16645</v>
      </c>
      <c r="G21" s="494">
        <v>52420</v>
      </c>
      <c r="H21" s="66">
        <f>14727+1312+10562</f>
        <v>26601</v>
      </c>
      <c r="I21" s="79">
        <f t="shared" si="1"/>
        <v>0.50745898512018317</v>
      </c>
      <c r="J21" s="26">
        <f>Assumptions!$C$62</f>
        <v>27296</v>
      </c>
      <c r="K21" s="26">
        <f t="shared" si="2"/>
        <v>165859063.88218236</v>
      </c>
      <c r="L21" s="391">
        <f>Assumptions!$H$3</f>
        <v>1.1863330000000001</v>
      </c>
      <c r="M21" s="852">
        <f>Assumptions!$C$64</f>
        <v>3.6635404454865184E-2</v>
      </c>
      <c r="N21" s="1522">
        <v>184.3</v>
      </c>
      <c r="O21" s="458">
        <f t="shared" si="20"/>
        <v>8.0100077630422053</v>
      </c>
      <c r="P21" s="1047">
        <f t="shared" si="4"/>
        <v>1328532389.2671938</v>
      </c>
      <c r="Q21" s="512">
        <v>1</v>
      </c>
      <c r="R21" s="306">
        <f t="shared" si="11"/>
        <v>4.3461789273153584E-2</v>
      </c>
      <c r="S21" s="373">
        <v>0.23</v>
      </c>
      <c r="T21" s="499">
        <f t="shared" si="12"/>
        <v>1.8423017854997072</v>
      </c>
      <c r="U21" s="281">
        <f t="shared" si="13"/>
        <v>9.9962115328253252E-3</v>
      </c>
      <c r="V21" s="281">
        <f t="shared" si="14"/>
        <v>1.8522979970325326</v>
      </c>
      <c r="W21" s="342">
        <f t="shared" si="6"/>
        <v>305562449.53145456</v>
      </c>
      <c r="X21" s="1053">
        <f t="shared" si="7"/>
        <v>1.8957597863056863</v>
      </c>
      <c r="Y21" s="1047">
        <f t="shared" si="8"/>
        <v>314428943.5021472</v>
      </c>
      <c r="Z21" s="535">
        <f t="shared" si="15"/>
        <v>5.3458000805978907E-2</v>
      </c>
      <c r="AA21" s="366">
        <f t="shared" si="16"/>
        <v>8866493.9706926122</v>
      </c>
      <c r="AB21" s="336">
        <f>-'OECD electricity subsidies'!C59</f>
        <v>0</v>
      </c>
      <c r="AC21" s="342">
        <f t="shared" si="17"/>
        <v>0</v>
      </c>
      <c r="AD21" s="849">
        <f t="shared" si="9"/>
        <v>8866493.9706926122</v>
      </c>
      <c r="AE21" s="281">
        <f t="shared" si="10"/>
        <v>9.9057675493478925</v>
      </c>
      <c r="AF21" s="342">
        <f t="shared" si="18"/>
        <v>1642961332.769341</v>
      </c>
      <c r="AG21" s="1"/>
    </row>
    <row r="22" spans="1:33" x14ac:dyDescent="0.6">
      <c r="A22" s="46">
        <f t="shared" si="19"/>
        <v>18</v>
      </c>
      <c r="B22" s="44" t="s">
        <v>16</v>
      </c>
      <c r="C22" s="290">
        <v>12788</v>
      </c>
      <c r="D22" s="290">
        <v>3205</v>
      </c>
      <c r="E22" s="290">
        <v>3232</v>
      </c>
      <c r="F22" s="290">
        <f t="shared" si="0"/>
        <v>6351</v>
      </c>
      <c r="G22" s="494">
        <v>15100</v>
      </c>
      <c r="H22" s="66">
        <f>4385+17+404</f>
        <v>4806</v>
      </c>
      <c r="I22" s="79">
        <f t="shared" si="1"/>
        <v>0.31827814569536422</v>
      </c>
      <c r="J22" s="26">
        <f>Assumptions!$C$62</f>
        <v>27296</v>
      </c>
      <c r="K22" s="26">
        <f t="shared" si="2"/>
        <v>27844143.449006621</v>
      </c>
      <c r="L22" s="391">
        <f>Assumptions!$H$3</f>
        <v>1.1863330000000001</v>
      </c>
      <c r="M22" s="852">
        <f>Assumptions!$C$64</f>
        <v>3.6635404454865184E-2</v>
      </c>
      <c r="N22" s="1519">
        <v>112.3</v>
      </c>
      <c r="O22" s="458">
        <f t="shared" si="20"/>
        <v>4.8807589353751464</v>
      </c>
      <c r="P22" s="1047">
        <f t="shared" si="4"/>
        <v>135900551.93660641</v>
      </c>
      <c r="Q22" s="512">
        <v>18.100000000000001</v>
      </c>
      <c r="R22" s="306">
        <f t="shared" si="11"/>
        <v>0.78665838584407988</v>
      </c>
      <c r="S22" s="373">
        <v>0.22</v>
      </c>
      <c r="T22" s="499">
        <f t="shared" si="12"/>
        <v>1.0737669657825322</v>
      </c>
      <c r="U22" s="281">
        <f t="shared" si="13"/>
        <v>0.17306484488569757</v>
      </c>
      <c r="V22" s="281">
        <f t="shared" si="14"/>
        <v>1.2468318106682297</v>
      </c>
      <c r="W22" s="342">
        <f t="shared" si="6"/>
        <v>29898121.426053409</v>
      </c>
      <c r="X22" s="1053">
        <f t="shared" si="7"/>
        <v>2.0334901965123096</v>
      </c>
      <c r="Y22" s="1047">
        <f t="shared" si="8"/>
        <v>56620792.733837411</v>
      </c>
      <c r="Z22" s="535">
        <f t="shared" si="15"/>
        <v>0.95972323072977739</v>
      </c>
      <c r="AA22" s="366">
        <f t="shared" si="16"/>
        <v>26722671.307784002</v>
      </c>
      <c r="AB22" s="336">
        <f>-'OECD electricity subsidies'!C61</f>
        <v>0</v>
      </c>
      <c r="AC22" s="342">
        <f t="shared" si="17"/>
        <v>0</v>
      </c>
      <c r="AD22" s="849">
        <f t="shared" si="9"/>
        <v>26722671.307784002</v>
      </c>
      <c r="AE22" s="281">
        <f t="shared" si="10"/>
        <v>6.9142491318874555</v>
      </c>
      <c r="AF22" s="342">
        <f t="shared" si="18"/>
        <v>192521344.6704438</v>
      </c>
      <c r="AG22" s="1"/>
    </row>
    <row r="23" spans="1:33" x14ac:dyDescent="0.6">
      <c r="A23" s="46">
        <f t="shared" si="19"/>
        <v>19</v>
      </c>
      <c r="B23" s="44" t="s">
        <v>17</v>
      </c>
      <c r="C23" s="290">
        <v>24371</v>
      </c>
      <c r="D23" s="290">
        <v>5035</v>
      </c>
      <c r="E23" s="290">
        <v>6866</v>
      </c>
      <c r="F23" s="290">
        <f t="shared" si="0"/>
        <v>12470</v>
      </c>
      <c r="G23" s="494">
        <v>26903</v>
      </c>
      <c r="H23" s="66">
        <f>3332+384+1604</f>
        <v>5320</v>
      </c>
      <c r="I23" s="79">
        <f t="shared" si="1"/>
        <v>0.19774746310820354</v>
      </c>
      <c r="J23" s="26">
        <f>Assumptions!$C$62</f>
        <v>27296</v>
      </c>
      <c r="K23" s="26">
        <f t="shared" si="2"/>
        <v>27177493.781362671</v>
      </c>
      <c r="L23" s="391">
        <f>Assumptions!$H$3</f>
        <v>1.1863330000000001</v>
      </c>
      <c r="M23" s="852">
        <f>Assumptions!$C$64</f>
        <v>3.6635404454865184E-2</v>
      </c>
      <c r="N23" s="1519">
        <v>133</v>
      </c>
      <c r="O23" s="458">
        <f t="shared" si="20"/>
        <v>5.7804179733294268</v>
      </c>
      <c r="P23" s="1047">
        <f t="shared" si="4"/>
        <v>157097273.52383751</v>
      </c>
      <c r="Q23" s="472">
        <v>0</v>
      </c>
      <c r="R23" s="306">
        <f t="shared" si="11"/>
        <v>0</v>
      </c>
      <c r="S23" s="373">
        <v>0.2</v>
      </c>
      <c r="T23" s="499">
        <f t="shared" si="12"/>
        <v>1.1560835946658854</v>
      </c>
      <c r="U23" s="281">
        <f t="shared" si="13"/>
        <v>0</v>
      </c>
      <c r="V23" s="281">
        <f t="shared" si="14"/>
        <v>1.1560835946658854</v>
      </c>
      <c r="W23" s="342">
        <f t="shared" si="6"/>
        <v>31419454.704767503</v>
      </c>
      <c r="X23" s="1053">
        <f t="shared" si="7"/>
        <v>1.1560835946658854</v>
      </c>
      <c r="Y23" s="1047">
        <f t="shared" si="8"/>
        <v>31419454.704767503</v>
      </c>
      <c r="Z23" s="535">
        <f t="shared" si="15"/>
        <v>0</v>
      </c>
      <c r="AA23" s="366">
        <f t="shared" si="16"/>
        <v>0</v>
      </c>
      <c r="AB23" s="336">
        <f>-'OECD electricity subsidies'!C63</f>
        <v>0</v>
      </c>
      <c r="AC23" s="342">
        <f t="shared" si="17"/>
        <v>0</v>
      </c>
      <c r="AD23" s="849">
        <f t="shared" si="9"/>
        <v>0</v>
      </c>
      <c r="AE23" s="281">
        <f t="shared" si="10"/>
        <v>6.9365015679953119</v>
      </c>
      <c r="AF23" s="342">
        <f t="shared" si="18"/>
        <v>188516728.228605</v>
      </c>
      <c r="AG23" s="1"/>
    </row>
    <row r="24" spans="1:33" x14ac:dyDescent="0.6">
      <c r="A24" s="46">
        <f t="shared" si="19"/>
        <v>20</v>
      </c>
      <c r="B24" s="44" t="s">
        <v>18</v>
      </c>
      <c r="C24" s="290">
        <v>78466</v>
      </c>
      <c r="D24" s="290">
        <v>20917</v>
      </c>
      <c r="E24" s="290">
        <v>17433</v>
      </c>
      <c r="F24" s="290">
        <f t="shared" si="0"/>
        <v>40116</v>
      </c>
      <c r="G24" s="494">
        <v>68598</v>
      </c>
      <c r="H24" s="66">
        <f>8787+212+5195</f>
        <v>14194</v>
      </c>
      <c r="I24" s="79">
        <f t="shared" si="1"/>
        <v>0.20691565351759528</v>
      </c>
      <c r="J24" s="26">
        <f>Assumptions!$C$62</f>
        <v>27296</v>
      </c>
      <c r="K24" s="26">
        <f t="shared" si="2"/>
        <v>118138581.76343334</v>
      </c>
      <c r="L24" s="391">
        <f>Assumptions!$H$3</f>
        <v>1.1863330000000001</v>
      </c>
      <c r="M24" s="852">
        <f>Assumptions!$C$64</f>
        <v>3.6635404454865184E-2</v>
      </c>
      <c r="N24" s="1519">
        <v>100.5</v>
      </c>
      <c r="O24" s="458">
        <f t="shared" si="20"/>
        <v>4.367909821951935</v>
      </c>
      <c r="P24" s="1047">
        <f t="shared" si="4"/>
        <v>516018671.6359722</v>
      </c>
      <c r="Q24" s="512">
        <v>22.5</v>
      </c>
      <c r="R24" s="306">
        <f t="shared" si="11"/>
        <v>0.97789025864595558</v>
      </c>
      <c r="S24" s="373">
        <v>0.24</v>
      </c>
      <c r="T24" s="499">
        <f t="shared" si="12"/>
        <v>1.0482983572684643</v>
      </c>
      <c r="U24" s="281">
        <f t="shared" si="13"/>
        <v>0.23469366207502934</v>
      </c>
      <c r="V24" s="281">
        <f t="shared" si="14"/>
        <v>1.2829920193434936</v>
      </c>
      <c r="W24" s="342">
        <f t="shared" si="6"/>
        <v>123844481.19263333</v>
      </c>
      <c r="X24" s="1053">
        <f t="shared" si="7"/>
        <v>2.2608822779894493</v>
      </c>
      <c r="Y24" s="1047">
        <f t="shared" si="8"/>
        <v>267097425.85575399</v>
      </c>
      <c r="Z24" s="535">
        <f t="shared" si="15"/>
        <v>1.212583920720985</v>
      </c>
      <c r="AA24" s="366">
        <f t="shared" si="16"/>
        <v>143252944.66312066</v>
      </c>
      <c r="AB24" s="336">
        <f>-'OECD electricity subsidies'!C65</f>
        <v>0</v>
      </c>
      <c r="AC24" s="342">
        <f t="shared" si="17"/>
        <v>0</v>
      </c>
      <c r="AD24" s="849">
        <f t="shared" si="9"/>
        <v>143252944.66312066</v>
      </c>
      <c r="AE24" s="281">
        <f t="shared" si="10"/>
        <v>6.6287920999413847</v>
      </c>
      <c r="AF24" s="342">
        <f t="shared" si="18"/>
        <v>783116097.49172628</v>
      </c>
      <c r="AG24" s="1"/>
    </row>
    <row r="25" spans="1:33" x14ac:dyDescent="0.6">
      <c r="A25" s="46">
        <f t="shared" si="19"/>
        <v>21</v>
      </c>
      <c r="B25" s="44" t="s">
        <v>19</v>
      </c>
      <c r="C25" s="290">
        <v>124859</v>
      </c>
      <c r="D25" s="290">
        <v>42987</v>
      </c>
      <c r="E25" s="290">
        <v>27736</v>
      </c>
      <c r="F25" s="290">
        <f t="shared" si="0"/>
        <v>54136</v>
      </c>
      <c r="G25" s="494">
        <v>162058</v>
      </c>
      <c r="H25" s="66">
        <f>1261+252+425</f>
        <v>1938</v>
      </c>
      <c r="I25" s="79">
        <f t="shared" si="1"/>
        <v>1.1958681459724296E-2</v>
      </c>
      <c r="J25" s="26">
        <f>Assumptions!$C$62</f>
        <v>27296</v>
      </c>
      <c r="K25" s="26">
        <f t="shared" si="2"/>
        <v>14031995.758160656</v>
      </c>
      <c r="L25" s="391">
        <f>Assumptions!$H$19</f>
        <v>0.119739</v>
      </c>
      <c r="M25" s="852">
        <f>Assumptions!$C$64</f>
        <v>3.6635404454865184E-2</v>
      </c>
      <c r="N25" s="1521">
        <v>863</v>
      </c>
      <c r="O25" s="458">
        <f t="shared" si="20"/>
        <v>3.7857106169402113</v>
      </c>
      <c r="P25" s="1047">
        <f t="shared" si="4"/>
        <v>53121075.318528809</v>
      </c>
      <c r="Q25" s="1524">
        <v>278</v>
      </c>
      <c r="R25" s="306">
        <f t="shared" si="11"/>
        <v>1.2194989009378663</v>
      </c>
      <c r="S25" s="373">
        <v>0.25</v>
      </c>
      <c r="T25" s="499">
        <f t="shared" si="12"/>
        <v>0.94642765423505282</v>
      </c>
      <c r="U25" s="281">
        <f t="shared" si="13"/>
        <v>0.30487472523446657</v>
      </c>
      <c r="V25" s="281">
        <f t="shared" si="14"/>
        <v>1.2513023794695193</v>
      </c>
      <c r="W25" s="342">
        <f t="shared" si="6"/>
        <v>13280268.829632202</v>
      </c>
      <c r="X25" s="1053">
        <f t="shared" si="7"/>
        <v>2.4708012804073856</v>
      </c>
      <c r="Y25" s="1047">
        <f t="shared" si="8"/>
        <v>34670273.085934356</v>
      </c>
      <c r="Z25" s="535">
        <f t="shared" si="15"/>
        <v>1.5243736261723329</v>
      </c>
      <c r="AA25" s="366">
        <f t="shared" si="16"/>
        <v>21390004.256302152</v>
      </c>
      <c r="AB25" s="336">
        <f>-'OECD electricity subsidies'!C67</f>
        <v>0</v>
      </c>
      <c r="AC25" s="342">
        <f t="shared" si="17"/>
        <v>0</v>
      </c>
      <c r="AD25" s="849">
        <f t="shared" si="9"/>
        <v>21390004.256302152</v>
      </c>
      <c r="AE25" s="281">
        <f t="shared" si="10"/>
        <v>6.2565118973475968</v>
      </c>
      <c r="AF25" s="342">
        <f t="shared" si="18"/>
        <v>87791348.404463157</v>
      </c>
      <c r="AG25" s="1"/>
    </row>
    <row r="26" spans="1:33" ht="15.9" thickBot="1" x14ac:dyDescent="0.65">
      <c r="A26" s="15">
        <f t="shared" si="19"/>
        <v>22</v>
      </c>
      <c r="B26" s="47" t="s">
        <v>20</v>
      </c>
      <c r="C26" s="291">
        <v>302850</v>
      </c>
      <c r="D26" s="291">
        <v>108157</v>
      </c>
      <c r="E26" s="291">
        <v>93680</v>
      </c>
      <c r="F26" s="291">
        <f t="shared" si="0"/>
        <v>101013</v>
      </c>
      <c r="G26" s="495">
        <v>339095</v>
      </c>
      <c r="H26" s="67">
        <f>76711+2133+100033</f>
        <v>178877</v>
      </c>
      <c r="I26" s="92">
        <f t="shared" si="1"/>
        <v>0.52751293885194417</v>
      </c>
      <c r="J26" s="38">
        <f>Assumptions!$C$62</f>
        <v>27296</v>
      </c>
      <c r="K26" s="38">
        <f t="shared" si="2"/>
        <v>1557351905.2505758</v>
      </c>
      <c r="L26" s="505">
        <f>Assumptions!$H$20</f>
        <v>1.337591</v>
      </c>
      <c r="M26" s="854">
        <f>Assumptions!$C$64</f>
        <v>3.6635404454865184E-2</v>
      </c>
      <c r="N26" s="1525">
        <v>147.6</v>
      </c>
      <c r="O26" s="371">
        <f t="shared" si="20"/>
        <v>7.2328704425556856</v>
      </c>
      <c r="P26" s="1048">
        <f t="shared" si="4"/>
        <v>11264124564.144672</v>
      </c>
      <c r="Q26" s="518"/>
      <c r="R26" s="309">
        <f t="shared" si="11"/>
        <v>0</v>
      </c>
      <c r="S26" s="374">
        <v>0.05</v>
      </c>
      <c r="T26" s="500">
        <f t="shared" si="12"/>
        <v>0.36164352212778428</v>
      </c>
      <c r="U26" s="318">
        <f t="shared" si="13"/>
        <v>0</v>
      </c>
      <c r="V26" s="318">
        <f t="shared" si="14"/>
        <v>0.36164352212778428</v>
      </c>
      <c r="W26" s="344">
        <f t="shared" si="6"/>
        <v>563206228.20723355</v>
      </c>
      <c r="X26" s="1054">
        <f t="shared" si="7"/>
        <v>0.36164352212778428</v>
      </c>
      <c r="Y26" s="1048">
        <f t="shared" si="8"/>
        <v>563206228.20723355</v>
      </c>
      <c r="Z26" s="846">
        <f t="shared" si="15"/>
        <v>0</v>
      </c>
      <c r="AA26" s="368">
        <f t="shared" si="16"/>
        <v>0</v>
      </c>
      <c r="AB26" s="340">
        <f>-'OECD electricity subsidies'!C69</f>
        <v>0</v>
      </c>
      <c r="AC26" s="344">
        <f t="shared" si="17"/>
        <v>0</v>
      </c>
      <c r="AD26" s="851">
        <f t="shared" si="9"/>
        <v>0</v>
      </c>
      <c r="AE26" s="318">
        <f t="shared" si="10"/>
        <v>7.5945139646834701</v>
      </c>
      <c r="AF26" s="344">
        <f t="shared" si="18"/>
        <v>11827330792.351906</v>
      </c>
      <c r="AG26" s="1"/>
    </row>
    <row r="27" spans="1:33" ht="15.9" thickTop="1" x14ac:dyDescent="0.6">
      <c r="A27" s="48" t="s">
        <v>36</v>
      </c>
      <c r="B27" s="44"/>
      <c r="C27" s="290"/>
      <c r="D27" s="290"/>
      <c r="E27" s="290"/>
      <c r="F27" s="290"/>
      <c r="G27" s="494"/>
      <c r="H27" s="66"/>
      <c r="I27" s="79"/>
      <c r="J27" s="26"/>
      <c r="K27" s="26">
        <f t="shared" si="2"/>
        <v>0</v>
      </c>
      <c r="L27" s="399"/>
      <c r="M27" s="852"/>
      <c r="N27" s="867"/>
      <c r="O27" s="458"/>
      <c r="P27" s="1047"/>
      <c r="Q27" s="519"/>
      <c r="R27" s="306"/>
      <c r="S27" s="322"/>
      <c r="T27" s="362"/>
      <c r="U27" s="320"/>
      <c r="V27" s="320"/>
      <c r="W27" s="847"/>
      <c r="X27" s="1053"/>
      <c r="Y27" s="1047"/>
      <c r="Z27" s="844"/>
      <c r="AA27" s="366">
        <f t="shared" si="16"/>
        <v>0</v>
      </c>
      <c r="AB27" s="336"/>
      <c r="AC27" s="342"/>
      <c r="AD27" s="849"/>
      <c r="AE27" s="320"/>
      <c r="AF27" s="342"/>
      <c r="AG27" s="1"/>
    </row>
    <row r="28" spans="1:33" x14ac:dyDescent="0.6">
      <c r="A28" s="61">
        <f>A26+1</f>
        <v>23</v>
      </c>
      <c r="B28" s="44" t="s">
        <v>38</v>
      </c>
      <c r="C28" s="290">
        <v>503065</v>
      </c>
      <c r="D28" s="290">
        <v>169016</v>
      </c>
      <c r="E28" s="290">
        <v>118122</v>
      </c>
      <c r="F28" s="290">
        <f t="shared" si="0"/>
        <v>215927</v>
      </c>
      <c r="G28" s="494">
        <v>670851</v>
      </c>
      <c r="H28" s="66">
        <f>65977+8148+67181</f>
        <v>141306</v>
      </c>
      <c r="I28" s="79">
        <f t="shared" si="1"/>
        <v>0.2106369372632671</v>
      </c>
      <c r="J28" s="26">
        <f>Assumptions!$C$62</f>
        <v>27296</v>
      </c>
      <c r="K28" s="26">
        <f t="shared" si="2"/>
        <v>971765239.61537802</v>
      </c>
      <c r="L28" s="399">
        <f>Assumptions!$H$4</f>
        <v>0.78824099999999997</v>
      </c>
      <c r="M28" s="852">
        <f>Assumptions!$C$64</f>
        <v>3.6635404454865184E-2</v>
      </c>
      <c r="N28" s="861"/>
      <c r="O28" s="458">
        <f>(AE28-R28)/(1+S28)</f>
        <v>3.9355945088762354</v>
      </c>
      <c r="P28" s="1047">
        <f t="shared" si="4"/>
        <v>3824473940.9470811</v>
      </c>
      <c r="Q28" s="509"/>
      <c r="R28" s="306">
        <f t="shared" ref="R28:R34" si="21">Q28*M28*L28</f>
        <v>0</v>
      </c>
      <c r="S28" s="322">
        <v>0.05</v>
      </c>
      <c r="T28" s="362">
        <f t="shared" si="12"/>
        <v>0.19677972544381178</v>
      </c>
      <c r="U28" s="320">
        <f t="shared" si="13"/>
        <v>0</v>
      </c>
      <c r="V28" s="320">
        <f t="shared" si="14"/>
        <v>0.19677972544381178</v>
      </c>
      <c r="W28" s="847">
        <f t="shared" si="6"/>
        <v>191223697.04735404</v>
      </c>
      <c r="X28" s="1053">
        <f t="shared" si="7"/>
        <v>0.19677972544381178</v>
      </c>
      <c r="Y28" s="1047">
        <f t="shared" ref="Y28:Y34" si="22">X28*K28</f>
        <v>191223697.04735404</v>
      </c>
      <c r="Z28" s="844">
        <f t="shared" si="15"/>
        <v>0</v>
      </c>
      <c r="AA28" s="366">
        <f t="shared" si="16"/>
        <v>0</v>
      </c>
      <c r="AB28" s="336">
        <f>-'OECD electricity subsidies'!C71</f>
        <v>-24764443</v>
      </c>
      <c r="AC28" s="342">
        <f t="shared" si="17"/>
        <v>-19520349.314762998</v>
      </c>
      <c r="AD28" s="849">
        <f t="shared" ref="AD28:AD34" si="23">AA28+AC28</f>
        <v>-19520349.314762998</v>
      </c>
      <c r="AE28" s="320">
        <f>0.1431*1000*M28*L28</f>
        <v>4.1323742343200474</v>
      </c>
      <c r="AF28" s="342">
        <f t="shared" si="18"/>
        <v>3996177288.6796722</v>
      </c>
      <c r="AG28" s="1"/>
    </row>
    <row r="29" spans="1:33" x14ac:dyDescent="0.6">
      <c r="A29" s="61">
        <f t="shared" ref="A29:A34" si="24">A28+1</f>
        <v>24</v>
      </c>
      <c r="B29" s="44" t="s">
        <v>39</v>
      </c>
      <c r="C29" s="290">
        <v>110768</v>
      </c>
      <c r="D29" s="290">
        <v>37288</v>
      </c>
      <c r="E29" s="290">
        <v>25543</v>
      </c>
      <c r="F29" s="290">
        <f t="shared" si="0"/>
        <v>47937</v>
      </c>
      <c r="G29" s="494">
        <v>145021</v>
      </c>
      <c r="H29" s="66">
        <f>151+29+2598</f>
        <v>2778</v>
      </c>
      <c r="I29" s="79">
        <f t="shared" si="1"/>
        <v>1.9155846394660083E-2</v>
      </c>
      <c r="J29" s="26">
        <f>Assumptions!$C$62</f>
        <v>27296</v>
      </c>
      <c r="K29" s="26">
        <f t="shared" si="2"/>
        <v>19497074.237138066</v>
      </c>
      <c r="L29" s="399">
        <f>Assumptions!$H$5</f>
        <v>0.12035</v>
      </c>
      <c r="M29" s="852">
        <f>Assumptions!$C$64</f>
        <v>3.6635404454865184E-2</v>
      </c>
      <c r="N29" s="868">
        <v>464</v>
      </c>
      <c r="O29" s="458">
        <f>L29*N29*M29</f>
        <v>2.0458089097303636</v>
      </c>
      <c r="P29" s="1047">
        <f t="shared" si="4"/>
        <v>39887288.188011386</v>
      </c>
      <c r="Q29" s="478">
        <v>136.5</v>
      </c>
      <c r="R29" s="306">
        <f t="shared" si="21"/>
        <v>0.60183818141852286</v>
      </c>
      <c r="S29" s="322">
        <v>0.25</v>
      </c>
      <c r="T29" s="362">
        <f t="shared" si="12"/>
        <v>0.51145222743259089</v>
      </c>
      <c r="U29" s="320">
        <f t="shared" si="13"/>
        <v>0.15045954535463071</v>
      </c>
      <c r="V29" s="320">
        <f t="shared" si="14"/>
        <v>0.66191177278722158</v>
      </c>
      <c r="W29" s="847">
        <f t="shared" si="6"/>
        <v>9971822.0470028464</v>
      </c>
      <c r="X29" s="1053">
        <f t="shared" si="7"/>
        <v>1.2637499542057444</v>
      </c>
      <c r="Y29" s="1047">
        <f t="shared" si="22"/>
        <v>24639426.674329232</v>
      </c>
      <c r="Z29" s="844">
        <f t="shared" si="15"/>
        <v>0.75229772677315354</v>
      </c>
      <c r="AA29" s="366">
        <f t="shared" si="16"/>
        <v>14667604.627326384</v>
      </c>
      <c r="AB29" s="336">
        <f>-'OECD electricity subsidies'!C78</f>
        <v>0</v>
      </c>
      <c r="AC29" s="342">
        <f t="shared" si="17"/>
        <v>0</v>
      </c>
      <c r="AD29" s="849">
        <f t="shared" si="23"/>
        <v>14667604.627326384</v>
      </c>
      <c r="AE29" s="281">
        <f>(O29+R29)*(1+S29)</f>
        <v>3.309558863936108</v>
      </c>
      <c r="AF29" s="342">
        <f t="shared" si="18"/>
        <v>64526714.862340622</v>
      </c>
      <c r="AG29" s="1"/>
    </row>
    <row r="30" spans="1:33" x14ac:dyDescent="0.6">
      <c r="A30" s="61">
        <f t="shared" si="24"/>
        <v>25</v>
      </c>
      <c r="B30" s="44" t="s">
        <v>40</v>
      </c>
      <c r="C30" s="290">
        <v>58239</v>
      </c>
      <c r="D30" s="290">
        <v>18761</v>
      </c>
      <c r="E30" s="290">
        <v>17367</v>
      </c>
      <c r="F30" s="290">
        <f t="shared" si="0"/>
        <v>22111</v>
      </c>
      <c r="G30" s="494">
        <v>67720</v>
      </c>
      <c r="H30" s="66">
        <f>45+662</f>
        <v>707</v>
      </c>
      <c r="I30" s="79">
        <f t="shared" si="1"/>
        <v>1.0440047253396338E-2</v>
      </c>
      <c r="J30" s="26">
        <f>Assumptions!$C$62</f>
        <v>27296</v>
      </c>
      <c r="K30" s="26">
        <f t="shared" si="2"/>
        <v>5346350.8711163616</v>
      </c>
      <c r="L30" s="399">
        <f>Assumptions!$H$6</f>
        <v>1.010632</v>
      </c>
      <c r="M30" s="852">
        <f>Assumptions!$C$64</f>
        <v>3.6635404454865184E-2</v>
      </c>
      <c r="N30" s="869">
        <v>172.5</v>
      </c>
      <c r="O30" s="458">
        <f>L30*N30*M30</f>
        <v>6.3867973329425567</v>
      </c>
      <c r="P30" s="1047">
        <f t="shared" si="4"/>
        <v>34146059.484621093</v>
      </c>
      <c r="Q30" s="520">
        <v>11</v>
      </c>
      <c r="R30" s="306">
        <f t="shared" si="21"/>
        <v>0.40727403282532243</v>
      </c>
      <c r="S30" s="322">
        <v>0.08</v>
      </c>
      <c r="T30" s="362">
        <f t="shared" si="12"/>
        <v>0.51094378663540452</v>
      </c>
      <c r="U30" s="320">
        <f t="shared" si="13"/>
        <v>3.2581922626025793E-2</v>
      </c>
      <c r="V30" s="320">
        <f t="shared" si="14"/>
        <v>0.54352570926143029</v>
      </c>
      <c r="W30" s="847">
        <f t="shared" si="6"/>
        <v>2731684.7587696873</v>
      </c>
      <c r="X30" s="1053">
        <f t="shared" si="7"/>
        <v>0.95079974208675266</v>
      </c>
      <c r="Y30" s="1047">
        <f t="shared" si="22"/>
        <v>5083309.0293627223</v>
      </c>
      <c r="Z30" s="844">
        <f t="shared" si="15"/>
        <v>0.4398559554513482</v>
      </c>
      <c r="AA30" s="366">
        <f t="shared" si="16"/>
        <v>2351624.270593035</v>
      </c>
      <c r="AB30" s="336">
        <f>-'OECD electricity subsidies'!C80</f>
        <v>0</v>
      </c>
      <c r="AC30" s="342">
        <f t="shared" si="17"/>
        <v>0</v>
      </c>
      <c r="AD30" s="849">
        <f t="shared" si="23"/>
        <v>2351624.270593035</v>
      </c>
      <c r="AE30" s="281">
        <f>(O30+R30)*(1+S30)</f>
        <v>7.3375970750293096</v>
      </c>
      <c r="AF30" s="342">
        <f t="shared" si="18"/>
        <v>39229368.513983816</v>
      </c>
      <c r="AG30" s="1"/>
    </row>
    <row r="31" spans="1:33" x14ac:dyDescent="0.6">
      <c r="A31" s="61">
        <f t="shared" si="24"/>
        <v>26</v>
      </c>
      <c r="B31" s="44" t="s">
        <v>31</v>
      </c>
      <c r="C31" s="290">
        <v>949234</v>
      </c>
      <c r="D31" s="290">
        <v>267638</v>
      </c>
      <c r="E31" s="290">
        <v>326740</v>
      </c>
      <c r="F31" s="290">
        <f t="shared" si="0"/>
        <v>354856</v>
      </c>
      <c r="G31" s="494">
        <v>1041343</v>
      </c>
      <c r="H31" s="66">
        <f>343219+102524+409833</f>
        <v>855576</v>
      </c>
      <c r="I31" s="79">
        <f t="shared" si="1"/>
        <v>0.82160825011547589</v>
      </c>
      <c r="J31" s="26">
        <f>Assumptions!$C$62</f>
        <v>27296</v>
      </c>
      <c r="K31" s="26">
        <f t="shared" si="2"/>
        <v>6002215401.096899</v>
      </c>
      <c r="L31" s="399">
        <f>Assumptions!$H$7</f>
        <v>8.829E-3</v>
      </c>
      <c r="M31" s="852">
        <f>Assumptions!$C$64</f>
        <v>3.6635404454865184E-2</v>
      </c>
      <c r="N31" s="870">
        <v>25078</v>
      </c>
      <c r="O31" s="458">
        <f>L31*N31*M31</f>
        <v>8.1115790592028141</v>
      </c>
      <c r="P31" s="1047">
        <f t="shared" si="4"/>
        <v>48687444756.362228</v>
      </c>
      <c r="Q31" s="521">
        <v>375</v>
      </c>
      <c r="R31" s="306">
        <f t="shared" si="21"/>
        <v>0.12129524472450176</v>
      </c>
      <c r="S31" s="322">
        <v>0.05</v>
      </c>
      <c r="T31" s="362">
        <f t="shared" si="12"/>
        <v>0.40557895296014074</v>
      </c>
      <c r="U31" s="320">
        <f t="shared" si="13"/>
        <v>6.0647622362250886E-3</v>
      </c>
      <c r="V31" s="320">
        <f t="shared" si="14"/>
        <v>0.41164371519636583</v>
      </c>
      <c r="W31" s="847">
        <f t="shared" si="6"/>
        <v>2434372237.8181114</v>
      </c>
      <c r="X31" s="1053">
        <f t="shared" si="7"/>
        <v>0.53293895992086759</v>
      </c>
      <c r="Y31" s="1047">
        <f t="shared" si="22"/>
        <v>3198814433.0815945</v>
      </c>
      <c r="Z31" s="844">
        <f t="shared" si="15"/>
        <v>0.12736000696072686</v>
      </c>
      <c r="AA31" s="366">
        <f t="shared" si="16"/>
        <v>764442195.26348305</v>
      </c>
      <c r="AB31" s="336">
        <f>-'OECD electricity subsidies'!C82</f>
        <v>0</v>
      </c>
      <c r="AC31" s="342">
        <f t="shared" si="17"/>
        <v>0</v>
      </c>
      <c r="AD31" s="849">
        <f t="shared" si="23"/>
        <v>764442195.26348305</v>
      </c>
      <c r="AE31" s="281">
        <f>(O31+R31)*(1+S31)</f>
        <v>8.6445180191236819</v>
      </c>
      <c r="AF31" s="342">
        <f t="shared" si="18"/>
        <v>51886259189.443825</v>
      </c>
      <c r="AG31" s="1"/>
    </row>
    <row r="32" spans="1:33" x14ac:dyDescent="0.6">
      <c r="A32" s="61">
        <f t="shared" si="24"/>
        <v>27</v>
      </c>
      <c r="B32" s="44" t="s">
        <v>47</v>
      </c>
      <c r="C32" s="290">
        <v>495311</v>
      </c>
      <c r="D32" s="290">
        <v>63802</v>
      </c>
      <c r="E32" s="290">
        <v>152278</v>
      </c>
      <c r="F32" s="290">
        <f t="shared" si="0"/>
        <v>279231</v>
      </c>
      <c r="G32" s="494">
        <v>552876</v>
      </c>
      <c r="H32" s="66">
        <f>236586+12518+122856</f>
        <v>371960</v>
      </c>
      <c r="I32" s="79">
        <f t="shared" si="1"/>
        <v>0.67277291833973618</v>
      </c>
      <c r="J32" s="26">
        <f>Assumptions!$C$62</f>
        <v>27296</v>
      </c>
      <c r="K32" s="26">
        <f t="shared" si="2"/>
        <v>1171660539.1594498</v>
      </c>
      <c r="L32" s="399">
        <f>Assumptions!$H$8</f>
        <v>9.3000000000000005E-4</v>
      </c>
      <c r="M32" s="852">
        <f>Assumptions!$C$64</f>
        <v>3.6635404454865184E-2</v>
      </c>
      <c r="N32" s="871">
        <f>O32/M32/L32</f>
        <v>97272.727272727279</v>
      </c>
      <c r="O32" s="458">
        <f>AE32/(1+S32)</f>
        <v>3.3141719066396678</v>
      </c>
      <c r="P32" s="1047">
        <f t="shared" si="4"/>
        <v>3883084443.000535</v>
      </c>
      <c r="Q32" s="522"/>
      <c r="R32" s="306">
        <f t="shared" si="21"/>
        <v>0</v>
      </c>
      <c r="S32" s="322">
        <v>0.1</v>
      </c>
      <c r="T32" s="362">
        <f t="shared" si="12"/>
        <v>0.3314171906639668</v>
      </c>
      <c r="U32" s="320">
        <f t="shared" si="13"/>
        <v>0</v>
      </c>
      <c r="V32" s="320">
        <f t="shared" si="14"/>
        <v>0.3314171906639668</v>
      </c>
      <c r="W32" s="847">
        <f t="shared" si="6"/>
        <v>388308444.30005354</v>
      </c>
      <c r="X32" s="1053">
        <f t="shared" si="7"/>
        <v>0.3314171906639668</v>
      </c>
      <c r="Y32" s="1047">
        <f t="shared" si="22"/>
        <v>388308444.30005354</v>
      </c>
      <c r="Z32" s="844">
        <f t="shared" si="15"/>
        <v>0</v>
      </c>
      <c r="AA32" s="366">
        <f t="shared" si="16"/>
        <v>0</v>
      </c>
      <c r="AB32" s="336">
        <f>-'OECD electricity subsidies'!C84</f>
        <v>0</v>
      </c>
      <c r="AC32" s="342">
        <f t="shared" si="17"/>
        <v>0</v>
      </c>
      <c r="AD32" s="849">
        <f t="shared" si="23"/>
        <v>0</v>
      </c>
      <c r="AE32" s="320">
        <f>107000*M32*L32</f>
        <v>3.6455890973036347</v>
      </c>
      <c r="AF32" s="342">
        <f t="shared" si="18"/>
        <v>4271392887.3005886</v>
      </c>
      <c r="AG32" s="1"/>
    </row>
    <row r="33" spans="1:33" x14ac:dyDescent="0.6">
      <c r="A33" s="61">
        <f t="shared" si="24"/>
        <v>28</v>
      </c>
      <c r="B33" s="44" t="s">
        <v>32</v>
      </c>
      <c r="C33" s="290">
        <v>211318</v>
      </c>
      <c r="D33" s="290">
        <v>59273</v>
      </c>
      <c r="E33" s="290">
        <v>67126</v>
      </c>
      <c r="F33" s="290">
        <f t="shared" si="0"/>
        <v>84919</v>
      </c>
      <c r="G33" s="494">
        <v>252360</v>
      </c>
      <c r="H33" s="66">
        <f>158610+6799+52462</f>
        <v>217871</v>
      </c>
      <c r="I33" s="79">
        <f t="shared" si="1"/>
        <v>0.86333412585195757</v>
      </c>
      <c r="J33" s="26">
        <f>Assumptions!$C$62</f>
        <v>27296</v>
      </c>
      <c r="K33" s="26">
        <f t="shared" si="2"/>
        <v>1396801929.8017435</v>
      </c>
      <c r="L33" s="399">
        <f>Assumptions!$H$9</f>
        <v>0.77382200000000001</v>
      </c>
      <c r="M33" s="852">
        <f>Assumptions!$C$64</f>
        <v>3.6635404454865184E-2</v>
      </c>
      <c r="N33" s="861"/>
      <c r="O33" s="458">
        <f>AE33/(1+S33)-R33</f>
        <v>5.6956284637109666</v>
      </c>
      <c r="P33" s="1047">
        <f t="shared" si="4"/>
        <v>7955664829.5452175</v>
      </c>
      <c r="Q33" s="509"/>
      <c r="R33" s="306">
        <f t="shared" si="21"/>
        <v>0</v>
      </c>
      <c r="S33" s="322">
        <v>0.1</v>
      </c>
      <c r="T33" s="362">
        <f t="shared" si="12"/>
        <v>0.56956284637109666</v>
      </c>
      <c r="U33" s="320">
        <f t="shared" si="13"/>
        <v>0</v>
      </c>
      <c r="V33" s="320">
        <f t="shared" si="14"/>
        <v>0.56956284637109666</v>
      </c>
      <c r="W33" s="847">
        <f t="shared" si="6"/>
        <v>795566482.95452178</v>
      </c>
      <c r="X33" s="1053">
        <f t="shared" si="7"/>
        <v>0.56956284637109666</v>
      </c>
      <c r="Y33" s="1047">
        <f t="shared" si="22"/>
        <v>795566482.95452178</v>
      </c>
      <c r="Z33" s="844">
        <f t="shared" si="15"/>
        <v>0</v>
      </c>
      <c r="AA33" s="366">
        <f t="shared" si="16"/>
        <v>0</v>
      </c>
      <c r="AB33" s="336">
        <f>-'OECD electricity subsidies'!C86</f>
        <v>-1036587376.5</v>
      </c>
      <c r="AC33" s="342">
        <f t="shared" si="17"/>
        <v>-802134116.85798299</v>
      </c>
      <c r="AD33" s="849">
        <f t="shared" si="23"/>
        <v>-802134116.85798299</v>
      </c>
      <c r="AE33" s="320">
        <f>0.221*1000*M33*L33</f>
        <v>6.2651913100820638</v>
      </c>
      <c r="AF33" s="342">
        <f t="shared" si="18"/>
        <v>7949097195.641758</v>
      </c>
      <c r="AG33" s="1"/>
    </row>
    <row r="34" spans="1:33" ht="15.9" thickBot="1" x14ac:dyDescent="0.65">
      <c r="A34" s="62">
        <f t="shared" si="24"/>
        <v>29</v>
      </c>
      <c r="B34" s="47" t="s">
        <v>33</v>
      </c>
      <c r="C34" s="291">
        <v>39134</v>
      </c>
      <c r="D34" s="291">
        <v>12550</v>
      </c>
      <c r="E34" s="291">
        <v>9512</v>
      </c>
      <c r="F34" s="291">
        <f t="shared" si="0"/>
        <v>17072</v>
      </c>
      <c r="G34" s="495">
        <v>44205</v>
      </c>
      <c r="H34" s="67">
        <f>1880+1+6867</f>
        <v>8748</v>
      </c>
      <c r="I34" s="92">
        <f t="shared" si="1"/>
        <v>0.19789616559212758</v>
      </c>
      <c r="J34" s="38">
        <f>Assumptions!$C$62</f>
        <v>27296</v>
      </c>
      <c r="K34" s="38">
        <f t="shared" si="2"/>
        <v>67792260.38683407</v>
      </c>
      <c r="L34" s="417">
        <f>Assumptions!$H$10</f>
        <v>0.70460400000000001</v>
      </c>
      <c r="M34" s="854">
        <f>Assumptions!$C$64</f>
        <v>3.6635404454865184E-2</v>
      </c>
      <c r="N34" s="872">
        <v>247.5</v>
      </c>
      <c r="O34" s="371">
        <f>L34*N34*M34</f>
        <v>6.3888294988276675</v>
      </c>
      <c r="P34" s="1048">
        <f t="shared" si="4"/>
        <v>433113192.95161188</v>
      </c>
      <c r="Q34" s="477"/>
      <c r="R34" s="309">
        <f t="shared" si="21"/>
        <v>0</v>
      </c>
      <c r="S34" s="359">
        <v>0.15</v>
      </c>
      <c r="T34" s="365">
        <f t="shared" si="12"/>
        <v>0.95832442482415003</v>
      </c>
      <c r="U34" s="321">
        <f t="shared" si="13"/>
        <v>0</v>
      </c>
      <c r="V34" s="321">
        <f t="shared" si="14"/>
        <v>0.95832442482415003</v>
      </c>
      <c r="W34" s="848">
        <f t="shared" si="6"/>
        <v>64966978.942741774</v>
      </c>
      <c r="X34" s="1054">
        <f t="shared" si="7"/>
        <v>0.95832442482415003</v>
      </c>
      <c r="Y34" s="1048">
        <f t="shared" si="22"/>
        <v>64966978.942741774</v>
      </c>
      <c r="Z34" s="617">
        <f t="shared" si="15"/>
        <v>0</v>
      </c>
      <c r="AA34" s="368">
        <f t="shared" si="16"/>
        <v>0</v>
      </c>
      <c r="AB34" s="340">
        <f>-'OECD electricity subsidies'!C113</f>
        <v>0</v>
      </c>
      <c r="AC34" s="344">
        <f t="shared" si="17"/>
        <v>0</v>
      </c>
      <c r="AD34" s="851">
        <f t="shared" si="23"/>
        <v>0</v>
      </c>
      <c r="AE34" s="321">
        <f>(O34+R34)*(1+S34)</f>
        <v>7.3471539236518169</v>
      </c>
      <c r="AF34" s="344">
        <f t="shared" si="18"/>
        <v>498080171.89435357</v>
      </c>
      <c r="AG34" s="1"/>
    </row>
    <row r="35" spans="1:33" ht="15.9" thickTop="1" x14ac:dyDescent="0.6">
      <c r="A35" s="49" t="s">
        <v>78</v>
      </c>
      <c r="B35" s="50"/>
      <c r="C35" s="290"/>
      <c r="D35" s="290"/>
      <c r="E35" s="290"/>
      <c r="F35" s="290"/>
      <c r="G35" s="494"/>
      <c r="H35" s="66"/>
      <c r="I35" s="79"/>
      <c r="J35" s="26"/>
      <c r="K35" s="26"/>
      <c r="L35" s="391"/>
      <c r="M35" s="852">
        <f>Assumptions!$C$64</f>
        <v>3.6635404454865184E-2</v>
      </c>
      <c r="N35" s="873"/>
      <c r="O35" s="863"/>
      <c r="P35" s="1047"/>
      <c r="Q35" s="523"/>
      <c r="R35" s="306"/>
      <c r="S35" s="322"/>
      <c r="T35" s="362"/>
      <c r="U35" s="320"/>
      <c r="V35" s="320"/>
      <c r="W35" s="847">
        <f t="shared" si="6"/>
        <v>0</v>
      </c>
      <c r="X35" s="1053"/>
      <c r="Y35" s="1047"/>
      <c r="Z35" s="844"/>
      <c r="AA35" s="366">
        <f t="shared" si="16"/>
        <v>0</v>
      </c>
      <c r="AB35" s="336"/>
      <c r="AC35" s="342"/>
      <c r="AD35" s="849"/>
      <c r="AE35" s="320"/>
      <c r="AF35" s="342"/>
      <c r="AG35" s="1"/>
    </row>
    <row r="36" spans="1:33" x14ac:dyDescent="0.6">
      <c r="A36" s="61">
        <f>A34+1</f>
        <v>30</v>
      </c>
      <c r="B36" s="50" t="s">
        <v>46</v>
      </c>
      <c r="C36" s="290">
        <v>4876755</v>
      </c>
      <c r="D36" s="290">
        <v>756521</v>
      </c>
      <c r="E36" s="290">
        <v>304692</v>
      </c>
      <c r="F36" s="290">
        <f t="shared" si="0"/>
        <v>3815542</v>
      </c>
      <c r="G36" s="494">
        <v>5859958</v>
      </c>
      <c r="H36" s="66">
        <f>4108994+9679+145346</f>
        <v>4264019</v>
      </c>
      <c r="I36" s="79">
        <f t="shared" si="1"/>
        <v>0.72765350877941448</v>
      </c>
      <c r="J36" s="26">
        <f>Assumptions!$C$62</f>
        <v>27296</v>
      </c>
      <c r="K36" s="66">
        <f t="shared" si="2"/>
        <v>15026042930.50754</v>
      </c>
      <c r="L36" s="399">
        <f>Assumptions!$H$11</f>
        <v>0.152529</v>
      </c>
      <c r="M36" s="852">
        <f>Assumptions!$C$64</f>
        <v>3.6635404454865184E-2</v>
      </c>
      <c r="N36" s="874"/>
      <c r="O36" s="666">
        <f t="shared" ref="O36:O39" si="25">AE36/(1+S36)-R36</f>
        <v>5.1655920281359906</v>
      </c>
      <c r="P36" s="1047">
        <f t="shared" si="4"/>
        <v>77618407576.258911</v>
      </c>
      <c r="Q36" s="523"/>
      <c r="R36" s="306">
        <f>Q36*M36*L36</f>
        <v>0</v>
      </c>
      <c r="S36" s="322"/>
      <c r="T36" s="362">
        <f t="shared" si="12"/>
        <v>0</v>
      </c>
      <c r="U36" s="320">
        <f t="shared" si="13"/>
        <v>0</v>
      </c>
      <c r="V36" s="320">
        <f t="shared" si="14"/>
        <v>0</v>
      </c>
      <c r="W36" s="847">
        <f t="shared" si="6"/>
        <v>0</v>
      </c>
      <c r="X36" s="1053">
        <f t="shared" si="7"/>
        <v>0</v>
      </c>
      <c r="Y36" s="1047">
        <f>X36*K36</f>
        <v>0</v>
      </c>
      <c r="Z36" s="844">
        <f t="shared" si="15"/>
        <v>0</v>
      </c>
      <c r="AA36" s="366">
        <f t="shared" si="16"/>
        <v>0</v>
      </c>
      <c r="AB36" s="336">
        <f>-'OECD electricity subsidies'!C115</f>
        <v>0</v>
      </c>
      <c r="AC36" s="342">
        <f t="shared" si="17"/>
        <v>0</v>
      </c>
      <c r="AD36" s="849">
        <f>AA36+AC36</f>
        <v>0</v>
      </c>
      <c r="AE36" s="320">
        <f>0.141*1000*M36</f>
        <v>5.1655920281359906</v>
      </c>
      <c r="AF36" s="342">
        <f t="shared" si="18"/>
        <v>77618407576.258911</v>
      </c>
      <c r="AG36" s="1"/>
    </row>
    <row r="37" spans="1:33" x14ac:dyDescent="0.6">
      <c r="A37" s="46">
        <f>A36+1</f>
        <v>31</v>
      </c>
      <c r="B37" s="50" t="s">
        <v>49</v>
      </c>
      <c r="C37" s="290">
        <v>1026946</v>
      </c>
      <c r="D37" s="290">
        <v>247004</v>
      </c>
      <c r="E37" s="290">
        <v>93127</v>
      </c>
      <c r="F37" s="290">
        <f t="shared" si="0"/>
        <v>686815</v>
      </c>
      <c r="G37" s="494">
        <v>1383004</v>
      </c>
      <c r="H37" s="66">
        <f>1041532+22951+68088</f>
        <v>1132571</v>
      </c>
      <c r="I37" s="79">
        <f t="shared" si="1"/>
        <v>0.81892098649027767</v>
      </c>
      <c r="J37" s="26">
        <f>Assumptions!$C$62</f>
        <v>27296</v>
      </c>
      <c r="K37" s="66">
        <f t="shared" si="2"/>
        <v>5521346423.1369276</v>
      </c>
      <c r="L37" s="399">
        <f>Assumptions!$H$12</f>
        <v>1.5587E-2</v>
      </c>
      <c r="M37" s="852">
        <f>Assumptions!$C$64</f>
        <v>3.6635404454865184E-2</v>
      </c>
      <c r="N37" s="873"/>
      <c r="O37" s="666">
        <f t="shared" si="25"/>
        <v>6.8508206330597892</v>
      </c>
      <c r="P37" s="1047">
        <f t="shared" si="4"/>
        <v>37825753997.897331</v>
      </c>
      <c r="Q37" s="523"/>
      <c r="R37" s="306">
        <f>Q37*M37*L37</f>
        <v>0</v>
      </c>
      <c r="S37" s="322"/>
      <c r="T37" s="362">
        <f t="shared" si="12"/>
        <v>0</v>
      </c>
      <c r="U37" s="320">
        <f t="shared" si="13"/>
        <v>0</v>
      </c>
      <c r="V37" s="320">
        <f t="shared" si="14"/>
        <v>0</v>
      </c>
      <c r="W37" s="847">
        <f t="shared" si="6"/>
        <v>0</v>
      </c>
      <c r="X37" s="1053">
        <f t="shared" si="7"/>
        <v>0</v>
      </c>
      <c r="Y37" s="1047">
        <f>X37*K37</f>
        <v>0</v>
      </c>
      <c r="Z37" s="844">
        <f t="shared" si="15"/>
        <v>0</v>
      </c>
      <c r="AA37" s="366">
        <f t="shared" si="16"/>
        <v>0</v>
      </c>
      <c r="AB37" s="336">
        <f>-'OECD electricity subsidies'!C117</f>
        <v>0</v>
      </c>
      <c r="AC37" s="342">
        <f t="shared" si="17"/>
        <v>0</v>
      </c>
      <c r="AD37" s="849">
        <f>AA37+AC37</f>
        <v>0</v>
      </c>
      <c r="AE37" s="320">
        <f>0.187*1000*M37</f>
        <v>6.8508206330597892</v>
      </c>
      <c r="AF37" s="342">
        <f t="shared" si="18"/>
        <v>37825753997.897331</v>
      </c>
      <c r="AG37" s="1"/>
    </row>
    <row r="38" spans="1:33" x14ac:dyDescent="0.6">
      <c r="A38" s="46">
        <f>A37+1</f>
        <v>32</v>
      </c>
      <c r="B38" s="44" t="s">
        <v>50</v>
      </c>
      <c r="C38" s="290">
        <v>491650</v>
      </c>
      <c r="D38" s="290">
        <v>131315</v>
      </c>
      <c r="E38" s="290">
        <v>134084</v>
      </c>
      <c r="F38" s="290">
        <f t="shared" si="0"/>
        <v>226251</v>
      </c>
      <c r="G38" s="494">
        <v>581652</v>
      </c>
      <c r="H38" s="66">
        <f>278468+29340+79490</f>
        <v>387298</v>
      </c>
      <c r="I38" s="79">
        <f t="shared" si="1"/>
        <v>0.66585862336929991</v>
      </c>
      <c r="J38" s="26">
        <f>Assumptions!$C$62</f>
        <v>27296</v>
      </c>
      <c r="K38" s="66">
        <f t="shared" si="2"/>
        <v>2386686497.0867805</v>
      </c>
      <c r="L38" s="399">
        <f>Assumptions!$H$13</f>
        <v>0.30204900000000001</v>
      </c>
      <c r="M38" s="852">
        <f>Assumptions!$C$64</f>
        <v>3.6635404454865184E-2</v>
      </c>
      <c r="N38" s="875"/>
      <c r="O38" s="458">
        <f t="shared" si="25"/>
        <v>5.249853458382181</v>
      </c>
      <c r="P38" s="1047">
        <f t="shared" si="4"/>
        <v>12529754360.805088</v>
      </c>
      <c r="Q38" s="524"/>
      <c r="R38" s="306">
        <f>Q38*M38*L38</f>
        <v>0</v>
      </c>
      <c r="S38" s="322"/>
      <c r="T38" s="362">
        <f t="shared" si="12"/>
        <v>0</v>
      </c>
      <c r="U38" s="320">
        <f t="shared" si="13"/>
        <v>0</v>
      </c>
      <c r="V38" s="320">
        <f t="shared" si="14"/>
        <v>0</v>
      </c>
      <c r="W38" s="847">
        <f t="shared" si="6"/>
        <v>0</v>
      </c>
      <c r="X38" s="1053">
        <f t="shared" si="7"/>
        <v>0</v>
      </c>
      <c r="Y38" s="1047">
        <f>X38*K38</f>
        <v>0</v>
      </c>
      <c r="Z38" s="844">
        <f t="shared" si="15"/>
        <v>0</v>
      </c>
      <c r="AA38" s="366">
        <f t="shared" si="16"/>
        <v>0</v>
      </c>
      <c r="AB38" s="336">
        <f>-'OECD electricity subsidies'!C119</f>
        <v>0</v>
      </c>
      <c r="AC38" s="342">
        <f t="shared" si="17"/>
        <v>0</v>
      </c>
      <c r="AD38" s="849">
        <f>AA38+AC38</f>
        <v>0</v>
      </c>
      <c r="AE38" s="320">
        <f>0.1433*1000*M38</f>
        <v>5.249853458382181</v>
      </c>
      <c r="AF38" s="342">
        <f t="shared" si="18"/>
        <v>12529754360.805088</v>
      </c>
      <c r="AG38" s="1"/>
    </row>
    <row r="39" spans="1:33" ht="15.9" thickBot="1" x14ac:dyDescent="0.65">
      <c r="A39" s="15">
        <f>A38+1</f>
        <v>33</v>
      </c>
      <c r="B39" s="47" t="s">
        <v>51</v>
      </c>
      <c r="C39" s="291">
        <v>726318</v>
      </c>
      <c r="D39" s="291">
        <v>146538</v>
      </c>
      <c r="E39" s="291">
        <v>152172</v>
      </c>
      <c r="F39" s="291">
        <f t="shared" si="0"/>
        <v>427608</v>
      </c>
      <c r="G39" s="495">
        <v>1067544</v>
      </c>
      <c r="H39" s="67">
        <f>158550+10102+529749</f>
        <v>698401</v>
      </c>
      <c r="I39" s="92">
        <f t="shared" si="1"/>
        <v>0.65421284743298636</v>
      </c>
      <c r="J39" s="38">
        <f>Assumptions!$C$62</f>
        <v>27296</v>
      </c>
      <c r="K39" s="67">
        <f t="shared" si="2"/>
        <v>2616786784.9048357</v>
      </c>
      <c r="L39" s="417">
        <f>Assumptions!$H$14</f>
        <v>1.7344999999999999E-2</v>
      </c>
      <c r="M39" s="854">
        <f>Assumptions!$C$64</f>
        <v>3.6635404454865184E-2</v>
      </c>
      <c r="N39" s="876"/>
      <c r="O39" s="371">
        <f t="shared" si="25"/>
        <v>3.5083056808472595</v>
      </c>
      <c r="P39" s="1048">
        <f t="shared" si="4"/>
        <v>9180487943.0476704</v>
      </c>
      <c r="Q39" s="525"/>
      <c r="R39" s="309">
        <f>Q39*M39*L39</f>
        <v>0</v>
      </c>
      <c r="S39" s="359">
        <v>0.18</v>
      </c>
      <c r="T39" s="365">
        <f t="shared" si="12"/>
        <v>0.63149502255250667</v>
      </c>
      <c r="U39" s="321">
        <f t="shared" si="13"/>
        <v>0</v>
      </c>
      <c r="V39" s="321">
        <f t="shared" si="14"/>
        <v>0.63149502255250667</v>
      </c>
      <c r="W39" s="848">
        <f t="shared" si="6"/>
        <v>1652487829.7485807</v>
      </c>
      <c r="X39" s="1054">
        <f t="shared" si="7"/>
        <v>0.63149502255250667</v>
      </c>
      <c r="Y39" s="1048">
        <f>X39*K39</f>
        <v>1652487829.7485807</v>
      </c>
      <c r="Z39" s="617">
        <f t="shared" si="15"/>
        <v>0</v>
      </c>
      <c r="AA39" s="368">
        <f t="shared" si="16"/>
        <v>0</v>
      </c>
      <c r="AB39" s="340">
        <f>-'OECD electricity subsidies'!C121</f>
        <v>0</v>
      </c>
      <c r="AC39" s="344">
        <f t="shared" si="17"/>
        <v>0</v>
      </c>
      <c r="AD39" s="851">
        <f>AA39+AC39</f>
        <v>0</v>
      </c>
      <c r="AE39" s="321">
        <f>0.113*1000*M39</f>
        <v>4.1398007033997661</v>
      </c>
      <c r="AF39" s="344">
        <f t="shared" si="18"/>
        <v>10832975772.796251</v>
      </c>
      <c r="AG39" s="1"/>
    </row>
    <row r="40" spans="1:33" ht="15.9" thickTop="1" x14ac:dyDescent="0.6">
      <c r="A40" s="1527" t="s">
        <v>52</v>
      </c>
      <c r="B40" s="44"/>
      <c r="C40" s="290"/>
      <c r="D40" s="290"/>
      <c r="E40" s="290"/>
      <c r="F40" s="985"/>
      <c r="G40" s="1001"/>
      <c r="H40" s="1002"/>
      <c r="I40" s="93"/>
      <c r="J40" s="26"/>
      <c r="K40" s="66"/>
      <c r="L40" s="391"/>
      <c r="M40" s="852"/>
      <c r="N40" s="875"/>
      <c r="O40" s="458"/>
      <c r="P40" s="1047"/>
      <c r="Q40" s="393"/>
      <c r="R40" s="394"/>
      <c r="S40" s="322"/>
      <c r="T40" s="329"/>
      <c r="U40" s="320"/>
      <c r="V40" s="320"/>
      <c r="W40" s="314"/>
      <c r="X40" s="1046"/>
      <c r="Y40" s="1047"/>
      <c r="Z40" s="395"/>
      <c r="AA40" s="396"/>
      <c r="AB40" s="542"/>
      <c r="AC40" s="543"/>
      <c r="AD40" s="663"/>
      <c r="AE40" s="571"/>
      <c r="AF40" s="548"/>
      <c r="AG40" s="1"/>
    </row>
    <row r="41" spans="1:33" s="85" customFormat="1" x14ac:dyDescent="0.6">
      <c r="A41" s="61">
        <f>A39+1</f>
        <v>34</v>
      </c>
      <c r="B41" s="86" t="s">
        <v>48</v>
      </c>
      <c r="C41" s="290">
        <v>257450</v>
      </c>
      <c r="D41" s="290">
        <v>55986</v>
      </c>
      <c r="E41" s="290">
        <v>23779</v>
      </c>
      <c r="F41" s="348">
        <f t="shared" si="0"/>
        <v>177685</v>
      </c>
      <c r="G41" s="1003">
        <v>311138</v>
      </c>
      <c r="H41" s="66">
        <f>33808+31577+186251</f>
        <v>251636</v>
      </c>
      <c r="I41" s="94">
        <f t="shared" si="1"/>
        <v>0.80876010001992682</v>
      </c>
      <c r="J41" s="66">
        <f>Assumptions!$C$62</f>
        <v>27296</v>
      </c>
      <c r="K41" s="66">
        <f t="shared" si="2"/>
        <v>1235942215.8283975</v>
      </c>
      <c r="L41" s="1020">
        <f>Assumptions!$H$25</f>
        <v>5.0333999999999997E-2</v>
      </c>
      <c r="M41" s="855">
        <f>Assumptions!$C$64</f>
        <v>3.6635404454865184E-2</v>
      </c>
      <c r="N41" s="1440">
        <v>1008</v>
      </c>
      <c r="O41" s="458">
        <f>N41*M41*L41</f>
        <v>1.8587584994138335</v>
      </c>
      <c r="P41" s="1047">
        <f t="shared" si="4"/>
        <v>2297318098.4554005</v>
      </c>
      <c r="Q41" s="393"/>
      <c r="R41" s="394"/>
      <c r="S41" s="322">
        <f>Gasoline!K41</f>
        <v>0.16</v>
      </c>
      <c r="T41" s="329">
        <f>S41*O41</f>
        <v>0.29740135990621336</v>
      </c>
      <c r="U41" s="320"/>
      <c r="V41" s="320">
        <f>U41+T41</f>
        <v>0.29740135990621336</v>
      </c>
      <c r="W41" s="314">
        <f>T41*K41</f>
        <v>367570895.75286406</v>
      </c>
      <c r="X41" s="1053">
        <f t="shared" si="7"/>
        <v>0.29740135990621336</v>
      </c>
      <c r="Y41" s="1047">
        <f t="shared" ref="Y41:Y65" si="26">X41*J41</f>
        <v>8117.8675199999998</v>
      </c>
      <c r="Z41" s="395"/>
      <c r="AA41" s="396">
        <f t="shared" ref="AA41:AA57" si="27">K41*V41</f>
        <v>367570895.75286406</v>
      </c>
      <c r="AB41" s="1007"/>
      <c r="AC41" s="847"/>
      <c r="AD41" s="607"/>
      <c r="AE41" s="281">
        <f>(O41+R41)*(1+S41)</f>
        <v>2.1561598593200468</v>
      </c>
      <c r="AF41" s="847">
        <f t="shared" si="18"/>
        <v>2664888994.2082644</v>
      </c>
    </row>
    <row r="42" spans="1:33" s="85" customFormat="1" x14ac:dyDescent="0.6">
      <c r="A42" s="61">
        <f>A41+1</f>
        <v>35</v>
      </c>
      <c r="B42" s="86" t="s">
        <v>53</v>
      </c>
      <c r="C42" s="290">
        <v>50153</v>
      </c>
      <c r="D42" s="290">
        <v>19672</v>
      </c>
      <c r="E42" s="290">
        <v>0</v>
      </c>
      <c r="F42" s="348">
        <f t="shared" si="0"/>
        <v>30481</v>
      </c>
      <c r="G42" s="1003">
        <v>68798</v>
      </c>
      <c r="H42" s="66">
        <f>908+67668</f>
        <v>68576</v>
      </c>
      <c r="I42" s="94">
        <f t="shared" si="1"/>
        <v>0.99677316201052357</v>
      </c>
      <c r="J42" s="66">
        <f>Assumptions!$C$62</f>
        <v>27296</v>
      </c>
      <c r="K42" s="66">
        <f t="shared" si="2"/>
        <v>535234206.76926661</v>
      </c>
      <c r="L42" s="1005"/>
      <c r="M42" s="855">
        <f>Assumptions!$C$64</f>
        <v>3.6635404454865184E-2</v>
      </c>
      <c r="N42" s="877"/>
      <c r="O42" s="458">
        <f t="shared" ref="O42:O65" si="28">AE42/(1+S42)-R42</f>
        <v>1.0257913247362251</v>
      </c>
      <c r="P42" s="1047">
        <f t="shared" si="4"/>
        <v>549038606.0059886</v>
      </c>
      <c r="Q42" s="393"/>
      <c r="R42" s="394"/>
      <c r="S42" s="322">
        <f>Gasoline!K42</f>
        <v>0</v>
      </c>
      <c r="T42" s="329">
        <f>S42*O42</f>
        <v>0</v>
      </c>
      <c r="U42" s="320"/>
      <c r="V42" s="320">
        <f>U42+T42</f>
        <v>0</v>
      </c>
      <c r="W42" s="314">
        <f t="shared" ref="W42:W65" si="29">T42*K42</f>
        <v>0</v>
      </c>
      <c r="X42" s="1046"/>
      <c r="Y42" s="1047">
        <f t="shared" si="26"/>
        <v>0</v>
      </c>
      <c r="Z42" s="395"/>
      <c r="AA42" s="394">
        <f t="shared" si="27"/>
        <v>0</v>
      </c>
      <c r="AB42" s="1007"/>
      <c r="AC42" s="847"/>
      <c r="AD42" s="607"/>
      <c r="AE42" s="363">
        <f>0.028*1000*M42</f>
        <v>1.0257913247362251</v>
      </c>
      <c r="AF42" s="847">
        <f t="shared" si="18"/>
        <v>549038606.0059886</v>
      </c>
    </row>
    <row r="43" spans="1:33" s="85" customFormat="1" x14ac:dyDescent="0.6">
      <c r="A43" s="61">
        <f t="shared" ref="A43:A65" si="30">A42+1</f>
        <v>36</v>
      </c>
      <c r="B43" s="86" t="s">
        <v>54</v>
      </c>
      <c r="C43" s="290">
        <v>8423</v>
      </c>
      <c r="D43" s="290">
        <v>5583</v>
      </c>
      <c r="E43" s="290">
        <v>0</v>
      </c>
      <c r="F43" s="348">
        <f t="shared" si="0"/>
        <v>2840</v>
      </c>
      <c r="G43" s="1003">
        <v>9764</v>
      </c>
      <c r="H43" s="66">
        <v>4572</v>
      </c>
      <c r="I43" s="94">
        <f t="shared" si="1"/>
        <v>0.46825071691929537</v>
      </c>
      <c r="J43" s="66">
        <f>Assumptions!$C$62</f>
        <v>27296</v>
      </c>
      <c r="K43" s="66">
        <f t="shared" si="2"/>
        <v>71358397.469889387</v>
      </c>
      <c r="L43" s="1005"/>
      <c r="M43" s="855">
        <f>Assumptions!$C$64</f>
        <v>3.6635404454865184E-2</v>
      </c>
      <c r="N43" s="877"/>
      <c r="O43" s="458">
        <f t="shared" si="28"/>
        <v>2.06257327080891</v>
      </c>
      <c r="P43" s="1047">
        <f t="shared" si="4"/>
        <v>147181923.26915199</v>
      </c>
      <c r="Q43" s="393"/>
      <c r="R43" s="394"/>
      <c r="S43" s="322">
        <f>Gasoline!K43</f>
        <v>0</v>
      </c>
      <c r="T43" s="329">
        <f t="shared" ref="T43:T65" si="31">S43*O43</f>
        <v>0</v>
      </c>
      <c r="U43" s="320"/>
      <c r="V43" s="320">
        <f t="shared" ref="V43:V65" si="32">U43+T43</f>
        <v>0</v>
      </c>
      <c r="W43" s="314">
        <f t="shared" si="29"/>
        <v>0</v>
      </c>
      <c r="X43" s="1046"/>
      <c r="Y43" s="1047">
        <f t="shared" si="26"/>
        <v>0</v>
      </c>
      <c r="Z43" s="395"/>
      <c r="AA43" s="396">
        <f t="shared" si="27"/>
        <v>0</v>
      </c>
      <c r="AB43" s="1007"/>
      <c r="AC43" s="847"/>
      <c r="AD43" s="607"/>
      <c r="AE43" s="363">
        <f>0.0563*1000*M43</f>
        <v>2.06257327080891</v>
      </c>
      <c r="AF43" s="847">
        <f t="shared" si="18"/>
        <v>147181923.26915199</v>
      </c>
    </row>
    <row r="44" spans="1:33" s="85" customFormat="1" x14ac:dyDescent="0.6">
      <c r="A44" s="61">
        <f t="shared" si="30"/>
        <v>37</v>
      </c>
      <c r="B44" s="86" t="s">
        <v>55</v>
      </c>
      <c r="C44" s="290">
        <v>17619</v>
      </c>
      <c r="D44" s="290">
        <v>7938</v>
      </c>
      <c r="E44" s="290">
        <v>5133</v>
      </c>
      <c r="F44" s="348">
        <f t="shared" si="0"/>
        <v>4548</v>
      </c>
      <c r="G44" s="1003">
        <v>24688</v>
      </c>
      <c r="H44" s="66">
        <f>1607+21252</f>
        <v>22859</v>
      </c>
      <c r="I44" s="94">
        <f t="shared" si="1"/>
        <v>0.92591542449773168</v>
      </c>
      <c r="J44" s="66">
        <f>Assumptions!$C$62</f>
        <v>27296</v>
      </c>
      <c r="K44" s="66">
        <f t="shared" si="2"/>
        <v>200623324.59624109</v>
      </c>
      <c r="L44" s="1005"/>
      <c r="M44" s="855">
        <f>Assumptions!$C$64</f>
        <v>3.6635404454865184E-2</v>
      </c>
      <c r="N44" s="877"/>
      <c r="O44" s="458">
        <f t="shared" si="28"/>
        <v>2.5754689331770222</v>
      </c>
      <c r="P44" s="1047">
        <f t="shared" si="4"/>
        <v>516699139.76830846</v>
      </c>
      <c r="Q44" s="393"/>
      <c r="R44" s="394"/>
      <c r="S44" s="322">
        <f>Gasoline!K44</f>
        <v>0</v>
      </c>
      <c r="T44" s="329">
        <f t="shared" si="31"/>
        <v>0</v>
      </c>
      <c r="U44" s="320"/>
      <c r="V44" s="320">
        <f t="shared" si="32"/>
        <v>0</v>
      </c>
      <c r="W44" s="314">
        <f t="shared" si="29"/>
        <v>0</v>
      </c>
      <c r="X44" s="1046"/>
      <c r="Y44" s="1047">
        <f t="shared" si="26"/>
        <v>0</v>
      </c>
      <c r="Z44" s="395"/>
      <c r="AA44" s="396">
        <f t="shared" si="27"/>
        <v>0</v>
      </c>
      <c r="AB44" s="1007"/>
      <c r="AC44" s="847"/>
      <c r="AD44" s="607"/>
      <c r="AE44" s="363">
        <f>0.0703*1000*M44</f>
        <v>2.5754689331770222</v>
      </c>
      <c r="AF44" s="847">
        <f t="shared" si="18"/>
        <v>516699139.76830846</v>
      </c>
    </row>
    <row r="45" spans="1:33" s="85" customFormat="1" x14ac:dyDescent="0.6">
      <c r="A45" s="61">
        <f t="shared" si="30"/>
        <v>38</v>
      </c>
      <c r="B45" s="86" t="s">
        <v>56</v>
      </c>
      <c r="C45" s="290">
        <v>27814</v>
      </c>
      <c r="D45" s="290">
        <v>7626</v>
      </c>
      <c r="E45" s="290">
        <v>6141</v>
      </c>
      <c r="F45" s="348">
        <f t="shared" si="0"/>
        <v>14047</v>
      </c>
      <c r="G45" s="1003">
        <v>28484</v>
      </c>
      <c r="H45" s="66">
        <f>9+28475</f>
        <v>28484</v>
      </c>
      <c r="I45" s="94">
        <f t="shared" si="1"/>
        <v>1</v>
      </c>
      <c r="J45" s="66">
        <f>Assumptions!$C$62</f>
        <v>27296</v>
      </c>
      <c r="K45" s="66">
        <f t="shared" si="2"/>
        <v>208159296</v>
      </c>
      <c r="L45" s="1005"/>
      <c r="M45" s="855">
        <f>Assumptions!$C$64</f>
        <v>3.6635404454865184E-2</v>
      </c>
      <c r="N45" s="877"/>
      <c r="O45" s="458">
        <f t="shared" si="28"/>
        <v>1.6852286049237986</v>
      </c>
      <c r="P45" s="1047">
        <f t="shared" si="4"/>
        <v>350796000.00000006</v>
      </c>
      <c r="Q45" s="393"/>
      <c r="R45" s="394"/>
      <c r="S45" s="322">
        <f>Gasoline!K45</f>
        <v>0</v>
      </c>
      <c r="T45" s="329">
        <f t="shared" si="31"/>
        <v>0</v>
      </c>
      <c r="U45" s="320"/>
      <c r="V45" s="320">
        <f t="shared" si="32"/>
        <v>0</v>
      </c>
      <c r="W45" s="314">
        <f t="shared" si="29"/>
        <v>0</v>
      </c>
      <c r="X45" s="1046"/>
      <c r="Y45" s="1047">
        <f t="shared" si="26"/>
        <v>0</v>
      </c>
      <c r="Z45" s="395"/>
      <c r="AA45" s="396">
        <f t="shared" si="27"/>
        <v>0</v>
      </c>
      <c r="AB45" s="1007"/>
      <c r="AC45" s="847"/>
      <c r="AD45" s="607"/>
      <c r="AE45" s="363">
        <f>0.046*1000*M45</f>
        <v>1.6852286049237986</v>
      </c>
      <c r="AF45" s="847">
        <f t="shared" si="18"/>
        <v>350796000.00000006</v>
      </c>
    </row>
    <row r="46" spans="1:33" s="85" customFormat="1" x14ac:dyDescent="0.6">
      <c r="A46" s="61">
        <f t="shared" si="30"/>
        <v>39</v>
      </c>
      <c r="B46" s="86" t="s">
        <v>57</v>
      </c>
      <c r="C46" s="290">
        <v>3391</v>
      </c>
      <c r="D46" s="290">
        <v>1368</v>
      </c>
      <c r="E46" s="290">
        <v>1834</v>
      </c>
      <c r="F46" s="348">
        <f t="shared" si="0"/>
        <v>189</v>
      </c>
      <c r="G46" s="1003">
        <v>4200</v>
      </c>
      <c r="H46" s="66">
        <f>42+4156</f>
        <v>4198</v>
      </c>
      <c r="I46" s="94">
        <f t="shared" si="1"/>
        <v>0.99952380952380948</v>
      </c>
      <c r="J46" s="66">
        <f>Assumptions!$C$62</f>
        <v>27296</v>
      </c>
      <c r="K46" s="66">
        <f t="shared" si="2"/>
        <v>37323146.605714284</v>
      </c>
      <c r="L46" s="1005"/>
      <c r="M46" s="855">
        <f>Assumptions!$C$64</f>
        <v>3.6635404454865184E-2</v>
      </c>
      <c r="N46" s="877"/>
      <c r="O46" s="458">
        <f t="shared" si="28"/>
        <v>2.0772274325908562</v>
      </c>
      <c r="P46" s="1047">
        <f t="shared" si="4"/>
        <v>77528664.000000015</v>
      </c>
      <c r="Q46" s="393"/>
      <c r="R46" s="394"/>
      <c r="S46" s="322">
        <f>Gasoline!K46</f>
        <v>0</v>
      </c>
      <c r="T46" s="329">
        <f t="shared" si="31"/>
        <v>0</v>
      </c>
      <c r="U46" s="320"/>
      <c r="V46" s="320">
        <f t="shared" si="32"/>
        <v>0</v>
      </c>
      <c r="W46" s="314">
        <f t="shared" si="29"/>
        <v>0</v>
      </c>
      <c r="X46" s="1046"/>
      <c r="Y46" s="1047">
        <f t="shared" si="26"/>
        <v>0</v>
      </c>
      <c r="Z46" s="395"/>
      <c r="AA46" s="396">
        <f t="shared" si="27"/>
        <v>0</v>
      </c>
      <c r="AB46" s="1007"/>
      <c r="AC46" s="847"/>
      <c r="AD46" s="607"/>
      <c r="AE46" s="363">
        <f>0.0567*1000*M46</f>
        <v>2.0772274325908562</v>
      </c>
      <c r="AF46" s="847">
        <f t="shared" si="18"/>
        <v>77528664.000000015</v>
      </c>
    </row>
    <row r="47" spans="1:33" s="85" customFormat="1" x14ac:dyDescent="0.6">
      <c r="A47" s="61">
        <f t="shared" si="30"/>
        <v>40</v>
      </c>
      <c r="B47" s="86" t="s">
        <v>58</v>
      </c>
      <c r="C47" s="290">
        <v>22867</v>
      </c>
      <c r="D47" s="290">
        <v>6906</v>
      </c>
      <c r="E47" s="290">
        <v>5059</v>
      </c>
      <c r="F47" s="348">
        <f t="shared" si="0"/>
        <v>10902</v>
      </c>
      <c r="G47" s="1003">
        <v>25830</v>
      </c>
      <c r="H47" s="66">
        <f>8919+3272</f>
        <v>12191</v>
      </c>
      <c r="I47" s="94">
        <f t="shared" si="1"/>
        <v>0.47197057684862564</v>
      </c>
      <c r="J47" s="66">
        <f>Assumptions!$C$62</f>
        <v>27296</v>
      </c>
      <c r="K47" s="66">
        <f t="shared" si="2"/>
        <v>88969368.626248553</v>
      </c>
      <c r="L47" s="1005"/>
      <c r="M47" s="855">
        <f>Assumptions!$C$64</f>
        <v>3.6635404454865184E-2</v>
      </c>
      <c r="N47" s="877"/>
      <c r="O47" s="458">
        <f t="shared" si="28"/>
        <v>3.4803634232121925</v>
      </c>
      <c r="P47" s="1047">
        <f t="shared" si="4"/>
        <v>309645736.35307783</v>
      </c>
      <c r="Q47" s="393"/>
      <c r="R47" s="394"/>
      <c r="S47" s="322">
        <f>Gasoline!K47</f>
        <v>0</v>
      </c>
      <c r="T47" s="329">
        <f t="shared" si="31"/>
        <v>0</v>
      </c>
      <c r="U47" s="320"/>
      <c r="V47" s="320">
        <f t="shared" si="32"/>
        <v>0</v>
      </c>
      <c r="W47" s="314">
        <f t="shared" si="29"/>
        <v>0</v>
      </c>
      <c r="X47" s="1046"/>
      <c r="Y47" s="1047">
        <f t="shared" si="26"/>
        <v>0</v>
      </c>
      <c r="Z47" s="395"/>
      <c r="AA47" s="403">
        <f t="shared" si="27"/>
        <v>0</v>
      </c>
      <c r="AB47" s="1007"/>
      <c r="AC47" s="847"/>
      <c r="AD47" s="607"/>
      <c r="AE47" s="363">
        <f>0.095*1000*M47</f>
        <v>3.4803634232121925</v>
      </c>
      <c r="AF47" s="847">
        <f t="shared" si="18"/>
        <v>309645736.35307783</v>
      </c>
    </row>
    <row r="48" spans="1:33" s="85" customFormat="1" x14ac:dyDescent="0.6">
      <c r="A48" s="61">
        <f t="shared" si="30"/>
        <v>41</v>
      </c>
      <c r="B48" s="86" t="s">
        <v>59</v>
      </c>
      <c r="C48" s="290">
        <v>154205</v>
      </c>
      <c r="D48" s="290">
        <v>67238</v>
      </c>
      <c r="E48" s="290">
        <v>40170</v>
      </c>
      <c r="F48" s="348">
        <f t="shared" si="0"/>
        <v>46797</v>
      </c>
      <c r="G48" s="1003">
        <v>181977</v>
      </c>
      <c r="H48" s="66">
        <f>38237+128710</f>
        <v>166947</v>
      </c>
      <c r="I48" s="94">
        <f t="shared" si="1"/>
        <v>0.91740714485896568</v>
      </c>
      <c r="J48" s="66">
        <f>Assumptions!$C$62</f>
        <v>27296</v>
      </c>
      <c r="K48" s="66">
        <f t="shared" si="2"/>
        <v>1683743431.3581166</v>
      </c>
      <c r="L48" s="1025">
        <f>Assumptions!$H$26</f>
        <v>0.13106999999999999</v>
      </c>
      <c r="M48" s="855">
        <f>Assumptions!$C$64</f>
        <v>3.6635404454865184E-2</v>
      </c>
      <c r="N48" s="877"/>
      <c r="O48" s="458">
        <f t="shared" si="28"/>
        <v>4.0555392731535758</v>
      </c>
      <c r="P48" s="1047">
        <f t="shared" si="4"/>
        <v>6828487611.7872038</v>
      </c>
      <c r="Q48" s="393"/>
      <c r="R48" s="394"/>
      <c r="S48" s="322">
        <f>Gasoline!K48</f>
        <v>0</v>
      </c>
      <c r="T48" s="329">
        <f t="shared" si="31"/>
        <v>0</v>
      </c>
      <c r="U48" s="320"/>
      <c r="V48" s="320">
        <f t="shared" si="32"/>
        <v>0</v>
      </c>
      <c r="W48" s="314">
        <f t="shared" si="29"/>
        <v>0</v>
      </c>
      <c r="X48" s="1046"/>
      <c r="Y48" s="1047">
        <f t="shared" si="26"/>
        <v>0</v>
      </c>
      <c r="Z48" s="395"/>
      <c r="AA48" s="396">
        <f t="shared" si="27"/>
        <v>0</v>
      </c>
      <c r="AB48" s="1007"/>
      <c r="AC48" s="847"/>
      <c r="AD48" s="607"/>
      <c r="AE48" s="363">
        <f>0.1107*1000*M48</f>
        <v>4.0555392731535758</v>
      </c>
      <c r="AF48" s="847">
        <f t="shared" si="18"/>
        <v>6828487611.7872038</v>
      </c>
    </row>
    <row r="49" spans="1:32" s="85" customFormat="1" x14ac:dyDescent="0.6">
      <c r="A49" s="61">
        <f t="shared" si="30"/>
        <v>42</v>
      </c>
      <c r="B49" s="86" t="s">
        <v>60</v>
      </c>
      <c r="C49" s="290">
        <v>1852</v>
      </c>
      <c r="D49" s="290">
        <v>963</v>
      </c>
      <c r="E49" s="290">
        <v>279</v>
      </c>
      <c r="F49" s="348">
        <f t="shared" si="0"/>
        <v>610</v>
      </c>
      <c r="G49" s="1003">
        <v>2126</v>
      </c>
      <c r="H49" s="66">
        <f>217+989</f>
        <v>1206</v>
      </c>
      <c r="I49" s="94">
        <f t="shared" si="1"/>
        <v>0.56726246472248354</v>
      </c>
      <c r="J49" s="66">
        <f>Assumptions!$C$62</f>
        <v>27296</v>
      </c>
      <c r="K49" s="66">
        <f t="shared" si="2"/>
        <v>14911088.376293508</v>
      </c>
      <c r="L49" s="1005"/>
      <c r="M49" s="855">
        <f>Assumptions!$C$64</f>
        <v>3.6635404454865184E-2</v>
      </c>
      <c r="N49" s="877"/>
      <c r="O49" s="458">
        <f t="shared" si="28"/>
        <v>8.0597889800703406</v>
      </c>
      <c r="P49" s="1047">
        <f t="shared" si="4"/>
        <v>120180225.77610537</v>
      </c>
      <c r="Q49" s="393"/>
      <c r="R49" s="394"/>
      <c r="S49" s="322">
        <f>Gasoline!K49</f>
        <v>0</v>
      </c>
      <c r="T49" s="329">
        <f t="shared" si="31"/>
        <v>0</v>
      </c>
      <c r="U49" s="320"/>
      <c r="V49" s="320">
        <f t="shared" si="32"/>
        <v>0</v>
      </c>
      <c r="W49" s="314">
        <f t="shared" si="29"/>
        <v>0</v>
      </c>
      <c r="X49" s="1046"/>
      <c r="Y49" s="1047">
        <f t="shared" si="26"/>
        <v>0</v>
      </c>
      <c r="Z49" s="395"/>
      <c r="AA49" s="396">
        <f t="shared" si="27"/>
        <v>0</v>
      </c>
      <c r="AB49" s="1007"/>
      <c r="AC49" s="847"/>
      <c r="AD49" s="607"/>
      <c r="AE49" s="363">
        <f>0.22*1000*M49</f>
        <v>8.0597889800703406</v>
      </c>
      <c r="AF49" s="847">
        <f t="shared" si="18"/>
        <v>120180225.77610537</v>
      </c>
    </row>
    <row r="50" spans="1:32" s="85" customFormat="1" x14ac:dyDescent="0.6">
      <c r="A50" s="61">
        <f t="shared" si="30"/>
        <v>43</v>
      </c>
      <c r="B50" s="86" t="s">
        <v>61</v>
      </c>
      <c r="C50" s="290">
        <v>202848</v>
      </c>
      <c r="D50" s="290">
        <v>86054</v>
      </c>
      <c r="E50" s="290">
        <v>50085</v>
      </c>
      <c r="F50" s="348">
        <f t="shared" si="0"/>
        <v>66709</v>
      </c>
      <c r="G50" s="1003">
        <v>233984</v>
      </c>
      <c r="H50" s="66">
        <f>130508+19650+58894</f>
        <v>209052</v>
      </c>
      <c r="I50" s="94">
        <f t="shared" si="1"/>
        <v>0.89344570568927795</v>
      </c>
      <c r="J50" s="66">
        <f>Assumptions!$C$62</f>
        <v>27296</v>
      </c>
      <c r="K50" s="66">
        <f t="shared" si="2"/>
        <v>2098641407.1695843</v>
      </c>
      <c r="L50" s="1026">
        <f>Assumptions!$H$23</f>
        <v>7.3999999999999996E-5</v>
      </c>
      <c r="M50" s="855">
        <f>Assumptions!$C$64</f>
        <v>3.6635404454865184E-2</v>
      </c>
      <c r="N50" s="877"/>
      <c r="O50" s="458">
        <f t="shared" si="28"/>
        <v>4.7516119577960145</v>
      </c>
      <c r="P50" s="1047">
        <f t="shared" si="4"/>
        <v>9971929605.4328518</v>
      </c>
      <c r="Q50" s="393"/>
      <c r="R50" s="394"/>
      <c r="S50" s="322">
        <f>Gasoline!K50</f>
        <v>0</v>
      </c>
      <c r="T50" s="329">
        <f t="shared" si="31"/>
        <v>0</v>
      </c>
      <c r="U50" s="320"/>
      <c r="V50" s="320">
        <f t="shared" si="32"/>
        <v>0</v>
      </c>
      <c r="W50" s="314">
        <f t="shared" si="29"/>
        <v>0</v>
      </c>
      <c r="X50" s="1046"/>
      <c r="Y50" s="1047">
        <f t="shared" si="26"/>
        <v>0</v>
      </c>
      <c r="Z50" s="395"/>
      <c r="AA50" s="396">
        <f t="shared" si="27"/>
        <v>0</v>
      </c>
      <c r="AB50" s="1007"/>
      <c r="AC50" s="847"/>
      <c r="AD50" s="607"/>
      <c r="AE50" s="363">
        <f>0.1297*1000*M50</f>
        <v>4.7516119577960145</v>
      </c>
      <c r="AF50" s="847">
        <f t="shared" si="18"/>
        <v>9971929605.4328518</v>
      </c>
    </row>
    <row r="51" spans="1:32" s="85" customFormat="1" x14ac:dyDescent="0.6">
      <c r="A51" s="61">
        <f t="shared" si="30"/>
        <v>44</v>
      </c>
      <c r="B51" s="86" t="s">
        <v>62</v>
      </c>
      <c r="C51" s="290">
        <v>35585</v>
      </c>
      <c r="D51" s="290">
        <v>16602</v>
      </c>
      <c r="E51" s="290">
        <v>2528</v>
      </c>
      <c r="F51" s="348">
        <f t="shared" si="0"/>
        <v>16455</v>
      </c>
      <c r="G51" s="1003">
        <v>68922</v>
      </c>
      <c r="H51" s="66">
        <f>49521+16829</f>
        <v>66350</v>
      </c>
      <c r="I51" s="94">
        <f t="shared" si="1"/>
        <v>0.96268245262760799</v>
      </c>
      <c r="J51" s="66">
        <f>Assumptions!$C$62</f>
        <v>27296</v>
      </c>
      <c r="K51" s="66">
        <f t="shared" si="2"/>
        <v>436257066.52737874</v>
      </c>
      <c r="L51" s="1005"/>
      <c r="M51" s="855">
        <f>Assumptions!$C$64</f>
        <v>3.6635404454865184E-2</v>
      </c>
      <c r="N51" s="877"/>
      <c r="O51" s="458">
        <f t="shared" si="28"/>
        <v>3.6745310668229778</v>
      </c>
      <c r="P51" s="1047">
        <f t="shared" si="4"/>
        <v>1603040144.0759118</v>
      </c>
      <c r="Q51" s="393"/>
      <c r="R51" s="394"/>
      <c r="S51" s="322">
        <f>Gasoline!K51</f>
        <v>0</v>
      </c>
      <c r="T51" s="329">
        <f t="shared" si="31"/>
        <v>0</v>
      </c>
      <c r="U51" s="320"/>
      <c r="V51" s="320">
        <f t="shared" si="32"/>
        <v>0</v>
      </c>
      <c r="W51" s="314">
        <f t="shared" si="29"/>
        <v>0</v>
      </c>
      <c r="X51" s="1046"/>
      <c r="Y51" s="1047">
        <f t="shared" si="26"/>
        <v>0</v>
      </c>
      <c r="Z51" s="395"/>
      <c r="AA51" s="396">
        <f t="shared" si="27"/>
        <v>0</v>
      </c>
      <c r="AB51" s="1007"/>
      <c r="AC51" s="847"/>
      <c r="AD51" s="607"/>
      <c r="AE51" s="363">
        <f>0.1003*1000*M51</f>
        <v>3.6745310668229778</v>
      </c>
      <c r="AF51" s="847">
        <f t="shared" si="18"/>
        <v>1603040144.0759118</v>
      </c>
    </row>
    <row r="52" spans="1:32" s="85" customFormat="1" x14ac:dyDescent="0.6">
      <c r="A52" s="61">
        <f t="shared" si="30"/>
        <v>45</v>
      </c>
      <c r="B52" s="86" t="s">
        <v>63</v>
      </c>
      <c r="C52" s="290">
        <v>211077</v>
      </c>
      <c r="D52" s="290">
        <v>76104</v>
      </c>
      <c r="E52" s="290">
        <v>38875</v>
      </c>
      <c r="F52" s="348">
        <f t="shared" si="0"/>
        <v>96098</v>
      </c>
      <c r="G52" s="1003">
        <v>280633</v>
      </c>
      <c r="H52" s="66">
        <f>462+40483+222448</f>
        <v>263393</v>
      </c>
      <c r="I52" s="94">
        <f t="shared" si="1"/>
        <v>0.93856745286548626</v>
      </c>
      <c r="J52" s="66">
        <f>Assumptions!$C$62</f>
        <v>27296</v>
      </c>
      <c r="K52" s="66">
        <f t="shared" si="2"/>
        <v>1949718816.9677553</v>
      </c>
      <c r="L52" s="1025">
        <f>Assumptions!H27</f>
        <v>2.8E-5</v>
      </c>
      <c r="M52" s="855">
        <f>Assumptions!$C$64</f>
        <v>3.6635404454865184E-2</v>
      </c>
      <c r="N52" s="877"/>
      <c r="O52" s="458">
        <f t="shared" si="28"/>
        <v>2.9674677608440798</v>
      </c>
      <c r="P52" s="1047">
        <f t="shared" si="4"/>
        <v>5785727732.0628729</v>
      </c>
      <c r="Q52" s="393"/>
      <c r="R52" s="394"/>
      <c r="S52" s="322">
        <f>Gasoline!K52</f>
        <v>0</v>
      </c>
      <c r="T52" s="329">
        <f t="shared" si="31"/>
        <v>0</v>
      </c>
      <c r="U52" s="320"/>
      <c r="V52" s="320">
        <f t="shared" si="32"/>
        <v>0</v>
      </c>
      <c r="W52" s="314">
        <f t="shared" si="29"/>
        <v>0</v>
      </c>
      <c r="X52" s="1046"/>
      <c r="Y52" s="1047">
        <f t="shared" si="26"/>
        <v>0</v>
      </c>
      <c r="Z52" s="395"/>
      <c r="AA52" s="396">
        <f t="shared" si="27"/>
        <v>0</v>
      </c>
      <c r="AB52" s="1007"/>
      <c r="AC52" s="847"/>
      <c r="AD52" s="607"/>
      <c r="AE52" s="363">
        <f>0.081*1000*M52</f>
        <v>2.9674677608440798</v>
      </c>
      <c r="AF52" s="847">
        <f t="shared" si="18"/>
        <v>5785727732.0628729</v>
      </c>
    </row>
    <row r="53" spans="1:32" s="85" customFormat="1" x14ac:dyDescent="0.6">
      <c r="A53" s="61">
        <f t="shared" si="30"/>
        <v>46</v>
      </c>
      <c r="B53" s="86" t="s">
        <v>64</v>
      </c>
      <c r="C53" s="290">
        <v>68198</v>
      </c>
      <c r="D53" s="290">
        <v>12067</v>
      </c>
      <c r="E53" s="290">
        <v>6648</v>
      </c>
      <c r="F53" s="348">
        <f t="shared" si="0"/>
        <v>49483</v>
      </c>
      <c r="G53" s="1003">
        <v>106468</v>
      </c>
      <c r="H53" s="66">
        <f>76198+1239+19583</f>
        <v>97020</v>
      </c>
      <c r="I53" s="94">
        <f t="shared" si="1"/>
        <v>0.91125972123079235</v>
      </c>
      <c r="J53" s="66">
        <f>Assumptions!$C$62</f>
        <v>27296</v>
      </c>
      <c r="K53" s="66">
        <f t="shared" si="2"/>
        <v>300151485.14708644</v>
      </c>
      <c r="L53" s="1005"/>
      <c r="M53" s="855">
        <f>Assumptions!$C$64</f>
        <v>3.6635404454865184E-2</v>
      </c>
      <c r="N53" s="877"/>
      <c r="O53" s="458">
        <f t="shared" si="28"/>
        <v>3.5060082063305975</v>
      </c>
      <c r="P53" s="1047">
        <f t="shared" si="4"/>
        <v>1052333570.0680015</v>
      </c>
      <c r="Q53" s="393"/>
      <c r="R53" s="394"/>
      <c r="S53" s="322">
        <f>Gasoline!K53</f>
        <v>0</v>
      </c>
      <c r="T53" s="329">
        <f t="shared" si="31"/>
        <v>0</v>
      </c>
      <c r="U53" s="320"/>
      <c r="V53" s="320">
        <f t="shared" si="32"/>
        <v>0</v>
      </c>
      <c r="W53" s="314">
        <f t="shared" si="29"/>
        <v>0</v>
      </c>
      <c r="X53" s="1046"/>
      <c r="Y53" s="1047">
        <f t="shared" si="26"/>
        <v>0</v>
      </c>
      <c r="Z53" s="395"/>
      <c r="AA53" s="396">
        <f t="shared" si="27"/>
        <v>0</v>
      </c>
      <c r="AB53" s="1007"/>
      <c r="AC53" s="847"/>
      <c r="AD53" s="607"/>
      <c r="AE53" s="363">
        <f>0.0957*1000*M53</f>
        <v>3.5060082063305975</v>
      </c>
      <c r="AF53" s="847">
        <f t="shared" si="18"/>
        <v>1052333570.0680015</v>
      </c>
    </row>
    <row r="54" spans="1:32" s="85" customFormat="1" x14ac:dyDescent="0.6">
      <c r="A54" s="61">
        <f t="shared" si="30"/>
        <v>47</v>
      </c>
      <c r="B54" s="86" t="s">
        <v>65</v>
      </c>
      <c r="C54" s="290">
        <v>43296</v>
      </c>
      <c r="D54" s="290">
        <v>27932</v>
      </c>
      <c r="E54" s="290">
        <v>15364</v>
      </c>
      <c r="F54" s="348">
        <f t="shared" si="0"/>
        <v>0</v>
      </c>
      <c r="G54" s="1003">
        <v>67918</v>
      </c>
      <c r="H54" s="66">
        <f>43183+24735</f>
        <v>67918</v>
      </c>
      <c r="I54" s="94">
        <f t="shared" si="1"/>
        <v>1</v>
      </c>
      <c r="J54" s="66">
        <f>Assumptions!$C$62</f>
        <v>27296</v>
      </c>
      <c r="K54" s="66">
        <f t="shared" si="2"/>
        <v>762431872</v>
      </c>
      <c r="L54" s="1005"/>
      <c r="M54" s="855">
        <f>Assumptions!$C$64</f>
        <v>3.6635404454865184E-2</v>
      </c>
      <c r="N54" s="877"/>
      <c r="O54" s="458">
        <f t="shared" si="28"/>
        <v>0.26743845252051585</v>
      </c>
      <c r="P54" s="1047">
        <f t="shared" si="4"/>
        <v>203903600</v>
      </c>
      <c r="Q54" s="393"/>
      <c r="R54" s="394"/>
      <c r="S54" s="322">
        <f>Gasoline!K54</f>
        <v>0</v>
      </c>
      <c r="T54" s="329">
        <f t="shared" si="31"/>
        <v>0</v>
      </c>
      <c r="U54" s="320"/>
      <c r="V54" s="320">
        <f t="shared" si="32"/>
        <v>0</v>
      </c>
      <c r="W54" s="314">
        <f t="shared" si="29"/>
        <v>0</v>
      </c>
      <c r="X54" s="1046"/>
      <c r="Y54" s="1047">
        <f t="shared" si="26"/>
        <v>0</v>
      </c>
      <c r="Z54" s="395"/>
      <c r="AA54" s="396">
        <f t="shared" si="27"/>
        <v>0</v>
      </c>
      <c r="AB54" s="1007"/>
      <c r="AC54" s="1010"/>
      <c r="AD54" s="616"/>
      <c r="AE54" s="363">
        <f>0.0073*1000*M54</f>
        <v>0.26743845252051585</v>
      </c>
      <c r="AF54" s="847">
        <f t="shared" si="18"/>
        <v>203903600</v>
      </c>
    </row>
    <row r="55" spans="1:32" s="85" customFormat="1" x14ac:dyDescent="0.6">
      <c r="A55" s="61">
        <f t="shared" si="30"/>
        <v>48</v>
      </c>
      <c r="B55" s="86" t="s">
        <v>66</v>
      </c>
      <c r="C55" s="290">
        <v>9780</v>
      </c>
      <c r="D55" s="290">
        <v>3851</v>
      </c>
      <c r="E55" s="290">
        <v>3319</v>
      </c>
      <c r="F55" s="348">
        <f t="shared" si="0"/>
        <v>2610</v>
      </c>
      <c r="G55" s="1003">
        <v>37713</v>
      </c>
      <c r="H55" s="66">
        <f>17461+20252</f>
        <v>37713</v>
      </c>
      <c r="I55" s="94">
        <f t="shared" si="1"/>
        <v>1</v>
      </c>
      <c r="J55" s="66">
        <f>Assumptions!$C$62</f>
        <v>27296</v>
      </c>
      <c r="K55" s="66">
        <f t="shared" si="2"/>
        <v>105116896</v>
      </c>
      <c r="L55" s="1005"/>
      <c r="M55" s="855">
        <f>Assumptions!$C$64</f>
        <v>3.6635404454865184E-2</v>
      </c>
      <c r="N55" s="877"/>
      <c r="O55" s="458">
        <f t="shared" si="28"/>
        <v>6.1803927315357559</v>
      </c>
      <c r="P55" s="1047">
        <f t="shared" si="4"/>
        <v>649663700</v>
      </c>
      <c r="Q55" s="393"/>
      <c r="R55" s="394"/>
      <c r="S55" s="322">
        <f>Gasoline!K55</f>
        <v>0</v>
      </c>
      <c r="T55" s="329">
        <f t="shared" si="31"/>
        <v>0</v>
      </c>
      <c r="U55" s="320"/>
      <c r="V55" s="320">
        <f t="shared" si="32"/>
        <v>0</v>
      </c>
      <c r="W55" s="314">
        <f t="shared" si="29"/>
        <v>0</v>
      </c>
      <c r="X55" s="1046"/>
      <c r="Y55" s="1047">
        <f t="shared" si="26"/>
        <v>0</v>
      </c>
      <c r="Z55" s="395"/>
      <c r="AA55" s="396">
        <f t="shared" si="27"/>
        <v>0</v>
      </c>
      <c r="AB55" s="1007"/>
      <c r="AC55" s="1010"/>
      <c r="AD55" s="616"/>
      <c r="AE55" s="363">
        <f>0.1687*1000*M55</f>
        <v>6.1803927315357559</v>
      </c>
      <c r="AF55" s="847">
        <f t="shared" si="18"/>
        <v>649663700</v>
      </c>
    </row>
    <row r="56" spans="1:32" s="85" customFormat="1" x14ac:dyDescent="0.6">
      <c r="A56" s="61">
        <f t="shared" si="30"/>
        <v>49</v>
      </c>
      <c r="B56" s="86" t="s">
        <v>67</v>
      </c>
      <c r="C56" s="290">
        <v>132552</v>
      </c>
      <c r="D56" s="290">
        <v>28738</v>
      </c>
      <c r="E56" s="290">
        <v>28738</v>
      </c>
      <c r="F56" s="348">
        <f t="shared" si="0"/>
        <v>75076</v>
      </c>
      <c r="G56" s="1003">
        <v>150123</v>
      </c>
      <c r="H56" s="66">
        <f>63474+1739+69962</f>
        <v>135175</v>
      </c>
      <c r="I56" s="94">
        <f t="shared" si="1"/>
        <v>0.90042831544799928</v>
      </c>
      <c r="J56" s="66">
        <f>Assumptions!$C$62</f>
        <v>27296</v>
      </c>
      <c r="K56" s="66">
        <f t="shared" si="2"/>
        <v>706325187.73539031</v>
      </c>
      <c r="L56" s="1005">
        <f>Assumptions!$H$28</f>
        <v>0.244814</v>
      </c>
      <c r="M56" s="855">
        <f>Assumptions!$C$64</f>
        <v>3.6635404454865184E-2</v>
      </c>
      <c r="N56" s="877"/>
      <c r="O56" s="458">
        <f t="shared" si="28"/>
        <v>5.6784876905041033</v>
      </c>
      <c r="P56" s="1047">
        <f t="shared" si="4"/>
        <v>4010858884.0484138</v>
      </c>
      <c r="Q56" s="393"/>
      <c r="R56" s="394"/>
      <c r="S56" s="322">
        <f>Gasoline!K56</f>
        <v>0</v>
      </c>
      <c r="T56" s="329">
        <f t="shared" si="31"/>
        <v>0</v>
      </c>
      <c r="U56" s="320"/>
      <c r="V56" s="320">
        <f t="shared" si="32"/>
        <v>0</v>
      </c>
      <c r="W56" s="314">
        <f t="shared" si="29"/>
        <v>0</v>
      </c>
      <c r="X56" s="1046"/>
      <c r="Y56" s="1047">
        <f t="shared" si="26"/>
        <v>0</v>
      </c>
      <c r="Z56" s="395"/>
      <c r="AA56" s="396">
        <f t="shared" si="27"/>
        <v>0</v>
      </c>
      <c r="AB56" s="1007"/>
      <c r="AC56" s="1010"/>
      <c r="AD56" s="616"/>
      <c r="AE56" s="363">
        <f>0.155*1000*M56</f>
        <v>5.6784876905041033</v>
      </c>
      <c r="AF56" s="847">
        <f t="shared" si="18"/>
        <v>4010858884.0484138</v>
      </c>
    </row>
    <row r="57" spans="1:32" s="85" customFormat="1" x14ac:dyDescent="0.6">
      <c r="A57" s="61">
        <f t="shared" si="30"/>
        <v>50</v>
      </c>
      <c r="B57" s="86" t="s">
        <v>68</v>
      </c>
      <c r="C57" s="290">
        <v>25089</v>
      </c>
      <c r="D57" s="290">
        <v>14376</v>
      </c>
      <c r="E57" s="290">
        <v>6548</v>
      </c>
      <c r="F57" s="348">
        <f t="shared" si="0"/>
        <v>4165</v>
      </c>
      <c r="G57" s="1003">
        <v>31426</v>
      </c>
      <c r="H57" s="66">
        <v>25708</v>
      </c>
      <c r="I57" s="94">
        <f t="shared" si="1"/>
        <v>0.81804874944313621</v>
      </c>
      <c r="J57" s="66">
        <f>Assumptions!$C$62</f>
        <v>27296</v>
      </c>
      <c r="K57" s="66">
        <f t="shared" si="2"/>
        <v>321008297.76516259</v>
      </c>
      <c r="L57" s="1005"/>
      <c r="M57" s="855">
        <f>Assumptions!$C$64</f>
        <v>3.6635404454865184E-2</v>
      </c>
      <c r="N57" s="877"/>
      <c r="O57" s="458">
        <f t="shared" si="28"/>
        <v>7.2648007033997661</v>
      </c>
      <c r="P57" s="1047">
        <f t="shared" si="4"/>
        <v>2332061307.4015145</v>
      </c>
      <c r="Q57" s="393"/>
      <c r="R57" s="394"/>
      <c r="S57" s="322">
        <f>Gasoline!K57</f>
        <v>0</v>
      </c>
      <c r="T57" s="329">
        <f t="shared" si="31"/>
        <v>0</v>
      </c>
      <c r="U57" s="320"/>
      <c r="V57" s="320">
        <f t="shared" si="32"/>
        <v>0</v>
      </c>
      <c r="W57" s="314">
        <f t="shared" si="29"/>
        <v>0</v>
      </c>
      <c r="X57" s="1046"/>
      <c r="Y57" s="1047">
        <f t="shared" si="26"/>
        <v>0</v>
      </c>
      <c r="Z57" s="395"/>
      <c r="AA57" s="396">
        <f t="shared" si="27"/>
        <v>0</v>
      </c>
      <c r="AB57" s="1007"/>
      <c r="AC57" s="1010"/>
      <c r="AD57" s="616"/>
      <c r="AE57" s="363">
        <f>0.1983*1000*M57</f>
        <v>7.2648007033997661</v>
      </c>
      <c r="AF57" s="847">
        <f t="shared" si="18"/>
        <v>2332061307.4015145</v>
      </c>
    </row>
    <row r="58" spans="1:32" s="85" customFormat="1" x14ac:dyDescent="0.6">
      <c r="A58" s="61">
        <f t="shared" si="30"/>
        <v>51</v>
      </c>
      <c r="B58" s="86" t="s">
        <v>695</v>
      </c>
      <c r="C58" s="290">
        <v>28912</v>
      </c>
      <c r="D58" s="290">
        <v>13757</v>
      </c>
      <c r="E58" s="290">
        <v>10052</v>
      </c>
      <c r="F58" s="348">
        <f t="shared" si="0"/>
        <v>5103</v>
      </c>
      <c r="G58" s="1003">
        <v>32758</v>
      </c>
      <c r="H58" s="66">
        <f>863+31895</f>
        <v>32758</v>
      </c>
      <c r="I58" s="94">
        <f t="shared" si="1"/>
        <v>1</v>
      </c>
      <c r="J58" s="66">
        <f>Assumptions!$C$62</f>
        <v>27296</v>
      </c>
      <c r="K58" s="66">
        <f>D58*I58*J58</f>
        <v>375511072</v>
      </c>
      <c r="L58" s="1005"/>
      <c r="M58" s="855">
        <f>Assumptions!$C$64</f>
        <v>3.6635404454865184E-2</v>
      </c>
      <c r="N58" s="877"/>
      <c r="O58" s="458">
        <f t="shared" si="28"/>
        <v>2.0149472450175852</v>
      </c>
      <c r="P58" s="1047">
        <f t="shared" si="4"/>
        <v>756635000.00000012</v>
      </c>
      <c r="Q58" s="393"/>
      <c r="R58" s="394"/>
      <c r="S58" s="322">
        <f>Gasoline!K58</f>
        <v>0</v>
      </c>
      <c r="T58" s="329">
        <f t="shared" si="31"/>
        <v>0</v>
      </c>
      <c r="U58" s="320"/>
      <c r="V58" s="320">
        <f t="shared" si="32"/>
        <v>0</v>
      </c>
      <c r="W58" s="314">
        <f t="shared" si="29"/>
        <v>0</v>
      </c>
      <c r="X58" s="1046"/>
      <c r="Y58" s="1047">
        <f t="shared" si="26"/>
        <v>0</v>
      </c>
      <c r="Z58" s="395"/>
      <c r="AA58" s="396"/>
      <c r="AB58" s="1007"/>
      <c r="AC58" s="1010"/>
      <c r="AD58" s="616"/>
      <c r="AE58" s="363">
        <f>0.055*1000*M58</f>
        <v>2.0149472450175852</v>
      </c>
      <c r="AF58" s="847">
        <f t="shared" si="18"/>
        <v>756635000.00000012</v>
      </c>
    </row>
    <row r="59" spans="1:32" s="85" customFormat="1" x14ac:dyDescent="0.6">
      <c r="A59" s="61">
        <f t="shared" si="30"/>
        <v>52</v>
      </c>
      <c r="B59" s="86" t="s">
        <v>69</v>
      </c>
      <c r="C59" s="290">
        <v>36378</v>
      </c>
      <c r="D59" s="290">
        <v>15137</v>
      </c>
      <c r="E59" s="290">
        <v>6262</v>
      </c>
      <c r="F59" s="348">
        <f t="shared" si="0"/>
        <v>14979</v>
      </c>
      <c r="G59" s="1003">
        <v>41499</v>
      </c>
      <c r="H59" s="66">
        <v>41499</v>
      </c>
      <c r="I59" s="94">
        <f t="shared" si="1"/>
        <v>1</v>
      </c>
      <c r="J59" s="66">
        <f>Assumptions!$C$62</f>
        <v>27296</v>
      </c>
      <c r="K59" s="66">
        <f t="shared" si="2"/>
        <v>413179552</v>
      </c>
      <c r="L59" s="1005"/>
      <c r="M59" s="855">
        <f>Assumptions!$C$64</f>
        <v>3.6635404454865184E-2</v>
      </c>
      <c r="N59" s="877"/>
      <c r="O59" s="458">
        <f t="shared" si="28"/>
        <v>1.4177901524032825</v>
      </c>
      <c r="P59" s="1047">
        <f t="shared" si="4"/>
        <v>585801900</v>
      </c>
      <c r="Q59" s="393"/>
      <c r="R59" s="394"/>
      <c r="S59" s="322">
        <f>Gasoline!K59</f>
        <v>0</v>
      </c>
      <c r="T59" s="329">
        <f t="shared" si="31"/>
        <v>0</v>
      </c>
      <c r="U59" s="320"/>
      <c r="V59" s="320">
        <f t="shared" si="32"/>
        <v>0</v>
      </c>
      <c r="W59" s="314">
        <f t="shared" si="29"/>
        <v>0</v>
      </c>
      <c r="X59" s="1046"/>
      <c r="Y59" s="1047">
        <f t="shared" si="26"/>
        <v>0</v>
      </c>
      <c r="Z59" s="395"/>
      <c r="AA59" s="396">
        <f t="shared" ref="AA59:AA65" si="33">K59*V59</f>
        <v>0</v>
      </c>
      <c r="AB59" s="1007"/>
      <c r="AC59" s="1010"/>
      <c r="AD59" s="616"/>
      <c r="AE59" s="363">
        <f>0.0387*1000*M59</f>
        <v>1.4177901524032825</v>
      </c>
      <c r="AF59" s="847">
        <f t="shared" si="18"/>
        <v>585801900</v>
      </c>
    </row>
    <row r="60" spans="1:32" s="85" customFormat="1" x14ac:dyDescent="0.6">
      <c r="A60" s="61">
        <f t="shared" si="30"/>
        <v>53</v>
      </c>
      <c r="B60" s="86" t="s">
        <v>70</v>
      </c>
      <c r="C60" s="290">
        <v>292765</v>
      </c>
      <c r="D60" s="290">
        <v>144513</v>
      </c>
      <c r="E60" s="290">
        <v>98243</v>
      </c>
      <c r="F60" s="348">
        <f t="shared" si="0"/>
        <v>50009</v>
      </c>
      <c r="G60" s="1003">
        <v>338336</v>
      </c>
      <c r="H60" s="66">
        <f>149531+188804</f>
        <v>338335</v>
      </c>
      <c r="I60" s="94">
        <f t="shared" si="1"/>
        <v>0.99999704435827108</v>
      </c>
      <c r="J60" s="66">
        <f>Assumptions!$C$62</f>
        <v>27296</v>
      </c>
      <c r="K60" s="66">
        <f t="shared" si="2"/>
        <v>3944615189.0962834</v>
      </c>
      <c r="L60" s="1025">
        <f>Assumptions!$H$24</f>
        <v>0.26666699999999999</v>
      </c>
      <c r="M60" s="855">
        <f>Assumptions!$C$64</f>
        <v>3.6635404454865184E-2</v>
      </c>
      <c r="N60" s="877"/>
      <c r="O60" s="458">
        <f t="shared" si="28"/>
        <v>2.5168522860492382</v>
      </c>
      <c r="P60" s="1047">
        <f t="shared" si="4"/>
        <v>9928013756.261528</v>
      </c>
      <c r="Q60" s="393"/>
      <c r="R60" s="394"/>
      <c r="S60" s="322">
        <f>Gasoline!K60</f>
        <v>0</v>
      </c>
      <c r="T60" s="329">
        <f t="shared" si="31"/>
        <v>0</v>
      </c>
      <c r="U60" s="320"/>
      <c r="V60" s="320">
        <f t="shared" si="32"/>
        <v>0</v>
      </c>
      <c r="W60" s="314">
        <f t="shared" si="29"/>
        <v>0</v>
      </c>
      <c r="X60" s="1046"/>
      <c r="Y60" s="1047">
        <f t="shared" si="26"/>
        <v>0</v>
      </c>
      <c r="Z60" s="395"/>
      <c r="AA60" s="396">
        <f t="shared" si="33"/>
        <v>0</v>
      </c>
      <c r="AB60" s="1007"/>
      <c r="AC60" s="1010"/>
      <c r="AD60" s="616"/>
      <c r="AE60" s="363">
        <f>0.0687*1000*M60</f>
        <v>2.5168522860492382</v>
      </c>
      <c r="AF60" s="847">
        <f t="shared" si="18"/>
        <v>9928013756.261528</v>
      </c>
    </row>
    <row r="61" spans="1:32" s="85" customFormat="1" x14ac:dyDescent="0.6">
      <c r="A61" s="61">
        <f t="shared" si="30"/>
        <v>54</v>
      </c>
      <c r="B61" s="86" t="s">
        <v>71</v>
      </c>
      <c r="C61" s="290">
        <v>9703</v>
      </c>
      <c r="D61" s="290">
        <v>2780</v>
      </c>
      <c r="E61" s="290">
        <v>1057</v>
      </c>
      <c r="F61" s="348">
        <f t="shared" si="0"/>
        <v>5866</v>
      </c>
      <c r="G61" s="1003">
        <v>10300</v>
      </c>
      <c r="H61" s="66">
        <f>24+10276</f>
        <v>10300</v>
      </c>
      <c r="I61" s="94">
        <f t="shared" si="1"/>
        <v>1</v>
      </c>
      <c r="J61" s="66">
        <f>Assumptions!$C$62</f>
        <v>27296</v>
      </c>
      <c r="K61" s="66">
        <f t="shared" si="2"/>
        <v>75882880</v>
      </c>
      <c r="L61" s="1005"/>
      <c r="M61" s="855">
        <f>Assumptions!$C$64</f>
        <v>3.6635404454865184E-2</v>
      </c>
      <c r="N61" s="877"/>
      <c r="O61" s="458">
        <f t="shared" si="28"/>
        <v>2.6377491207502932</v>
      </c>
      <c r="P61" s="1047">
        <f t="shared" si="4"/>
        <v>200160000</v>
      </c>
      <c r="Q61" s="393"/>
      <c r="R61" s="394"/>
      <c r="S61" s="322">
        <f>Gasoline!K61</f>
        <v>0</v>
      </c>
      <c r="T61" s="329">
        <f t="shared" si="31"/>
        <v>0</v>
      </c>
      <c r="U61" s="320"/>
      <c r="V61" s="320">
        <f t="shared" si="32"/>
        <v>0</v>
      </c>
      <c r="W61" s="314">
        <f t="shared" si="29"/>
        <v>0</v>
      </c>
      <c r="X61" s="1046"/>
      <c r="Y61" s="1047">
        <f t="shared" si="26"/>
        <v>0</v>
      </c>
      <c r="Z61" s="395"/>
      <c r="AA61" s="396">
        <f t="shared" si="33"/>
        <v>0</v>
      </c>
      <c r="AB61" s="1007"/>
      <c r="AC61" s="1010"/>
      <c r="AD61" s="616"/>
      <c r="AE61" s="363">
        <f>0.072*1000*M61</f>
        <v>2.6377491207502932</v>
      </c>
      <c r="AF61" s="847">
        <f t="shared" si="18"/>
        <v>200160000</v>
      </c>
    </row>
    <row r="62" spans="1:32" s="85" customFormat="1" x14ac:dyDescent="0.6">
      <c r="A62" s="61">
        <f t="shared" si="30"/>
        <v>55</v>
      </c>
      <c r="B62" s="86" t="s">
        <v>72</v>
      </c>
      <c r="C62" s="290">
        <v>12473</v>
      </c>
      <c r="D62" s="290">
        <v>2622</v>
      </c>
      <c r="E62" s="290">
        <v>0</v>
      </c>
      <c r="F62" s="348">
        <f t="shared" si="0"/>
        <v>9851</v>
      </c>
      <c r="G62" s="1003">
        <v>22534</v>
      </c>
      <c r="H62" s="66">
        <v>22534</v>
      </c>
      <c r="I62" s="94">
        <f t="shared" si="1"/>
        <v>1</v>
      </c>
      <c r="J62" s="66">
        <f>Assumptions!$C$62</f>
        <v>27296</v>
      </c>
      <c r="K62" s="66">
        <f t="shared" si="2"/>
        <v>71570112</v>
      </c>
      <c r="L62" s="1005"/>
      <c r="M62" s="855">
        <f>Assumptions!$C$64</f>
        <v>3.6635404454865184E-2</v>
      </c>
      <c r="N62" s="877"/>
      <c r="O62" s="458">
        <f t="shared" si="28"/>
        <v>5.0007327080890969</v>
      </c>
      <c r="P62" s="1047">
        <f t="shared" si="4"/>
        <v>357902999.99999994</v>
      </c>
      <c r="Q62" s="393"/>
      <c r="R62" s="394"/>
      <c r="S62" s="322">
        <f>Gasoline!K62</f>
        <v>0</v>
      </c>
      <c r="T62" s="329">
        <f t="shared" si="31"/>
        <v>0</v>
      </c>
      <c r="U62" s="320"/>
      <c r="V62" s="320">
        <f t="shared" si="32"/>
        <v>0</v>
      </c>
      <c r="W62" s="314">
        <f t="shared" si="29"/>
        <v>0</v>
      </c>
      <c r="X62" s="1046"/>
      <c r="Y62" s="1047">
        <f t="shared" si="26"/>
        <v>0</v>
      </c>
      <c r="Z62" s="395"/>
      <c r="AA62" s="396">
        <f t="shared" si="33"/>
        <v>0</v>
      </c>
      <c r="AB62" s="1007"/>
      <c r="AC62" s="1010"/>
      <c r="AD62" s="616"/>
      <c r="AE62" s="1043">
        <f>Assumptions!$C$100</f>
        <v>5.0007327080890969</v>
      </c>
      <c r="AF62" s="847">
        <f t="shared" si="18"/>
        <v>357902999.99999994</v>
      </c>
    </row>
    <row r="63" spans="1:32" s="85" customFormat="1" x14ac:dyDescent="0.6">
      <c r="A63" s="61">
        <f t="shared" si="30"/>
        <v>56</v>
      </c>
      <c r="B63" s="86" t="s">
        <v>73</v>
      </c>
      <c r="C63" s="290">
        <v>111076</v>
      </c>
      <c r="D63" s="290">
        <v>38008</v>
      </c>
      <c r="E63" s="290">
        <v>37160</v>
      </c>
      <c r="F63" s="348">
        <f t="shared" si="0"/>
        <v>35908</v>
      </c>
      <c r="G63" s="1003">
        <v>127366</v>
      </c>
      <c r="H63" s="66">
        <f>1582+125488</f>
        <v>127070</v>
      </c>
      <c r="I63" s="94">
        <f t="shared" si="1"/>
        <v>0.99767598888243325</v>
      </c>
      <c r="J63" s="66">
        <f>Assumptions!$C$62</f>
        <v>27296</v>
      </c>
      <c r="K63" s="66">
        <f t="shared" si="2"/>
        <v>1035055284.6266664</v>
      </c>
      <c r="L63" s="1025">
        <f>Assumptions!$H$29</f>
        <v>0.27229399999999998</v>
      </c>
      <c r="M63" s="855">
        <f>Assumptions!$C$64</f>
        <v>3.6635404454865184E-2</v>
      </c>
      <c r="N63" s="877"/>
      <c r="O63" s="458">
        <f t="shared" si="28"/>
        <v>4.2130715123094964</v>
      </c>
      <c r="P63" s="1047">
        <f t="shared" si="4"/>
        <v>4360761933.3260059</v>
      </c>
      <c r="Q63" s="393"/>
      <c r="R63" s="394"/>
      <c r="S63" s="322">
        <f>Gasoline!K63</f>
        <v>0</v>
      </c>
      <c r="T63" s="329">
        <f t="shared" si="31"/>
        <v>0</v>
      </c>
      <c r="U63" s="320"/>
      <c r="V63" s="320">
        <f t="shared" si="32"/>
        <v>0</v>
      </c>
      <c r="W63" s="314">
        <f t="shared" si="29"/>
        <v>0</v>
      </c>
      <c r="X63" s="1046"/>
      <c r="Y63" s="1047">
        <f t="shared" si="26"/>
        <v>0</v>
      </c>
      <c r="Z63" s="395"/>
      <c r="AA63" s="396">
        <f t="shared" si="33"/>
        <v>0</v>
      </c>
      <c r="AB63" s="1007"/>
      <c r="AC63" s="1010"/>
      <c r="AD63" s="616"/>
      <c r="AE63" s="363">
        <f>0.115*1000*M63</f>
        <v>4.2130715123094964</v>
      </c>
      <c r="AF63" s="847">
        <f t="shared" si="18"/>
        <v>4360761933.3260059</v>
      </c>
    </row>
    <row r="64" spans="1:32" s="85" customFormat="1" x14ac:dyDescent="0.6">
      <c r="A64" s="61">
        <f t="shared" si="30"/>
        <v>57</v>
      </c>
      <c r="B64" s="86" t="s">
        <v>74</v>
      </c>
      <c r="C64" s="290">
        <v>46472</v>
      </c>
      <c r="D64" s="290">
        <v>8418</v>
      </c>
      <c r="E64" s="290">
        <v>3600</v>
      </c>
      <c r="F64" s="348">
        <f>C64-D64-E64</f>
        <v>34454</v>
      </c>
      <c r="G64" s="1003">
        <v>57280</v>
      </c>
      <c r="H64" s="66">
        <f>2340+147+42963</f>
        <v>45450</v>
      </c>
      <c r="I64" s="94">
        <f>H64/G64</f>
        <v>0.79347067039106145</v>
      </c>
      <c r="J64" s="66">
        <f>Assumptions!$C$62</f>
        <v>27296</v>
      </c>
      <c r="K64" s="66">
        <f t="shared" si="2"/>
        <v>182321887.87709498</v>
      </c>
      <c r="L64" s="1005"/>
      <c r="M64" s="855">
        <f>Assumptions!$C$64</f>
        <v>3.6635404454865184E-2</v>
      </c>
      <c r="N64" s="877"/>
      <c r="O64" s="458">
        <f t="shared" si="28"/>
        <v>2.3336752637749125</v>
      </c>
      <c r="P64" s="1047">
        <f t="shared" si="4"/>
        <v>425480079.78351969</v>
      </c>
      <c r="Q64" s="393"/>
      <c r="R64" s="394"/>
      <c r="S64" s="322">
        <f>Gasoline!K64</f>
        <v>0</v>
      </c>
      <c r="T64" s="329">
        <f t="shared" si="31"/>
        <v>0</v>
      </c>
      <c r="U64" s="320"/>
      <c r="V64" s="320">
        <f t="shared" si="32"/>
        <v>0</v>
      </c>
      <c r="W64" s="314">
        <f t="shared" si="29"/>
        <v>0</v>
      </c>
      <c r="X64" s="1046"/>
      <c r="Y64" s="1047">
        <f t="shared" si="26"/>
        <v>0</v>
      </c>
      <c r="Z64" s="395"/>
      <c r="AA64" s="396">
        <f t="shared" si="33"/>
        <v>0</v>
      </c>
      <c r="AB64" s="1007"/>
      <c r="AC64" s="1010"/>
      <c r="AD64" s="616"/>
      <c r="AE64" s="363">
        <f>0.0637*1000*M64</f>
        <v>2.3336752637749125</v>
      </c>
      <c r="AF64" s="847">
        <f t="shared" si="18"/>
        <v>425480079.78351969</v>
      </c>
    </row>
    <row r="65" spans="1:33" s="85" customFormat="1" x14ac:dyDescent="0.6">
      <c r="A65" s="63">
        <f t="shared" si="30"/>
        <v>58</v>
      </c>
      <c r="B65" s="90" t="s">
        <v>75</v>
      </c>
      <c r="C65" s="292">
        <v>71762</v>
      </c>
      <c r="D65" s="292">
        <v>22593</v>
      </c>
      <c r="E65" s="292">
        <v>17502</v>
      </c>
      <c r="F65" s="350">
        <f>C65-D65-E65</f>
        <v>31667</v>
      </c>
      <c r="G65" s="1004">
        <v>117950</v>
      </c>
      <c r="H65" s="75">
        <f>19856+22835</f>
        <v>42691</v>
      </c>
      <c r="I65" s="228">
        <f>H65/G65</f>
        <v>0.36194150063586267</v>
      </c>
      <c r="J65" s="75">
        <f>Assumptions!$C$62</f>
        <v>27296</v>
      </c>
      <c r="K65" s="75">
        <f t="shared" si="2"/>
        <v>223208790.66424757</v>
      </c>
      <c r="L65" s="1012"/>
      <c r="M65" s="856">
        <f>Assumptions!$C$64</f>
        <v>3.6635404454865184E-2</v>
      </c>
      <c r="N65" s="878"/>
      <c r="O65" s="1548">
        <f t="shared" si="28"/>
        <v>5.0007327080890969</v>
      </c>
      <c r="P65" s="1050">
        <f t="shared" si="4"/>
        <v>1116207500.207715</v>
      </c>
      <c r="Q65" s="819"/>
      <c r="R65" s="858"/>
      <c r="S65" s="1022">
        <f>Gasoline!K65</f>
        <v>0</v>
      </c>
      <c r="T65" s="335">
        <f t="shared" si="31"/>
        <v>0</v>
      </c>
      <c r="U65" s="1014"/>
      <c r="V65" s="1014">
        <f t="shared" si="32"/>
        <v>0</v>
      </c>
      <c r="W65" s="328">
        <f t="shared" si="29"/>
        <v>0</v>
      </c>
      <c r="X65" s="1049"/>
      <c r="Y65" s="1050">
        <f t="shared" si="26"/>
        <v>0</v>
      </c>
      <c r="Z65" s="1015"/>
      <c r="AA65" s="409">
        <f t="shared" si="33"/>
        <v>0</v>
      </c>
      <c r="AB65" s="1016"/>
      <c r="AC65" s="1017"/>
      <c r="AD65" s="1000"/>
      <c r="AE65" s="1528">
        <f>Assumptions!$C$100</f>
        <v>5.0007327080890969</v>
      </c>
      <c r="AF65" s="1019">
        <f t="shared" si="18"/>
        <v>1116207500.207715</v>
      </c>
    </row>
    <row r="66" spans="1:33" s="85" customFormat="1" x14ac:dyDescent="0.6">
      <c r="A66" s="60"/>
      <c r="B66" s="85" t="s">
        <v>42</v>
      </c>
      <c r="C66" s="21">
        <f>SUM(C4:C65)</f>
        <v>17783386</v>
      </c>
      <c r="D66" s="21">
        <f t="shared" ref="D66:H66" si="34">SUM(D4:D65)</f>
        <v>4747929</v>
      </c>
      <c r="E66" s="21">
        <f t="shared" si="34"/>
        <v>3972563</v>
      </c>
      <c r="F66" s="21">
        <f t="shared" si="34"/>
        <v>9062894</v>
      </c>
      <c r="G66" s="21">
        <f t="shared" si="34"/>
        <v>21452020</v>
      </c>
      <c r="H66" s="21">
        <f t="shared" si="34"/>
        <v>14404086</v>
      </c>
      <c r="I66" s="230"/>
      <c r="J66" s="21"/>
      <c r="K66" s="21">
        <f>SUM(K4:K65)</f>
        <v>86234625802.681503</v>
      </c>
      <c r="L66" s="1009"/>
      <c r="M66" s="812"/>
      <c r="N66" s="416"/>
      <c r="O66" s="526"/>
      <c r="P66" s="414"/>
      <c r="Q66" s="416"/>
      <c r="R66" s="526"/>
      <c r="S66" s="360"/>
      <c r="T66" s="331"/>
      <c r="U66" s="506"/>
      <c r="V66" s="506"/>
      <c r="W66" s="70"/>
      <c r="X66" s="414"/>
      <c r="Y66" s="414"/>
      <c r="Z66" s="506"/>
      <c r="AA66" s="70"/>
      <c r="AB66" s="70"/>
      <c r="AC66" s="70"/>
      <c r="AD66" s="415"/>
      <c r="AE66" s="506"/>
      <c r="AF66" s="70"/>
    </row>
    <row r="67" spans="1:33" x14ac:dyDescent="0.6">
      <c r="B67" s="1" t="s">
        <v>596</v>
      </c>
      <c r="C67" s="21">
        <v>20200362</v>
      </c>
      <c r="D67" s="21">
        <v>5465703</v>
      </c>
      <c r="E67" s="21">
        <v>4492158</v>
      </c>
      <c r="F67" s="21">
        <f>C67-D67-E67</f>
        <v>10242501</v>
      </c>
      <c r="G67" s="88">
        <v>24344520</v>
      </c>
      <c r="H67" s="21">
        <f>9538300+989865+5543363</f>
        <v>16071528</v>
      </c>
      <c r="I67" s="229">
        <f>H67/G67</f>
        <v>0.66017025597547208</v>
      </c>
      <c r="K67" s="28"/>
      <c r="L67" s="398"/>
      <c r="N67" s="416"/>
      <c r="O67" s="526"/>
      <c r="P67" s="414"/>
      <c r="R67" s="526"/>
      <c r="X67" s="414"/>
      <c r="Y67" s="414"/>
      <c r="AF67" s="1"/>
      <c r="AG67" s="1"/>
    </row>
    <row r="68" spans="1:33" x14ac:dyDescent="0.6">
      <c r="C68" s="360">
        <f>C66/C67</f>
        <v>0.88034986699743301</v>
      </c>
      <c r="D68" s="360">
        <f t="shared" ref="D68:H68" si="35">D66/D67</f>
        <v>0.86867672831838827</v>
      </c>
      <c r="E68" s="360">
        <f t="shared" si="35"/>
        <v>0.88433287520162918</v>
      </c>
      <c r="F68" s="360">
        <f t="shared" si="35"/>
        <v>0.88483213230831026</v>
      </c>
      <c r="G68" s="360">
        <f t="shared" si="35"/>
        <v>0.8811847594448361</v>
      </c>
      <c r="H68" s="360">
        <f t="shared" si="35"/>
        <v>0.89624869520807227</v>
      </c>
      <c r="L68" s="70"/>
      <c r="N68" s="416"/>
      <c r="O68" s="526"/>
      <c r="P68" s="414"/>
      <c r="R68" s="526"/>
      <c r="X68" s="414"/>
      <c r="Y68" s="414"/>
      <c r="AF68" s="1"/>
      <c r="AG68" s="1"/>
    </row>
    <row r="69" spans="1:33" x14ac:dyDescent="0.6">
      <c r="L69" s="70"/>
      <c r="N69" s="416"/>
      <c r="O69" s="526"/>
      <c r="P69" s="414"/>
      <c r="R69" s="526"/>
      <c r="X69" s="414"/>
      <c r="Y69" s="414"/>
      <c r="AF69" s="1"/>
      <c r="AG69" s="1"/>
    </row>
    <row r="70" spans="1:33" x14ac:dyDescent="0.6">
      <c r="K70" s="239"/>
      <c r="L70" s="70"/>
      <c r="N70" s="416"/>
      <c r="O70" s="526"/>
      <c r="P70" s="414"/>
      <c r="R70" s="526"/>
      <c r="X70" s="414"/>
      <c r="Y70" s="414"/>
      <c r="AF70" s="1"/>
      <c r="AG70" s="1"/>
    </row>
    <row r="71" spans="1:33" x14ac:dyDescent="0.6">
      <c r="K71" s="226"/>
      <c r="L71" s="70"/>
      <c r="N71" s="416"/>
      <c r="O71" s="526"/>
      <c r="P71" s="414"/>
      <c r="R71" s="526"/>
      <c r="X71" s="414"/>
      <c r="Y71" s="414"/>
      <c r="AF71" s="1"/>
      <c r="AG71" s="1"/>
    </row>
    <row r="72" spans="1:33" x14ac:dyDescent="0.6">
      <c r="L72" s="398"/>
      <c r="N72" s="416"/>
      <c r="O72" s="526"/>
      <c r="P72" s="414"/>
      <c r="R72" s="526"/>
      <c r="X72" s="414"/>
      <c r="Y72" s="414"/>
      <c r="AF72" s="1"/>
      <c r="AG72" s="1"/>
    </row>
    <row r="73" spans="1:33" x14ac:dyDescent="0.6">
      <c r="A73" s="1"/>
      <c r="G73" s="85"/>
      <c r="K73" s="1"/>
      <c r="L73" s="398"/>
      <c r="M73" s="91"/>
      <c r="N73" s="416"/>
      <c r="O73" s="526"/>
      <c r="P73" s="414"/>
      <c r="R73" s="526"/>
      <c r="S73" s="1"/>
      <c r="T73" s="10"/>
      <c r="X73" s="414"/>
      <c r="Y73" s="414"/>
      <c r="AA73" s="85"/>
      <c r="AB73" s="1"/>
      <c r="AC73" s="1"/>
      <c r="AD73" s="83"/>
      <c r="AF73" s="1"/>
      <c r="AG73" s="1"/>
    </row>
    <row r="74" spans="1:33" x14ac:dyDescent="0.6">
      <c r="A74" s="1"/>
      <c r="G74" s="85"/>
      <c r="K74" s="1"/>
      <c r="L74" s="398"/>
      <c r="N74" s="416"/>
      <c r="O74" s="526"/>
      <c r="P74" s="414"/>
      <c r="R74" s="526"/>
      <c r="X74" s="414"/>
      <c r="Y74" s="414"/>
      <c r="AA74" s="85"/>
      <c r="AB74" s="1"/>
      <c r="AC74" s="1"/>
      <c r="AD74" s="83"/>
      <c r="AF74" s="1"/>
      <c r="AG74" s="1"/>
    </row>
    <row r="75" spans="1:33" x14ac:dyDescent="0.6">
      <c r="A75" s="1"/>
      <c r="G75" s="85"/>
      <c r="K75" s="1"/>
      <c r="L75" s="398"/>
      <c r="N75" s="416"/>
      <c r="O75" s="526"/>
      <c r="P75" s="414"/>
      <c r="R75" s="526"/>
      <c r="X75" s="414"/>
      <c r="Y75" s="414"/>
      <c r="AA75" s="85"/>
      <c r="AB75" s="1"/>
      <c r="AC75" s="1"/>
      <c r="AD75" s="83"/>
      <c r="AF75" s="1"/>
      <c r="AG75" s="1"/>
    </row>
    <row r="76" spans="1:33" x14ac:dyDescent="0.6">
      <c r="L76" s="398"/>
      <c r="N76" s="416"/>
      <c r="O76" s="526"/>
      <c r="P76" s="414"/>
      <c r="R76" s="526"/>
      <c r="X76" s="414"/>
      <c r="Y76" s="414"/>
      <c r="AF76" s="1"/>
      <c r="AG76" s="1"/>
    </row>
    <row r="77" spans="1:33" x14ac:dyDescent="0.6">
      <c r="A77" s="1"/>
      <c r="G77" s="85"/>
      <c r="K77" s="1"/>
      <c r="L77" s="398"/>
      <c r="N77" s="416"/>
      <c r="O77" s="526"/>
      <c r="P77" s="414"/>
      <c r="R77" s="526"/>
      <c r="X77" s="414"/>
      <c r="Y77" s="414"/>
      <c r="AA77" s="85"/>
      <c r="AB77" s="1"/>
      <c r="AC77" s="1"/>
      <c r="AD77" s="83"/>
      <c r="AF77" s="1"/>
      <c r="AG77" s="1"/>
    </row>
    <row r="78" spans="1:33" x14ac:dyDescent="0.6">
      <c r="A78" s="1"/>
      <c r="G78" s="85"/>
      <c r="K78" s="1"/>
      <c r="P78" s="414"/>
      <c r="X78" s="414"/>
      <c r="Y78" s="414"/>
      <c r="AA78" s="85"/>
      <c r="AB78" s="1"/>
      <c r="AC78" s="1"/>
      <c r="AD78" s="83"/>
      <c r="AF78" s="1"/>
      <c r="AG78" s="1"/>
    </row>
    <row r="79" spans="1:33" x14ac:dyDescent="0.6">
      <c r="A79" s="1"/>
      <c r="G79" s="85"/>
      <c r="K79" s="1"/>
      <c r="P79" s="414"/>
      <c r="X79" s="414"/>
      <c r="Y79" s="414"/>
      <c r="AA79" s="85"/>
      <c r="AB79" s="1"/>
      <c r="AC79" s="1"/>
      <c r="AD79" s="83"/>
      <c r="AF79" s="1"/>
      <c r="AG79" s="1"/>
    </row>
    <row r="80" spans="1:33" x14ac:dyDescent="0.6">
      <c r="A80" s="1"/>
      <c r="G80" s="85"/>
      <c r="K80" s="1"/>
      <c r="AA80" s="85"/>
      <c r="AB80" s="1"/>
      <c r="AC80" s="1"/>
      <c r="AD80" s="83"/>
      <c r="AF80" s="1"/>
      <c r="AG80" s="1"/>
    </row>
    <row r="81" spans="1:33" x14ac:dyDescent="0.6">
      <c r="A81" s="1"/>
      <c r="G81" s="85"/>
      <c r="K81" s="1"/>
      <c r="AA81" s="85"/>
      <c r="AB81" s="1"/>
      <c r="AC81" s="1"/>
      <c r="AD81" s="83"/>
      <c r="AF81" s="1"/>
      <c r="AG81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X13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" defaultRowHeight="15.6" x14ac:dyDescent="0.6"/>
  <cols>
    <col min="2" max="2" width="20.59765625" customWidth="1"/>
    <col min="3" max="3" width="28.5" bestFit="1" customWidth="1"/>
    <col min="4" max="4" width="12.5" style="231" customWidth="1"/>
    <col min="5" max="5" width="11" style="231" bestFit="1" customWidth="1"/>
    <col min="6" max="6" width="8.5" style="534" customWidth="1"/>
    <col min="7" max="7" width="14.09765625" style="888" bestFit="1" customWidth="1"/>
    <col min="8" max="8" width="15.09765625" style="888" bestFit="1" customWidth="1"/>
    <col min="9" max="9" width="10" style="919" bestFit="1" customWidth="1"/>
    <col min="10" max="10" width="10" style="1543" bestFit="1" customWidth="1"/>
    <col min="11" max="11" width="10" style="1543" customWidth="1"/>
    <col min="12" max="12" width="11.34765625" style="1543" bestFit="1" customWidth="1"/>
    <col min="13" max="13" width="10.34765625" style="1543" bestFit="1" customWidth="1"/>
    <col min="14" max="14" width="10" style="1543" bestFit="1" customWidth="1"/>
    <col min="15" max="15" width="10" style="1543" customWidth="1"/>
    <col min="16" max="16" width="7.34765625" style="1543" bestFit="1" customWidth="1"/>
    <col min="17" max="17" width="9.59765625" style="506" bestFit="1" customWidth="1"/>
    <col min="18" max="18" width="11.59765625" style="1542" bestFit="1" customWidth="1"/>
    <col min="19" max="21" width="16" style="70" bestFit="1" customWidth="1"/>
    <col min="22" max="22" width="16" style="85" bestFit="1" customWidth="1"/>
    <col min="23" max="23" width="14" style="241" customWidth="1"/>
    <col min="24" max="24" width="13.5" style="241" customWidth="1"/>
  </cols>
  <sheetData>
    <row r="1" spans="1:24" s="1" customFormat="1" x14ac:dyDescent="0.6">
      <c r="A1" s="78" t="s">
        <v>601</v>
      </c>
      <c r="B1" s="85"/>
      <c r="C1" s="85"/>
      <c r="D1" s="174"/>
      <c r="E1" s="174"/>
      <c r="F1" s="360"/>
      <c r="G1" s="501"/>
      <c r="H1" s="64"/>
      <c r="I1" s="915"/>
      <c r="J1" s="506"/>
      <c r="K1" s="506"/>
      <c r="L1" s="508" t="s">
        <v>396</v>
      </c>
      <c r="M1" s="506" t="s">
        <v>397</v>
      </c>
      <c r="N1" s="506"/>
      <c r="O1" s="506"/>
      <c r="P1" s="508" t="s">
        <v>396</v>
      </c>
      <c r="Q1" s="506" t="s">
        <v>397</v>
      </c>
      <c r="R1" s="1538"/>
      <c r="S1" s="70"/>
      <c r="T1" s="70"/>
      <c r="U1" s="70"/>
      <c r="V1" s="85"/>
      <c r="W1" s="17"/>
      <c r="X1" s="17"/>
    </row>
    <row r="2" spans="1:24" s="2" customFormat="1" x14ac:dyDescent="0.6">
      <c r="B2" s="60"/>
      <c r="C2" s="60"/>
      <c r="D2" s="533" t="s">
        <v>197</v>
      </c>
      <c r="E2" s="533" t="s">
        <v>100</v>
      </c>
      <c r="F2" s="1338" t="s">
        <v>189</v>
      </c>
      <c r="G2" s="887" t="s">
        <v>24</v>
      </c>
      <c r="H2" s="887" t="s">
        <v>24</v>
      </c>
      <c r="I2" s="915" t="s">
        <v>402</v>
      </c>
      <c r="J2" s="508" t="s">
        <v>402</v>
      </c>
      <c r="K2" s="508" t="s">
        <v>79</v>
      </c>
      <c r="L2" s="508" t="s">
        <v>190</v>
      </c>
      <c r="M2" s="508" t="s">
        <v>190</v>
      </c>
      <c r="N2" s="508" t="s">
        <v>402</v>
      </c>
      <c r="O2" s="508" t="s">
        <v>79</v>
      </c>
      <c r="P2" s="508" t="s">
        <v>190</v>
      </c>
      <c r="Q2" s="508" t="s">
        <v>190</v>
      </c>
      <c r="R2" s="1538" t="s">
        <v>79</v>
      </c>
      <c r="S2" s="114" t="s">
        <v>193</v>
      </c>
      <c r="T2" s="114" t="s">
        <v>396</v>
      </c>
      <c r="U2" s="114" t="s">
        <v>397</v>
      </c>
      <c r="V2" s="60" t="s">
        <v>398</v>
      </c>
      <c r="W2" s="18"/>
      <c r="X2" s="18"/>
    </row>
    <row r="3" spans="1:24" s="2" customFormat="1" x14ac:dyDescent="0.6">
      <c r="B3" s="60"/>
      <c r="C3" s="60" t="s">
        <v>197</v>
      </c>
      <c r="D3" s="533" t="s">
        <v>79</v>
      </c>
      <c r="E3" s="533" t="s">
        <v>1648</v>
      </c>
      <c r="F3" s="1338" t="s">
        <v>79</v>
      </c>
      <c r="G3" s="64" t="s">
        <v>854</v>
      </c>
      <c r="H3" s="64" t="s">
        <v>848</v>
      </c>
      <c r="I3" s="915" t="s">
        <v>851</v>
      </c>
      <c r="J3" s="508" t="s">
        <v>503</v>
      </c>
      <c r="K3" s="508" t="s">
        <v>503</v>
      </c>
      <c r="L3" s="508" t="s">
        <v>503</v>
      </c>
      <c r="M3" s="508" t="s">
        <v>503</v>
      </c>
      <c r="N3" s="508" t="s">
        <v>846</v>
      </c>
      <c r="O3" s="508" t="s">
        <v>846</v>
      </c>
      <c r="P3" s="508" t="s">
        <v>846</v>
      </c>
      <c r="Q3" s="508" t="s">
        <v>846</v>
      </c>
      <c r="R3" s="1538" t="s">
        <v>846</v>
      </c>
      <c r="S3" s="114" t="s">
        <v>192</v>
      </c>
      <c r="T3" s="114" t="s">
        <v>192</v>
      </c>
      <c r="U3" s="114" t="s">
        <v>192</v>
      </c>
      <c r="V3" s="60" t="s">
        <v>198</v>
      </c>
      <c r="W3" s="18"/>
      <c r="X3" s="18"/>
    </row>
    <row r="4" spans="1:24" s="1" customFormat="1" x14ac:dyDescent="0.6">
      <c r="A4" s="60">
        <v>1</v>
      </c>
      <c r="B4" s="85" t="s">
        <v>178</v>
      </c>
      <c r="C4" s="85" t="s">
        <v>1647</v>
      </c>
      <c r="D4" s="1529">
        <v>0.04</v>
      </c>
      <c r="E4" s="1529"/>
      <c r="F4" s="1529">
        <v>8.9099999999999999E-2</v>
      </c>
      <c r="G4" s="956">
        <v>31908530</v>
      </c>
      <c r="H4" s="897">
        <f>G4*Assumptions!$C$59/Assumptions!$C$8</f>
        <v>870975234.88</v>
      </c>
      <c r="I4" s="920">
        <v>11.7</v>
      </c>
      <c r="J4" s="506">
        <f>I4/100*1000000/Assumptions!$C$58</f>
        <v>34.290738569753813</v>
      </c>
      <c r="K4" s="506">
        <f>J4-L4</f>
        <v>1.3188745603751499</v>
      </c>
      <c r="L4" s="506">
        <f t="shared" ref="L4:L35" si="0">J4/(1+D4)</f>
        <v>32.971864009378663</v>
      </c>
      <c r="M4" s="1422">
        <f t="shared" ref="M4:M35" si="1">L4*(1+F4)</f>
        <v>35.909657092614303</v>
      </c>
      <c r="N4" s="931">
        <f>J4*Assumptions!$C$8/1000000</f>
        <v>4.2863423212192266</v>
      </c>
      <c r="O4" s="931">
        <f>N4-P4</f>
        <v>0.16485932004689374</v>
      </c>
      <c r="P4" s="931">
        <f>L4*Assumptions!$C$8/1000000</f>
        <v>4.1214830011723329</v>
      </c>
      <c r="Q4" s="932">
        <f>M4*Assumptions!$C$8/1000000</f>
        <v>4.4887071365767879</v>
      </c>
      <c r="R4" s="1539">
        <f>N4-P4</f>
        <v>0.16485932004689374</v>
      </c>
      <c r="S4" s="70">
        <f>N4*H4</f>
        <v>3733298010.0000005</v>
      </c>
      <c r="T4" s="70">
        <f>P4*H4</f>
        <v>3589709625</v>
      </c>
      <c r="U4" s="70">
        <f>Q4*H4</f>
        <v>3909552752.5875001</v>
      </c>
      <c r="V4" s="70">
        <f t="shared" ref="V4" si="2">S4-U4</f>
        <v>-176254742.58749962</v>
      </c>
      <c r="W4" s="17">
        <f>IF(V4&gt;0,V4,0)</f>
        <v>0</v>
      </c>
      <c r="X4" s="17">
        <f>IF(V4&lt;0,V4,0)</f>
        <v>-176254742.58749962</v>
      </c>
    </row>
    <row r="5" spans="1:24" s="1" customFormat="1" x14ac:dyDescent="0.6">
      <c r="A5" s="60">
        <f t="shared" ref="A5:A54" si="3">A4+1</f>
        <v>2</v>
      </c>
      <c r="B5" s="85" t="s">
        <v>188</v>
      </c>
      <c r="C5" s="85" t="s">
        <v>1649</v>
      </c>
      <c r="D5" s="1529">
        <v>2.9999999999999997E-4</v>
      </c>
      <c r="E5" s="1529"/>
      <c r="F5" s="1529">
        <v>1.7600000000000001E-2</v>
      </c>
      <c r="G5" s="956">
        <v>2044184</v>
      </c>
      <c r="H5" s="897">
        <f>G5*Assumptions!$C$59/Assumptions!$C$8</f>
        <v>55798046.464000002</v>
      </c>
      <c r="I5" s="920">
        <v>19.829999999999998</v>
      </c>
      <c r="J5" s="506">
        <f>I5/100*1000000/Assumptions!$C$58</f>
        <v>58.118405627198115</v>
      </c>
      <c r="K5" s="506">
        <f t="shared" ref="K5:K54" si="4">J5-L5</f>
        <v>1.7430292600380426E-2</v>
      </c>
      <c r="L5" s="506">
        <f t="shared" si="0"/>
        <v>58.100975334597734</v>
      </c>
      <c r="M5" s="1422">
        <f t="shared" si="1"/>
        <v>59.12355250048666</v>
      </c>
      <c r="N5" s="931">
        <f>J5*Assumptions!$C$8/1000000</f>
        <v>7.2648007033997644</v>
      </c>
      <c r="O5" s="931">
        <f t="shared" ref="O5:O54" si="5">N5-P5</f>
        <v>2.1787865750475532E-3</v>
      </c>
      <c r="P5" s="931">
        <f>L5*Assumptions!$C$8/1000000</f>
        <v>7.2626219168247168</v>
      </c>
      <c r="Q5" s="932">
        <f>M5*Assumptions!$C$8/1000000</f>
        <v>7.3904440625608325</v>
      </c>
      <c r="R5" s="1539">
        <f t="shared" ref="R5:R54" si="6">N5-P5</f>
        <v>2.1787865750475532E-3</v>
      </c>
      <c r="S5" s="70">
        <f t="shared" ref="S5:S54" si="7">N5*H5</f>
        <v>405361687.19999993</v>
      </c>
      <c r="T5" s="70">
        <f t="shared" ref="T5:T54" si="8">P5*H5</f>
        <v>405240115.16545027</v>
      </c>
      <c r="U5" s="70">
        <f t="shared" ref="U5:U54" si="9">Q5*H5</f>
        <v>412372341.19236225</v>
      </c>
      <c r="V5" s="70">
        <f t="shared" ref="V5:V54" si="10">S5-U5</f>
        <v>-7010653.9923623204</v>
      </c>
      <c r="W5" s="17">
        <f t="shared" ref="W5:W53" si="11">IF(V5&gt;0,V5,0)</f>
        <v>0</v>
      </c>
      <c r="X5" s="17">
        <f t="shared" ref="X5:X53" si="12">IF(V5&lt;0,V5,0)</f>
        <v>-7010653.9923623204</v>
      </c>
    </row>
    <row r="6" spans="1:24" s="1" customFormat="1" x14ac:dyDescent="0.6">
      <c r="A6" s="60">
        <f t="shared" si="3"/>
        <v>3</v>
      </c>
      <c r="B6" s="85" t="s">
        <v>181</v>
      </c>
      <c r="C6" s="85" t="s">
        <v>1650</v>
      </c>
      <c r="D6" s="1529">
        <v>0.11600000000000001</v>
      </c>
      <c r="E6" s="1529"/>
      <c r="F6" s="1529">
        <v>8.1699999999999995E-2</v>
      </c>
      <c r="G6" s="956">
        <v>33167205</v>
      </c>
      <c r="H6" s="897">
        <f>G6*Assumptions!$C$59/Assumptions!$C$8</f>
        <v>905332027.67999995</v>
      </c>
      <c r="I6" s="920">
        <v>12.13</v>
      </c>
      <c r="J6" s="506">
        <f>I6/100*1000000/Assumptions!$C$58</f>
        <v>35.550996483001171</v>
      </c>
      <c r="K6" s="506">
        <f t="shared" si="4"/>
        <v>3.6952648674087278</v>
      </c>
      <c r="L6" s="506">
        <f t="shared" si="0"/>
        <v>31.855731615592443</v>
      </c>
      <c r="M6" s="1422">
        <f t="shared" si="1"/>
        <v>34.458344888586346</v>
      </c>
      <c r="N6" s="931">
        <f>J6*Assumptions!$C$8/1000000</f>
        <v>4.4438745603751464</v>
      </c>
      <c r="O6" s="931">
        <f t="shared" si="5"/>
        <v>0.46190810842609098</v>
      </c>
      <c r="P6" s="931">
        <f>L6*Assumptions!$C$8/1000000</f>
        <v>3.9819664519490554</v>
      </c>
      <c r="Q6" s="932">
        <f>M6*Assumptions!$C$8/1000000</f>
        <v>4.3072931110732942</v>
      </c>
      <c r="R6" s="1539">
        <f t="shared" si="6"/>
        <v>0.46190810842609098</v>
      </c>
      <c r="S6" s="70">
        <f t="shared" si="7"/>
        <v>4023181966.4999995</v>
      </c>
      <c r="T6" s="70">
        <f t="shared" si="8"/>
        <v>3605001762.0967736</v>
      </c>
      <c r="U6" s="70">
        <f t="shared" si="9"/>
        <v>3899530406.0600805</v>
      </c>
      <c r="V6" s="70">
        <f t="shared" si="10"/>
        <v>123651560.43991899</v>
      </c>
      <c r="W6" s="17">
        <f t="shared" si="11"/>
        <v>123651560.43991899</v>
      </c>
      <c r="X6" s="17">
        <f t="shared" si="12"/>
        <v>0</v>
      </c>
    </row>
    <row r="7" spans="1:24" s="1" customFormat="1" x14ac:dyDescent="0.6">
      <c r="A7" s="60">
        <f t="shared" si="3"/>
        <v>4</v>
      </c>
      <c r="B7" s="85" t="s">
        <v>176</v>
      </c>
      <c r="C7" s="85" t="s">
        <v>1526</v>
      </c>
      <c r="D7" s="1529">
        <f>F7+0.0425</f>
        <v>0.1351</v>
      </c>
      <c r="E7" s="1529"/>
      <c r="F7" s="1529">
        <v>9.2600000000000002E-2</v>
      </c>
      <c r="G7" s="956">
        <v>18273389</v>
      </c>
      <c r="H7" s="897">
        <f>G7*Assumptions!$C$59/Assumptions!$C$8</f>
        <v>498790426.14399999</v>
      </c>
      <c r="I7" s="920">
        <v>9.82</v>
      </c>
      <c r="J7" s="506">
        <f>I7/100*1000000/Assumptions!$C$58</f>
        <v>28.780773739742092</v>
      </c>
      <c r="K7" s="506">
        <f t="shared" si="4"/>
        <v>3.4254977819039354</v>
      </c>
      <c r="L7" s="506">
        <f t="shared" si="0"/>
        <v>25.355275957838156</v>
      </c>
      <c r="M7" s="1422">
        <f t="shared" si="1"/>
        <v>27.70317451153397</v>
      </c>
      <c r="N7" s="931">
        <f>J7*Assumptions!$C$8/1000000</f>
        <v>3.5975967174677614</v>
      </c>
      <c r="O7" s="931">
        <f t="shared" si="5"/>
        <v>0.42818722273799192</v>
      </c>
      <c r="P7" s="931">
        <f>L7*Assumptions!$C$8/1000000</f>
        <v>3.1694094947297695</v>
      </c>
      <c r="Q7" s="932">
        <f>M7*Assumptions!$C$8/1000000</f>
        <v>3.4628968139417462</v>
      </c>
      <c r="R7" s="1540">
        <f t="shared" si="6"/>
        <v>0.42818722273799192</v>
      </c>
      <c r="S7" s="70">
        <f t="shared" si="7"/>
        <v>1794446799.8000002</v>
      </c>
      <c r="T7" s="70">
        <f t="shared" si="8"/>
        <v>1580871112.5011015</v>
      </c>
      <c r="U7" s="70">
        <f t="shared" si="9"/>
        <v>1727259777.5187035</v>
      </c>
      <c r="V7" s="70">
        <f t="shared" si="10"/>
        <v>67187022.28129673</v>
      </c>
      <c r="W7" s="17">
        <f t="shared" si="11"/>
        <v>67187022.28129673</v>
      </c>
      <c r="X7" s="17">
        <f t="shared" si="12"/>
        <v>0</v>
      </c>
    </row>
    <row r="8" spans="1:24" s="1" customFormat="1" x14ac:dyDescent="0.6">
      <c r="A8" s="60">
        <f t="shared" si="3"/>
        <v>5</v>
      </c>
      <c r="B8" s="85" t="s">
        <v>142</v>
      </c>
      <c r="C8" s="85" t="s">
        <v>1651</v>
      </c>
      <c r="D8" s="1529">
        <v>0.12</v>
      </c>
      <c r="E8" s="1530"/>
      <c r="F8" s="1529">
        <v>8.4400000000000003E-2</v>
      </c>
      <c r="G8" s="956">
        <v>89386373</v>
      </c>
      <c r="H8" s="897">
        <f>G8*Assumptions!$C$59/Assumptions!$C$8</f>
        <v>2439890437.408</v>
      </c>
      <c r="I8" s="920">
        <v>16.989999999999998</v>
      </c>
      <c r="J8" s="506">
        <f>I8/100*1000000/Assumptions!$C$58</f>
        <v>49.794841735052756</v>
      </c>
      <c r="K8" s="506">
        <f t="shared" si="4"/>
        <v>5.3351616144699392</v>
      </c>
      <c r="L8" s="506">
        <f t="shared" si="0"/>
        <v>44.459680120582817</v>
      </c>
      <c r="M8" s="1422">
        <f t="shared" si="1"/>
        <v>48.212077122760007</v>
      </c>
      <c r="N8" s="931">
        <f>J8*Assumptions!$C$8/1000000</f>
        <v>6.2243552168815945</v>
      </c>
      <c r="O8" s="931">
        <f t="shared" si="5"/>
        <v>0.6668952018087424</v>
      </c>
      <c r="P8" s="931">
        <f>L8*Assumptions!$C$8/1000000</f>
        <v>5.5574600150728521</v>
      </c>
      <c r="Q8" s="932">
        <f>M8*Assumptions!$C$8/1000000</f>
        <v>6.0265096403450009</v>
      </c>
      <c r="R8" s="1540">
        <f t="shared" si="6"/>
        <v>0.6668952018087424</v>
      </c>
      <c r="S8" s="70">
        <f t="shared" si="7"/>
        <v>15186744772.700001</v>
      </c>
      <c r="T8" s="70">
        <f t="shared" si="8"/>
        <v>13559593547.053572</v>
      </c>
      <c r="U8" s="70">
        <f t="shared" si="9"/>
        <v>14704023242.424892</v>
      </c>
      <c r="V8" s="70">
        <f t="shared" si="10"/>
        <v>482721530.27510834</v>
      </c>
      <c r="W8" s="17">
        <f t="shared" si="11"/>
        <v>482721530.27510834</v>
      </c>
      <c r="X8" s="17">
        <f t="shared" si="12"/>
        <v>0</v>
      </c>
    </row>
    <row r="9" spans="1:24" s="1" customFormat="1" x14ac:dyDescent="0.6">
      <c r="A9" s="60">
        <f t="shared" si="3"/>
        <v>6</v>
      </c>
      <c r="B9" s="85" t="s">
        <v>175</v>
      </c>
      <c r="C9" s="85" t="s">
        <v>1652</v>
      </c>
      <c r="D9" s="1529">
        <f>F9+0.03</f>
        <v>0.10439999999999999</v>
      </c>
      <c r="E9" s="1529"/>
      <c r="F9" s="1529">
        <v>7.4399999999999994E-2</v>
      </c>
      <c r="G9" s="956">
        <v>18384936</v>
      </c>
      <c r="H9" s="897">
        <f>G9*Assumptions!$C$59/Assumptions!$C$8</f>
        <v>501835213.05599999</v>
      </c>
      <c r="I9" s="920">
        <v>12.12</v>
      </c>
      <c r="J9" s="506">
        <f>I9/100*1000000/Assumptions!$C$58</f>
        <v>35.521688159437275</v>
      </c>
      <c r="K9" s="506">
        <f t="shared" si="4"/>
        <v>3.3578995326378589</v>
      </c>
      <c r="L9" s="506">
        <f t="shared" si="0"/>
        <v>32.163788626799416</v>
      </c>
      <c r="M9" s="1422">
        <f t="shared" si="1"/>
        <v>34.556774500633296</v>
      </c>
      <c r="N9" s="931">
        <f>J9*Assumptions!$C$8/1000000</f>
        <v>4.4402110199296594</v>
      </c>
      <c r="O9" s="931">
        <f t="shared" si="5"/>
        <v>0.41973744157973236</v>
      </c>
      <c r="P9" s="931">
        <f>L9*Assumptions!$C$8/1000000</f>
        <v>4.020473578349927</v>
      </c>
      <c r="Q9" s="932">
        <f>M9*Assumptions!$C$8/1000000</f>
        <v>4.3195968125791611</v>
      </c>
      <c r="R9" s="1539">
        <f t="shared" si="6"/>
        <v>0.41973744157973236</v>
      </c>
      <c r="S9" s="70">
        <f t="shared" si="7"/>
        <v>2228254243.1999998</v>
      </c>
      <c r="T9" s="70">
        <f t="shared" si="8"/>
        <v>2017615214.7772543</v>
      </c>
      <c r="U9" s="70">
        <f t="shared" si="9"/>
        <v>2167725786.7566819</v>
      </c>
      <c r="V9" s="70">
        <f t="shared" si="10"/>
        <v>60528456.44331789</v>
      </c>
      <c r="W9" s="17">
        <f t="shared" si="11"/>
        <v>60528456.44331789</v>
      </c>
      <c r="X9" s="17">
        <f t="shared" si="12"/>
        <v>0</v>
      </c>
    </row>
    <row r="10" spans="1:24" s="1" customFormat="1" x14ac:dyDescent="0.6">
      <c r="A10" s="60">
        <f t="shared" si="3"/>
        <v>7</v>
      </c>
      <c r="B10" s="85" t="s">
        <v>143</v>
      </c>
      <c r="C10" s="85" t="s">
        <v>1653</v>
      </c>
      <c r="D10" s="1529">
        <v>6.8000000000000005E-2</v>
      </c>
      <c r="E10" s="1529"/>
      <c r="F10" s="1529">
        <v>6.3500000000000001E-2</v>
      </c>
      <c r="G10" s="956">
        <v>12892862</v>
      </c>
      <c r="H10" s="897">
        <f>G10*Assumptions!$C$59/Assumptions!$C$8</f>
        <v>351923561.15200001</v>
      </c>
      <c r="I10" s="920">
        <v>20.94</v>
      </c>
      <c r="J10" s="506">
        <f>I10/100*1000000/Assumptions!$C$58</f>
        <v>61.371629542790153</v>
      </c>
      <c r="K10" s="506">
        <f t="shared" si="4"/>
        <v>3.907556937181397</v>
      </c>
      <c r="L10" s="506">
        <f t="shared" si="0"/>
        <v>57.464072605608756</v>
      </c>
      <c r="M10" s="1422">
        <f t="shared" si="1"/>
        <v>61.113041216064907</v>
      </c>
      <c r="N10" s="931">
        <f>J10*Assumptions!$C$8/1000000</f>
        <v>7.6714536928487691</v>
      </c>
      <c r="O10" s="931">
        <f t="shared" si="5"/>
        <v>0.48844461714767462</v>
      </c>
      <c r="P10" s="931">
        <f>L10*Assumptions!$C$8/1000000</f>
        <v>7.1830090757010945</v>
      </c>
      <c r="Q10" s="932">
        <f>M10*Assumptions!$C$8/1000000</f>
        <v>7.6391301520081134</v>
      </c>
      <c r="R10" s="1539">
        <f t="shared" si="6"/>
        <v>0.48844461714767462</v>
      </c>
      <c r="S10" s="70">
        <f t="shared" si="7"/>
        <v>2699765302.8000002</v>
      </c>
      <c r="T10" s="70">
        <f t="shared" si="8"/>
        <v>2527870133.7078652</v>
      </c>
      <c r="U10" s="70">
        <f t="shared" si="9"/>
        <v>2688389887.1983147</v>
      </c>
      <c r="V10" s="70">
        <f t="shared" si="10"/>
        <v>11375415.601685524</v>
      </c>
      <c r="W10" s="17">
        <f t="shared" si="11"/>
        <v>11375415.601685524</v>
      </c>
      <c r="X10" s="17">
        <f t="shared" si="12"/>
        <v>0</v>
      </c>
    </row>
    <row r="11" spans="1:24" s="1" customFormat="1" x14ac:dyDescent="0.6">
      <c r="A11" s="60">
        <f t="shared" si="3"/>
        <v>8</v>
      </c>
      <c r="B11" s="85" t="s">
        <v>172</v>
      </c>
      <c r="C11" s="85" t="s">
        <v>1654</v>
      </c>
      <c r="D11" s="1529"/>
      <c r="E11" s="1529"/>
      <c r="F11" s="1529">
        <v>0</v>
      </c>
      <c r="G11" s="956">
        <v>4848998</v>
      </c>
      <c r="H11" s="897">
        <f>G11*Assumptions!$C$59/Assumptions!$C$8</f>
        <v>132358249.40800001</v>
      </c>
      <c r="I11" s="920">
        <v>13.42</v>
      </c>
      <c r="J11" s="506">
        <f>I11/100*1000000/Assumptions!$C$58</f>
        <v>39.331770222743259</v>
      </c>
      <c r="K11" s="506">
        <f t="shared" si="4"/>
        <v>0</v>
      </c>
      <c r="L11" s="506">
        <f t="shared" si="0"/>
        <v>39.331770222743259</v>
      </c>
      <c r="M11" s="1422">
        <f t="shared" si="1"/>
        <v>39.331770222743259</v>
      </c>
      <c r="N11" s="931">
        <f>J11*Assumptions!$C$8/1000000</f>
        <v>4.9164712778429074</v>
      </c>
      <c r="O11" s="931">
        <f t="shared" si="5"/>
        <v>0</v>
      </c>
      <c r="P11" s="931">
        <f>L11*Assumptions!$C$8/1000000</f>
        <v>4.9164712778429074</v>
      </c>
      <c r="Q11" s="932">
        <f>M11*Assumptions!$C$8/1000000</f>
        <v>4.9164712778429074</v>
      </c>
      <c r="R11" s="1539">
        <f t="shared" si="6"/>
        <v>0</v>
      </c>
      <c r="S11" s="70">
        <f t="shared" si="7"/>
        <v>650735531.60000002</v>
      </c>
      <c r="T11" s="70">
        <f t="shared" si="8"/>
        <v>650735531.60000002</v>
      </c>
      <c r="U11" s="70">
        <f t="shared" si="9"/>
        <v>650735531.60000002</v>
      </c>
      <c r="V11" s="70">
        <f t="shared" si="10"/>
        <v>0</v>
      </c>
      <c r="W11" s="17">
        <f t="shared" si="11"/>
        <v>0</v>
      </c>
      <c r="X11" s="17">
        <f t="shared" si="12"/>
        <v>0</v>
      </c>
    </row>
    <row r="12" spans="1:24" s="1" customFormat="1" x14ac:dyDescent="0.6">
      <c r="A12" s="60">
        <f t="shared" si="3"/>
        <v>9</v>
      </c>
      <c r="B12" s="85" t="s">
        <v>171</v>
      </c>
      <c r="C12" s="85" t="s">
        <v>1655</v>
      </c>
      <c r="D12" s="1529">
        <v>0.05</v>
      </c>
      <c r="E12" s="1529"/>
      <c r="F12" s="1529">
        <v>5.7500000000000002E-2</v>
      </c>
      <c r="G12" s="956">
        <v>2497559</v>
      </c>
      <c r="H12" s="897">
        <f>G12*Assumptions!$C$59/Assumptions!$C$8</f>
        <v>68173370.464000002</v>
      </c>
      <c r="I12" s="920">
        <v>12.99</v>
      </c>
      <c r="J12" s="506">
        <f>I12/100*1000000/Assumptions!$C$58</f>
        <v>38.071512309495901</v>
      </c>
      <c r="K12" s="506">
        <f t="shared" si="4"/>
        <v>1.8129291575950433</v>
      </c>
      <c r="L12" s="506">
        <f t="shared" si="0"/>
        <v>36.258583151900858</v>
      </c>
      <c r="M12" s="1422">
        <f t="shared" si="1"/>
        <v>38.343451683135164</v>
      </c>
      <c r="N12" s="931">
        <f>J12*Assumptions!$C$8/1000000</f>
        <v>4.7589390386869876</v>
      </c>
      <c r="O12" s="931">
        <f t="shared" si="5"/>
        <v>0.22661614469938041</v>
      </c>
      <c r="P12" s="931">
        <f>L12*Assumptions!$C$8/1000000</f>
        <v>4.5323228939876072</v>
      </c>
      <c r="Q12" s="932">
        <f>M12*Assumptions!$C$8/1000000</f>
        <v>4.7929314603918955</v>
      </c>
      <c r="R12" s="1539">
        <f t="shared" si="6"/>
        <v>0.22661614469938041</v>
      </c>
      <c r="S12" s="70">
        <f t="shared" si="7"/>
        <v>324432914.10000002</v>
      </c>
      <c r="T12" s="70">
        <f t="shared" si="8"/>
        <v>308983727.71428573</v>
      </c>
      <c r="U12" s="70">
        <f t="shared" si="9"/>
        <v>326750292.05785728</v>
      </c>
      <c r="V12" s="70">
        <f t="shared" si="10"/>
        <v>-2317377.9578572512</v>
      </c>
      <c r="W12" s="17">
        <f t="shared" si="11"/>
        <v>0</v>
      </c>
      <c r="X12" s="17">
        <f t="shared" si="12"/>
        <v>-2317377.9578572512</v>
      </c>
    </row>
    <row r="13" spans="1:24" s="1" customFormat="1" x14ac:dyDescent="0.6">
      <c r="A13" s="60">
        <f t="shared" si="3"/>
        <v>10</v>
      </c>
      <c r="B13" s="85" t="s">
        <v>144</v>
      </c>
      <c r="C13" s="85" t="s">
        <v>1656</v>
      </c>
      <c r="D13" s="1529">
        <v>0.18</v>
      </c>
      <c r="E13" s="1530"/>
      <c r="F13" s="1529">
        <v>6.6500000000000004E-2</v>
      </c>
      <c r="G13" s="956">
        <v>122759472</v>
      </c>
      <c r="H13" s="897">
        <f>G13*Assumptions!$C$59/Assumptions!$C$8</f>
        <v>3350842547.7119999</v>
      </c>
      <c r="I13" s="920">
        <v>11.58</v>
      </c>
      <c r="J13" s="506">
        <f>I13/100*1000000/Assumptions!$C$58</f>
        <v>33.939038686987104</v>
      </c>
      <c r="K13" s="506">
        <f t="shared" si="4"/>
        <v>5.1771414946251504</v>
      </c>
      <c r="L13" s="506">
        <f t="shared" si="0"/>
        <v>28.761897192361953</v>
      </c>
      <c r="M13" s="1422">
        <f t="shared" si="1"/>
        <v>30.674563355654023</v>
      </c>
      <c r="N13" s="931">
        <f>J13*Assumptions!$C$8/1000000</f>
        <v>4.242379835873388</v>
      </c>
      <c r="O13" s="931">
        <f t="shared" si="5"/>
        <v>0.6471426868281438</v>
      </c>
      <c r="P13" s="931">
        <f>L13*Assumptions!$C$8/1000000</f>
        <v>3.5952371490452442</v>
      </c>
      <c r="Q13" s="932">
        <f>M13*Assumptions!$C$8/1000000</f>
        <v>3.8343204194567528</v>
      </c>
      <c r="R13" s="1540">
        <f t="shared" si="6"/>
        <v>0.6471426868281438</v>
      </c>
      <c r="S13" s="70">
        <f t="shared" si="7"/>
        <v>14215546857.599998</v>
      </c>
      <c r="T13" s="70">
        <f t="shared" si="8"/>
        <v>12047073608.135593</v>
      </c>
      <c r="U13" s="70">
        <f t="shared" si="9"/>
        <v>12848204003.076611</v>
      </c>
      <c r="V13" s="70">
        <f t="shared" si="10"/>
        <v>1367342854.5233879</v>
      </c>
      <c r="W13" s="17">
        <f t="shared" si="11"/>
        <v>1367342854.5233879</v>
      </c>
      <c r="X13" s="17">
        <f t="shared" si="12"/>
        <v>0</v>
      </c>
    </row>
    <row r="14" spans="1:24" s="1" customFormat="1" x14ac:dyDescent="0.6">
      <c r="A14" s="60">
        <f t="shared" si="3"/>
        <v>11</v>
      </c>
      <c r="B14" s="85" t="s">
        <v>154</v>
      </c>
      <c r="C14" s="85" t="s">
        <v>1657</v>
      </c>
      <c r="D14" s="1529">
        <f>0.035+F14</f>
        <v>0.1046</v>
      </c>
      <c r="E14" s="1530"/>
      <c r="F14" s="1529">
        <v>6.9599999999999995E-2</v>
      </c>
      <c r="G14" s="956">
        <v>56421650</v>
      </c>
      <c r="H14" s="897">
        <f>G14*Assumptions!$C$59/Assumptions!$C$8</f>
        <v>1540085358.4000001</v>
      </c>
      <c r="I14" s="920">
        <v>11.54</v>
      </c>
      <c r="J14" s="506">
        <f>I14/100*1000000/Assumptions!$C$58</f>
        <v>33.821805392731534</v>
      </c>
      <c r="K14" s="506">
        <f t="shared" si="4"/>
        <v>3.202752891616619</v>
      </c>
      <c r="L14" s="506">
        <f t="shared" si="0"/>
        <v>30.619052501114915</v>
      </c>
      <c r="M14" s="1422">
        <f t="shared" si="1"/>
        <v>32.750138555192507</v>
      </c>
      <c r="N14" s="931">
        <f>J14*Assumptions!$C$8/1000000</f>
        <v>4.2277256740914417</v>
      </c>
      <c r="O14" s="931">
        <f t="shared" si="5"/>
        <v>0.40034411145207738</v>
      </c>
      <c r="P14" s="931">
        <f>L14*Assumptions!$C$8/1000000</f>
        <v>3.8273815626393644</v>
      </c>
      <c r="Q14" s="932">
        <f>M14*Assumptions!$C$8/1000000</f>
        <v>4.0937673193990634</v>
      </c>
      <c r="R14" s="1540">
        <f t="shared" si="6"/>
        <v>0.40034411145207738</v>
      </c>
      <c r="S14" s="70">
        <f t="shared" si="7"/>
        <v>6511058410</v>
      </c>
      <c r="T14" s="70">
        <f t="shared" si="8"/>
        <v>5894494305.6309977</v>
      </c>
      <c r="U14" s="70">
        <f t="shared" si="9"/>
        <v>6304751109.3029146</v>
      </c>
      <c r="V14" s="70">
        <f t="shared" si="10"/>
        <v>206307300.69708538</v>
      </c>
      <c r="W14" s="17">
        <f t="shared" si="11"/>
        <v>206307300.69708538</v>
      </c>
      <c r="X14" s="17">
        <f t="shared" si="12"/>
        <v>0</v>
      </c>
    </row>
    <row r="15" spans="1:24" s="1" customFormat="1" x14ac:dyDescent="0.6">
      <c r="A15" s="60">
        <f t="shared" si="3"/>
        <v>12</v>
      </c>
      <c r="B15" s="85" t="s">
        <v>141</v>
      </c>
      <c r="C15" s="85" t="s">
        <v>1658</v>
      </c>
      <c r="D15" s="1529"/>
      <c r="E15" s="1529"/>
      <c r="F15" s="1529">
        <v>4.3499999999999997E-2</v>
      </c>
      <c r="G15" s="956">
        <v>2641336</v>
      </c>
      <c r="H15" s="897">
        <f>G15*Assumptions!$C$59/Assumptions!$C$8</f>
        <v>72097907.456</v>
      </c>
      <c r="I15" s="920">
        <v>29.6</v>
      </c>
      <c r="J15" s="506">
        <f>I15/100*1000000/Assumptions!$C$58</f>
        <v>86.752637749120765</v>
      </c>
      <c r="K15" s="506">
        <f t="shared" si="4"/>
        <v>0</v>
      </c>
      <c r="L15" s="506">
        <f t="shared" si="0"/>
        <v>86.752637749120765</v>
      </c>
      <c r="M15" s="1422">
        <f t="shared" si="1"/>
        <v>90.526377491207526</v>
      </c>
      <c r="N15" s="931">
        <f>J15*Assumptions!$C$8/1000000</f>
        <v>10.844079718640096</v>
      </c>
      <c r="O15" s="931">
        <f t="shared" si="5"/>
        <v>0</v>
      </c>
      <c r="P15" s="931">
        <f>L15*Assumptions!$C$8/1000000</f>
        <v>10.844079718640096</v>
      </c>
      <c r="Q15" s="932">
        <f>M15*Assumptions!$C$8/1000000</f>
        <v>11.315797186400941</v>
      </c>
      <c r="R15" s="1539">
        <f t="shared" si="6"/>
        <v>0</v>
      </c>
      <c r="S15" s="70">
        <f t="shared" si="7"/>
        <v>781835456.00000012</v>
      </c>
      <c r="T15" s="70">
        <f t="shared" si="8"/>
        <v>781835456.00000012</v>
      </c>
      <c r="U15" s="70">
        <f t="shared" si="9"/>
        <v>815845298.3360002</v>
      </c>
      <c r="V15" s="70">
        <f t="shared" si="10"/>
        <v>-34009842.336000085</v>
      </c>
      <c r="W15" s="17">
        <f t="shared" si="11"/>
        <v>0</v>
      </c>
      <c r="X15" s="17">
        <f t="shared" si="12"/>
        <v>-34009842.336000085</v>
      </c>
    </row>
    <row r="16" spans="1:24" s="1" customFormat="1" x14ac:dyDescent="0.6">
      <c r="A16" s="60">
        <f t="shared" si="3"/>
        <v>13</v>
      </c>
      <c r="B16" s="85" t="s">
        <v>152</v>
      </c>
      <c r="C16" s="85" t="s">
        <v>1659</v>
      </c>
      <c r="D16" s="1529">
        <v>0.01</v>
      </c>
      <c r="E16" s="1529"/>
      <c r="F16" s="1529">
        <v>6.0100000000000001E-2</v>
      </c>
      <c r="G16" s="956">
        <v>8054693</v>
      </c>
      <c r="H16" s="897">
        <f>G16*Assumptions!$C$59/Assumptions!$C$8</f>
        <v>219860900.12799999</v>
      </c>
      <c r="I16" s="920">
        <v>9.93</v>
      </c>
      <c r="J16" s="506">
        <f>I16/100*1000000/Assumptions!$C$58</f>
        <v>29.103165298944901</v>
      </c>
      <c r="K16" s="506">
        <f t="shared" si="4"/>
        <v>0.28815015147470291</v>
      </c>
      <c r="L16" s="506">
        <f t="shared" si="0"/>
        <v>28.815015147470199</v>
      </c>
      <c r="M16" s="1422">
        <f t="shared" si="1"/>
        <v>30.546797557833159</v>
      </c>
      <c r="N16" s="931">
        <f>J16*Assumptions!$C$8/1000000</f>
        <v>3.6378956623681127</v>
      </c>
      <c r="O16" s="931">
        <f t="shared" si="5"/>
        <v>3.6018768934337864E-2</v>
      </c>
      <c r="P16" s="931">
        <f>L16*Assumptions!$C$8/1000000</f>
        <v>3.6018768934337748</v>
      </c>
      <c r="Q16" s="932">
        <f>M16*Assumptions!$C$8/1000000</f>
        <v>3.8183496947291449</v>
      </c>
      <c r="R16" s="1539">
        <f t="shared" si="6"/>
        <v>3.6018768934337864E-2</v>
      </c>
      <c r="S16" s="70">
        <f t="shared" si="7"/>
        <v>799831014.89999998</v>
      </c>
      <c r="T16" s="70">
        <f t="shared" si="8"/>
        <v>791911895.94059408</v>
      </c>
      <c r="U16" s="70">
        <f t="shared" si="9"/>
        <v>839505800.88662374</v>
      </c>
      <c r="V16" s="70">
        <f t="shared" si="10"/>
        <v>-39674785.986623764</v>
      </c>
      <c r="W16" s="17">
        <f t="shared" si="11"/>
        <v>0</v>
      </c>
      <c r="X16" s="17">
        <f t="shared" si="12"/>
        <v>-39674785.986623764</v>
      </c>
    </row>
    <row r="17" spans="1:24" s="192" customFormat="1" x14ac:dyDescent="0.6">
      <c r="A17" s="60">
        <f t="shared" si="3"/>
        <v>14</v>
      </c>
      <c r="B17" s="85" t="s">
        <v>157</v>
      </c>
      <c r="C17" s="85" t="s">
        <v>1661</v>
      </c>
      <c r="D17" s="1529">
        <v>0.06</v>
      </c>
      <c r="E17" s="1442"/>
      <c r="F17" s="1529">
        <v>8.1900000000000001E-2</v>
      </c>
      <c r="G17" s="956">
        <v>44645638</v>
      </c>
      <c r="H17" s="897">
        <f>G17*Assumptions!$C$59/Assumptions!$C$8</f>
        <v>1218647334.848</v>
      </c>
      <c r="I17" s="920">
        <v>12.5</v>
      </c>
      <c r="J17" s="506">
        <f>I17/100*1000000/Assumptions!$C$58</f>
        <v>36.635404454865181</v>
      </c>
      <c r="K17" s="506">
        <f t="shared" si="4"/>
        <v>2.0737021389546371</v>
      </c>
      <c r="L17" s="506">
        <f t="shared" si="0"/>
        <v>34.561702315910544</v>
      </c>
      <c r="M17" s="1422">
        <f t="shared" si="1"/>
        <v>37.392305735583619</v>
      </c>
      <c r="N17" s="931">
        <f>J17*Assumptions!$C$8/1000000</f>
        <v>4.5794255568581477</v>
      </c>
      <c r="O17" s="931">
        <f t="shared" si="5"/>
        <v>0.25921276736932874</v>
      </c>
      <c r="P17" s="931">
        <f>L17*Assumptions!$C$8/1000000</f>
        <v>4.3202127894888189</v>
      </c>
      <c r="Q17" s="932">
        <f>M17*Assumptions!$C$8/1000000</f>
        <v>4.6740382169479524</v>
      </c>
      <c r="R17" s="1540">
        <f t="shared" si="6"/>
        <v>0.25921276736932874</v>
      </c>
      <c r="S17" s="70">
        <f t="shared" si="7"/>
        <v>5580704750</v>
      </c>
      <c r="T17" s="70">
        <f t="shared" si="8"/>
        <v>5264815801.8867931</v>
      </c>
      <c r="U17" s="70">
        <f t="shared" si="9"/>
        <v>5696004216.0613203</v>
      </c>
      <c r="V17" s="70">
        <f t="shared" si="10"/>
        <v>-115299466.0613203</v>
      </c>
      <c r="W17" s="17">
        <f t="shared" si="11"/>
        <v>0</v>
      </c>
      <c r="X17" s="17">
        <f t="shared" si="12"/>
        <v>-115299466.0613203</v>
      </c>
    </row>
    <row r="18" spans="1:24" s="1" customFormat="1" x14ac:dyDescent="0.6">
      <c r="A18" s="60">
        <f t="shared" si="3"/>
        <v>15</v>
      </c>
      <c r="B18" s="85" t="s">
        <v>160</v>
      </c>
      <c r="C18" s="85" t="s">
        <v>1660</v>
      </c>
      <c r="D18" s="1529">
        <f>F18</f>
        <v>7.0000000000000007E-2</v>
      </c>
      <c r="E18" s="1529"/>
      <c r="F18" s="1529">
        <v>7.0000000000000007E-2</v>
      </c>
      <c r="G18" s="956">
        <v>32441693</v>
      </c>
      <c r="H18" s="897">
        <f>G18*Assumptions!$C$59/Assumptions!$C$8</f>
        <v>885528452.12800002</v>
      </c>
      <c r="I18" s="920">
        <v>11.57</v>
      </c>
      <c r="J18" s="506">
        <f>I18/100*1000000/Assumptions!$C$58</f>
        <v>33.909730363423215</v>
      </c>
      <c r="K18" s="506">
        <f t="shared" si="4"/>
        <v>2.2183935751772204</v>
      </c>
      <c r="L18" s="506">
        <f t="shared" si="0"/>
        <v>31.691336788245994</v>
      </c>
      <c r="M18" s="1422">
        <f t="shared" si="1"/>
        <v>33.909730363423215</v>
      </c>
      <c r="N18" s="931">
        <f>J18*Assumptions!$C$8/1000000</f>
        <v>4.2387162954279018</v>
      </c>
      <c r="O18" s="931">
        <f t="shared" si="5"/>
        <v>0.27729919689715254</v>
      </c>
      <c r="P18" s="931">
        <f>L18*Assumptions!$C$8/1000000</f>
        <v>3.9614170985307493</v>
      </c>
      <c r="Q18" s="932">
        <f>M18*Assumptions!$C$8/1000000</f>
        <v>4.2387162954279018</v>
      </c>
      <c r="R18" s="1539">
        <f t="shared" si="6"/>
        <v>0.27729919689715254</v>
      </c>
      <c r="S18" s="70">
        <f t="shared" si="7"/>
        <v>3753503880.1000004</v>
      </c>
      <c r="T18" s="70">
        <f t="shared" si="8"/>
        <v>3507947551.4953275</v>
      </c>
      <c r="U18" s="70">
        <f t="shared" si="9"/>
        <v>3753503880.1000004</v>
      </c>
      <c r="V18" s="70">
        <f t="shared" si="10"/>
        <v>0</v>
      </c>
      <c r="W18" s="17">
        <f t="shared" si="11"/>
        <v>0</v>
      </c>
      <c r="X18" s="17">
        <f t="shared" si="12"/>
        <v>0</v>
      </c>
    </row>
    <row r="19" spans="1:24" s="1" customFormat="1" x14ac:dyDescent="0.6">
      <c r="A19" s="60">
        <f t="shared" si="3"/>
        <v>16</v>
      </c>
      <c r="B19" s="85" t="s">
        <v>151</v>
      </c>
      <c r="C19" s="85" t="s">
        <v>1549</v>
      </c>
      <c r="D19" s="1529">
        <f>F19</f>
        <v>6.7799999999999999E-2</v>
      </c>
      <c r="E19" s="1529"/>
      <c r="F19" s="1529">
        <v>6.7799999999999999E-2</v>
      </c>
      <c r="G19" s="956">
        <v>13786328</v>
      </c>
      <c r="H19" s="897">
        <f>G19*Assumptions!$C$59/Assumptions!$C$8</f>
        <v>376311609.088</v>
      </c>
      <c r="I19" s="920">
        <v>11.63</v>
      </c>
      <c r="J19" s="506">
        <f>I19/100*1000000/Assumptions!$C$58</f>
        <v>34.08558030480657</v>
      </c>
      <c r="K19" s="506">
        <f t="shared" si="4"/>
        <v>2.1642651663849861</v>
      </c>
      <c r="L19" s="506">
        <f t="shared" si="0"/>
        <v>31.921315138421583</v>
      </c>
      <c r="M19" s="1422">
        <f t="shared" si="1"/>
        <v>34.08558030480657</v>
      </c>
      <c r="N19" s="931">
        <f>J19*Assumptions!$C$8/1000000</f>
        <v>4.2606975381008212</v>
      </c>
      <c r="O19" s="931">
        <f t="shared" si="5"/>
        <v>0.27053314579812326</v>
      </c>
      <c r="P19" s="931">
        <f>L19*Assumptions!$C$8/1000000</f>
        <v>3.9901643923026979</v>
      </c>
      <c r="Q19" s="932">
        <f>M19*Assumptions!$C$8/1000000</f>
        <v>4.2606975381008212</v>
      </c>
      <c r="R19" s="1539">
        <f t="shared" si="6"/>
        <v>0.27053314579812326</v>
      </c>
      <c r="S19" s="70">
        <f t="shared" si="7"/>
        <v>1603349946.4000001</v>
      </c>
      <c r="T19" s="70">
        <f t="shared" si="8"/>
        <v>1501545182.9930699</v>
      </c>
      <c r="U19" s="70">
        <f t="shared" si="9"/>
        <v>1603349946.4000001</v>
      </c>
      <c r="V19" s="70">
        <f t="shared" si="10"/>
        <v>0</v>
      </c>
      <c r="W19" s="17">
        <f t="shared" si="11"/>
        <v>0</v>
      </c>
      <c r="X19" s="17">
        <f t="shared" si="12"/>
        <v>0</v>
      </c>
    </row>
    <row r="20" spans="1:24" s="1" customFormat="1" x14ac:dyDescent="0.6">
      <c r="A20" s="60">
        <f t="shared" si="3"/>
        <v>17</v>
      </c>
      <c r="B20" s="85" t="s">
        <v>168</v>
      </c>
      <c r="C20" s="85" t="s">
        <v>1662</v>
      </c>
      <c r="D20" s="1529">
        <v>0.06</v>
      </c>
      <c r="E20" s="1529"/>
      <c r="F20" s="1529">
        <v>8.2000000000000003E-2</v>
      </c>
      <c r="G20" s="956">
        <v>13241682</v>
      </c>
      <c r="H20" s="897">
        <f>G20*Assumptions!$C$59/Assumptions!$C$8</f>
        <v>361444951.87199998</v>
      </c>
      <c r="I20" s="920">
        <v>12.34</v>
      </c>
      <c r="J20" s="506">
        <f>I20/100*1000000/Assumptions!$C$58</f>
        <v>36.166471277842909</v>
      </c>
      <c r="K20" s="506">
        <f t="shared" si="4"/>
        <v>2.0471587515760135</v>
      </c>
      <c r="L20" s="506">
        <f t="shared" si="0"/>
        <v>34.119312526266896</v>
      </c>
      <c r="M20" s="1422">
        <f t="shared" si="1"/>
        <v>36.917096153420786</v>
      </c>
      <c r="N20" s="931">
        <f>J20*Assumptions!$C$8/1000000</f>
        <v>4.5208089097303636</v>
      </c>
      <c r="O20" s="931">
        <f t="shared" si="5"/>
        <v>0.25589484394700168</v>
      </c>
      <c r="P20" s="931">
        <f>L20*Assumptions!$C$8/1000000</f>
        <v>4.264914065783362</v>
      </c>
      <c r="Q20" s="932">
        <f>M20*Assumptions!$C$8/1000000</f>
        <v>4.6146370191775983</v>
      </c>
      <c r="R20" s="1539">
        <f t="shared" si="6"/>
        <v>0.25589484394700168</v>
      </c>
      <c r="S20" s="70">
        <f t="shared" si="7"/>
        <v>1634023558.8</v>
      </c>
      <c r="T20" s="70">
        <f t="shared" si="8"/>
        <v>1541531659.2452831</v>
      </c>
      <c r="U20" s="70">
        <f t="shared" si="9"/>
        <v>1667937255.3033965</v>
      </c>
      <c r="V20" s="70">
        <f t="shared" si="10"/>
        <v>-33913696.503396511</v>
      </c>
      <c r="W20" s="17">
        <f t="shared" si="11"/>
        <v>0</v>
      </c>
      <c r="X20" s="17">
        <f t="shared" si="12"/>
        <v>-33913696.503396511</v>
      </c>
    </row>
    <row r="21" spans="1:24" s="1" customFormat="1" x14ac:dyDescent="0.6">
      <c r="A21" s="60">
        <f t="shared" si="3"/>
        <v>18</v>
      </c>
      <c r="B21" s="85" t="s">
        <v>167</v>
      </c>
      <c r="C21" s="85" t="s">
        <v>1525</v>
      </c>
      <c r="D21" s="1529"/>
      <c r="E21" s="1529"/>
      <c r="F21" s="1529">
        <v>0.06</v>
      </c>
      <c r="G21" s="956">
        <v>26168093</v>
      </c>
      <c r="H21" s="897">
        <f>G21*Assumptions!$C$59/Assumptions!$C$8</f>
        <v>714284266.528</v>
      </c>
      <c r="I21" s="920">
        <v>10.24</v>
      </c>
      <c r="J21" s="506">
        <f>I21/100*1000000/Assumptions!$C$58</f>
        <v>30.011723329425557</v>
      </c>
      <c r="K21" s="506">
        <f t="shared" si="4"/>
        <v>0</v>
      </c>
      <c r="L21" s="506">
        <f t="shared" si="0"/>
        <v>30.011723329425557</v>
      </c>
      <c r="M21" s="1422">
        <f t="shared" si="1"/>
        <v>31.812426729191092</v>
      </c>
      <c r="N21" s="931">
        <f>J21*Assumptions!$C$8/1000000</f>
        <v>3.7514654161781946</v>
      </c>
      <c r="O21" s="931">
        <f t="shared" si="5"/>
        <v>0</v>
      </c>
      <c r="P21" s="931">
        <f>L21*Assumptions!$C$8/1000000</f>
        <v>3.7514654161781946</v>
      </c>
      <c r="Q21" s="932">
        <f>M21*Assumptions!$C$8/1000000</f>
        <v>3.9765533411488865</v>
      </c>
      <c r="R21" s="1539">
        <f t="shared" si="6"/>
        <v>0</v>
      </c>
      <c r="S21" s="70">
        <f t="shared" si="7"/>
        <v>2679612723.1999998</v>
      </c>
      <c r="T21" s="70">
        <f t="shared" si="8"/>
        <v>2679612723.1999998</v>
      </c>
      <c r="U21" s="70">
        <f t="shared" si="9"/>
        <v>2840389486.592</v>
      </c>
      <c r="V21" s="70">
        <f t="shared" si="10"/>
        <v>-160776763.3920002</v>
      </c>
      <c r="W21" s="17">
        <f t="shared" si="11"/>
        <v>0</v>
      </c>
      <c r="X21" s="17">
        <f t="shared" si="12"/>
        <v>-160776763.3920002</v>
      </c>
    </row>
    <row r="22" spans="1:24" s="1" customFormat="1" x14ac:dyDescent="0.6">
      <c r="A22" s="60">
        <f t="shared" si="3"/>
        <v>19</v>
      </c>
      <c r="B22" s="85" t="s">
        <v>179</v>
      </c>
      <c r="C22" s="85" t="s">
        <v>1526</v>
      </c>
      <c r="D22" s="1529">
        <v>0.02</v>
      </c>
      <c r="E22" s="1529"/>
      <c r="F22" s="1529">
        <v>8.9099999999999999E-2</v>
      </c>
      <c r="G22" s="956">
        <v>31545313</v>
      </c>
      <c r="H22" s="897">
        <f>G22*Assumptions!$C$59/Assumptions!$C$8</f>
        <v>861060863.648</v>
      </c>
      <c r="I22" s="920">
        <v>9.33</v>
      </c>
      <c r="J22" s="506">
        <f>I22/100*1000000/Assumptions!$C$58</f>
        <v>27.344665885111372</v>
      </c>
      <c r="K22" s="506">
        <f t="shared" si="4"/>
        <v>0.53616991931590974</v>
      </c>
      <c r="L22" s="506">
        <f t="shared" si="0"/>
        <v>26.808495965795462</v>
      </c>
      <c r="M22" s="1422">
        <f t="shared" si="1"/>
        <v>29.197132956347836</v>
      </c>
      <c r="N22" s="931">
        <f>J22*Assumptions!$C$8/1000000</f>
        <v>3.4180832356389215</v>
      </c>
      <c r="O22" s="931">
        <f t="shared" si="5"/>
        <v>6.7021239914488717E-2</v>
      </c>
      <c r="P22" s="931">
        <f>L22*Assumptions!$C$8/1000000</f>
        <v>3.3510619957244328</v>
      </c>
      <c r="Q22" s="932">
        <f>M22*Assumptions!$C$8/1000000</f>
        <v>3.6496416195434795</v>
      </c>
      <c r="R22" s="1539">
        <f t="shared" si="6"/>
        <v>6.7021239914488717E-2</v>
      </c>
      <c r="S22" s="70">
        <f t="shared" si="7"/>
        <v>2943177702.9000001</v>
      </c>
      <c r="T22" s="70">
        <f t="shared" si="8"/>
        <v>2885468336.1764708</v>
      </c>
      <c r="U22" s="70">
        <f t="shared" si="9"/>
        <v>3142563564.9297938</v>
      </c>
      <c r="V22" s="70">
        <f t="shared" si="10"/>
        <v>-199385862.02979374</v>
      </c>
      <c r="W22" s="17">
        <f t="shared" si="11"/>
        <v>0</v>
      </c>
      <c r="X22" s="17">
        <f t="shared" si="12"/>
        <v>-199385862.02979374</v>
      </c>
    </row>
    <row r="23" spans="1:24" s="1" customFormat="1" x14ac:dyDescent="0.6">
      <c r="A23" s="60">
        <f t="shared" si="3"/>
        <v>20</v>
      </c>
      <c r="B23" s="85" t="s">
        <v>158</v>
      </c>
      <c r="C23" s="85" t="s">
        <v>1663</v>
      </c>
      <c r="D23" s="1529"/>
      <c r="E23" s="1529"/>
      <c r="F23" s="1529">
        <v>5.5E-2</v>
      </c>
      <c r="G23" s="956">
        <v>4662301</v>
      </c>
      <c r="H23" s="897">
        <f>G23*Assumptions!$C$59/Assumptions!$C$8</f>
        <v>127262168.096</v>
      </c>
      <c r="I23" s="920">
        <v>15.61</v>
      </c>
      <c r="J23" s="506">
        <f>I23/100*1000000/Assumptions!$C$58</f>
        <v>45.75029308323564</v>
      </c>
      <c r="K23" s="506">
        <f t="shared" si="4"/>
        <v>0</v>
      </c>
      <c r="L23" s="506">
        <f t="shared" si="0"/>
        <v>45.75029308323564</v>
      </c>
      <c r="M23" s="1422">
        <f t="shared" si="1"/>
        <v>48.266559202813596</v>
      </c>
      <c r="N23" s="931">
        <f>J23*Assumptions!$C$8/1000000</f>
        <v>5.718786635404455</v>
      </c>
      <c r="O23" s="931">
        <f t="shared" si="5"/>
        <v>0</v>
      </c>
      <c r="P23" s="931">
        <f>L23*Assumptions!$C$8/1000000</f>
        <v>5.718786635404455</v>
      </c>
      <c r="Q23" s="932">
        <f>M23*Assumptions!$C$8/1000000</f>
        <v>6.0333199003516995</v>
      </c>
      <c r="R23" s="1539">
        <f t="shared" si="6"/>
        <v>0</v>
      </c>
      <c r="S23" s="70">
        <f t="shared" si="7"/>
        <v>727785186.10000002</v>
      </c>
      <c r="T23" s="70">
        <f t="shared" si="8"/>
        <v>727785186.10000002</v>
      </c>
      <c r="U23" s="70">
        <f t="shared" si="9"/>
        <v>767813371.3355</v>
      </c>
      <c r="V23" s="70">
        <f t="shared" si="10"/>
        <v>-40028185.235499978</v>
      </c>
      <c r="W23" s="17">
        <f t="shared" si="11"/>
        <v>0</v>
      </c>
      <c r="X23" s="17">
        <f t="shared" si="12"/>
        <v>-40028185.235499978</v>
      </c>
    </row>
    <row r="24" spans="1:24" s="1" customFormat="1" x14ac:dyDescent="0.6">
      <c r="A24" s="60">
        <f t="shared" si="3"/>
        <v>21</v>
      </c>
      <c r="B24" s="85" t="s">
        <v>150</v>
      </c>
      <c r="C24" s="85" t="s">
        <v>1528</v>
      </c>
      <c r="D24" s="1533">
        <f>0.02+0.00004</f>
        <v>2.0039999999999999E-2</v>
      </c>
      <c r="E24" s="1529"/>
      <c r="F24" s="1529">
        <v>0.06</v>
      </c>
      <c r="G24" s="956">
        <v>27403336</v>
      </c>
      <c r="H24" s="897">
        <f>G24*Assumptions!$C$59/Assumptions!$C$8</f>
        <v>748001459.45599997</v>
      </c>
      <c r="I24" s="920">
        <v>13.82</v>
      </c>
      <c r="J24" s="506">
        <f>I24/100*1000000/Assumptions!$C$58</f>
        <v>40.504103165298943</v>
      </c>
      <c r="K24" s="506">
        <f t="shared" si="4"/>
        <v>0.79575529139307832</v>
      </c>
      <c r="L24" s="506">
        <f t="shared" si="0"/>
        <v>39.708347873905865</v>
      </c>
      <c r="M24" s="1422">
        <f t="shared" si="1"/>
        <v>42.090848746340221</v>
      </c>
      <c r="N24" s="931">
        <f>J24*Assumptions!$C$8/1000000</f>
        <v>5.0630128956623679</v>
      </c>
      <c r="O24" s="931">
        <f t="shared" si="5"/>
        <v>9.946941142413479E-2</v>
      </c>
      <c r="P24" s="931">
        <f>L24*Assumptions!$C$8/1000000</f>
        <v>4.9635434842382331</v>
      </c>
      <c r="Q24" s="932">
        <f>M24*Assumptions!$C$8/1000000</f>
        <v>5.2613560932925276</v>
      </c>
      <c r="R24" s="1539">
        <f t="shared" si="6"/>
        <v>9.946941142413479E-2</v>
      </c>
      <c r="S24" s="70">
        <f t="shared" si="7"/>
        <v>3787141035.1999998</v>
      </c>
      <c r="T24" s="70">
        <f t="shared" si="8"/>
        <v>3712737770.2835174</v>
      </c>
      <c r="U24" s="70">
        <f t="shared" si="9"/>
        <v>3935502036.5005288</v>
      </c>
      <c r="V24" s="70">
        <f t="shared" si="10"/>
        <v>-148361001.300529</v>
      </c>
      <c r="W24" s="17">
        <f t="shared" si="11"/>
        <v>0</v>
      </c>
      <c r="X24" s="17">
        <f t="shared" si="12"/>
        <v>-148361001.300529</v>
      </c>
    </row>
    <row r="25" spans="1:24" s="1" customFormat="1" x14ac:dyDescent="0.6">
      <c r="A25" s="60">
        <f t="shared" si="3"/>
        <v>22</v>
      </c>
      <c r="B25" s="85" t="s">
        <v>166</v>
      </c>
      <c r="C25" s="85" t="s">
        <v>1664</v>
      </c>
      <c r="D25" s="1529"/>
      <c r="E25" s="1529"/>
      <c r="F25" s="1529">
        <v>6.25E-2</v>
      </c>
      <c r="G25" s="956">
        <v>20175317</v>
      </c>
      <c r="H25" s="897">
        <f>G25*Assumptions!$C$59/Assumptions!$C$8</f>
        <v>550705452.83200002</v>
      </c>
      <c r="I25" s="920">
        <v>19.829999999999998</v>
      </c>
      <c r="J25" s="506">
        <f>I25/100*1000000/Assumptions!$C$58</f>
        <v>58.118405627198115</v>
      </c>
      <c r="K25" s="506">
        <f t="shared" si="4"/>
        <v>0</v>
      </c>
      <c r="L25" s="506">
        <f t="shared" si="0"/>
        <v>58.118405627198115</v>
      </c>
      <c r="M25" s="1422">
        <f t="shared" si="1"/>
        <v>61.750805978898001</v>
      </c>
      <c r="N25" s="931">
        <f>J25*Assumptions!$C$8/1000000</f>
        <v>7.2648007033997644</v>
      </c>
      <c r="O25" s="931">
        <f t="shared" si="5"/>
        <v>0</v>
      </c>
      <c r="P25" s="931">
        <f>L25*Assumptions!$C$8/1000000</f>
        <v>7.2648007033997644</v>
      </c>
      <c r="Q25" s="932">
        <f>M25*Assumptions!$C$8/1000000</f>
        <v>7.7188507473622501</v>
      </c>
      <c r="R25" s="1539">
        <f t="shared" si="6"/>
        <v>0</v>
      </c>
      <c r="S25" s="70">
        <f t="shared" si="7"/>
        <v>4000765361.0999994</v>
      </c>
      <c r="T25" s="70">
        <f t="shared" si="8"/>
        <v>4000765361.0999994</v>
      </c>
      <c r="U25" s="70">
        <f t="shared" si="9"/>
        <v>4250813196.1687498</v>
      </c>
      <c r="V25" s="70">
        <f t="shared" si="10"/>
        <v>-250047835.06875038</v>
      </c>
      <c r="W25" s="17">
        <f t="shared" si="11"/>
        <v>0</v>
      </c>
      <c r="X25" s="17">
        <f t="shared" si="12"/>
        <v>-250047835.06875038</v>
      </c>
    </row>
    <row r="26" spans="1:24" s="1" customFormat="1" x14ac:dyDescent="0.6">
      <c r="A26" s="60">
        <f t="shared" si="3"/>
        <v>23</v>
      </c>
      <c r="B26" s="85" t="s">
        <v>155</v>
      </c>
      <c r="C26" s="85" t="s">
        <v>1532</v>
      </c>
      <c r="D26" s="1529">
        <v>0.04</v>
      </c>
      <c r="E26" s="1529"/>
      <c r="F26" s="1529">
        <v>0.06</v>
      </c>
      <c r="G26" s="956">
        <v>33357876</v>
      </c>
      <c r="H26" s="897">
        <f>G26*Assumptions!$C$59/Assumptions!$C$8</f>
        <v>910536583.296</v>
      </c>
      <c r="I26" s="920">
        <v>14.42</v>
      </c>
      <c r="J26" s="506">
        <f>I26/100*1000000/Assumptions!$C$58</f>
        <v>42.262602579132476</v>
      </c>
      <c r="K26" s="506">
        <f t="shared" si="4"/>
        <v>1.6254847145820221</v>
      </c>
      <c r="L26" s="506">
        <f t="shared" si="0"/>
        <v>40.637117864550454</v>
      </c>
      <c r="M26" s="1422">
        <f t="shared" si="1"/>
        <v>43.075344936423484</v>
      </c>
      <c r="N26" s="931">
        <f>J26*Assumptions!$C$8/1000000</f>
        <v>5.2828253223915596</v>
      </c>
      <c r="O26" s="931">
        <f t="shared" si="5"/>
        <v>0.20318558932275277</v>
      </c>
      <c r="P26" s="931">
        <f>L26*Assumptions!$C$8/1000000</f>
        <v>5.0796397330688068</v>
      </c>
      <c r="Q26" s="932">
        <f>M26*Assumptions!$C$8/1000000</f>
        <v>5.3844181170529355</v>
      </c>
      <c r="R26" s="1539">
        <f t="shared" si="6"/>
        <v>0.20318558932275277</v>
      </c>
      <c r="S26" s="70">
        <f t="shared" si="7"/>
        <v>4810205719.2000008</v>
      </c>
      <c r="T26" s="70">
        <f t="shared" si="8"/>
        <v>4625197806.9230766</v>
      </c>
      <c r="U26" s="70">
        <f t="shared" si="9"/>
        <v>4902709675.3384619</v>
      </c>
      <c r="V26" s="70">
        <f t="shared" si="10"/>
        <v>-92503956.138461113</v>
      </c>
      <c r="W26" s="17">
        <f t="shared" si="11"/>
        <v>0</v>
      </c>
      <c r="X26" s="17">
        <f t="shared" si="12"/>
        <v>-92503956.138461113</v>
      </c>
    </row>
    <row r="27" spans="1:24" s="1" customFormat="1" x14ac:dyDescent="0.6">
      <c r="A27" s="60">
        <f t="shared" si="3"/>
        <v>24</v>
      </c>
      <c r="B27" s="85" t="s">
        <v>162</v>
      </c>
      <c r="C27" s="85" t="s">
        <v>1652</v>
      </c>
      <c r="D27" s="1529">
        <f>0.53*F27</f>
        <v>3.8159999999999999E-2</v>
      </c>
      <c r="E27" s="1529"/>
      <c r="F27" s="1529">
        <v>7.1999999999999995E-2</v>
      </c>
      <c r="G27" s="956">
        <v>21713970</v>
      </c>
      <c r="H27" s="897">
        <f>G27*Assumptions!$C$59/Assumptions!$C$8</f>
        <v>592704525.12</v>
      </c>
      <c r="I27" s="920">
        <v>12.12</v>
      </c>
      <c r="J27" s="506">
        <f>I27/100*1000000/Assumptions!$C$58</f>
        <v>35.521688159437275</v>
      </c>
      <c r="K27" s="506">
        <f t="shared" si="4"/>
        <v>1.3056827658204213</v>
      </c>
      <c r="L27" s="506">
        <f t="shared" si="0"/>
        <v>34.216005393616854</v>
      </c>
      <c r="M27" s="1422">
        <f t="shared" si="1"/>
        <v>36.679557781957271</v>
      </c>
      <c r="N27" s="931">
        <f>J27*Assumptions!$C$8/1000000</f>
        <v>4.4402110199296594</v>
      </c>
      <c r="O27" s="931">
        <f t="shared" si="5"/>
        <v>0.16321034572755266</v>
      </c>
      <c r="P27" s="931">
        <f>L27*Assumptions!$C$8/1000000</f>
        <v>4.2770006742021067</v>
      </c>
      <c r="Q27" s="932">
        <f>M27*Assumptions!$C$8/1000000</f>
        <v>4.5849447227446589</v>
      </c>
      <c r="R27" s="1539">
        <f t="shared" si="6"/>
        <v>0.16321034572755266</v>
      </c>
      <c r="S27" s="70">
        <f t="shared" si="7"/>
        <v>2631733163.9999995</v>
      </c>
      <c r="T27" s="70">
        <f t="shared" si="8"/>
        <v>2534997653.5408797</v>
      </c>
      <c r="U27" s="70">
        <f t="shared" si="9"/>
        <v>2717517484.5958233</v>
      </c>
      <c r="V27" s="70">
        <f t="shared" si="10"/>
        <v>-85784320.595823765</v>
      </c>
      <c r="W27" s="17">
        <f t="shared" si="11"/>
        <v>0</v>
      </c>
      <c r="X27" s="17">
        <f t="shared" si="12"/>
        <v>-85784320.595823765</v>
      </c>
    </row>
    <row r="28" spans="1:24" s="1" customFormat="1" x14ac:dyDescent="0.6">
      <c r="A28" s="60">
        <f t="shared" si="3"/>
        <v>25</v>
      </c>
      <c r="B28" s="85" t="s">
        <v>183</v>
      </c>
      <c r="C28" s="85" t="s">
        <v>1526</v>
      </c>
      <c r="D28" s="1529"/>
      <c r="E28" s="1529"/>
      <c r="F28" s="1529">
        <v>7.0699999999999999E-2</v>
      </c>
      <c r="G28" s="956">
        <v>18561101</v>
      </c>
      <c r="H28" s="897">
        <f>G28*Assumptions!$C$59/Assumptions!$C$8</f>
        <v>506643812.89600003</v>
      </c>
      <c r="I28" s="920">
        <v>11.27</v>
      </c>
      <c r="J28" s="506">
        <f>I28/100*1000000/Assumptions!$C$58</f>
        <v>33.030480656506448</v>
      </c>
      <c r="K28" s="506">
        <f t="shared" si="4"/>
        <v>0</v>
      </c>
      <c r="L28" s="506">
        <f t="shared" si="0"/>
        <v>33.030480656506448</v>
      </c>
      <c r="M28" s="1422">
        <f t="shared" si="1"/>
        <v>35.365735638921457</v>
      </c>
      <c r="N28" s="931">
        <f>J28*Assumptions!$C$8/1000000</f>
        <v>4.128810082063306</v>
      </c>
      <c r="O28" s="931">
        <f t="shared" si="5"/>
        <v>0</v>
      </c>
      <c r="P28" s="931">
        <f>L28*Assumptions!$C$8/1000000</f>
        <v>4.128810082063306</v>
      </c>
      <c r="Q28" s="932">
        <f>M28*Assumptions!$C$8/1000000</f>
        <v>4.4207169548651821</v>
      </c>
      <c r="R28" s="1539">
        <f t="shared" si="6"/>
        <v>0</v>
      </c>
      <c r="S28" s="70">
        <f t="shared" si="7"/>
        <v>2091836082.7</v>
      </c>
      <c r="T28" s="70">
        <f t="shared" si="8"/>
        <v>2091836082.7</v>
      </c>
      <c r="U28" s="70">
        <f t="shared" si="9"/>
        <v>2239728893.7468905</v>
      </c>
      <c r="V28" s="70">
        <f t="shared" si="10"/>
        <v>-147892811.0468905</v>
      </c>
      <c r="W28" s="17">
        <f t="shared" si="11"/>
        <v>0</v>
      </c>
      <c r="X28" s="17">
        <f t="shared" si="12"/>
        <v>-147892811.0468905</v>
      </c>
    </row>
    <row r="29" spans="1:24" s="1" customFormat="1" x14ac:dyDescent="0.6">
      <c r="A29" s="60">
        <f t="shared" si="3"/>
        <v>26</v>
      </c>
      <c r="B29" s="85" t="s">
        <v>184</v>
      </c>
      <c r="C29" s="85" t="s">
        <v>1665</v>
      </c>
      <c r="D29" s="1529"/>
      <c r="E29" s="1529"/>
      <c r="F29" s="1529">
        <v>7.8100000000000003E-2</v>
      </c>
      <c r="G29" s="956">
        <v>33911760</v>
      </c>
      <c r="H29" s="897">
        <f>G29*Assumptions!$C$59/Assumptions!$C$8</f>
        <v>925655400.96000004</v>
      </c>
      <c r="I29" s="920">
        <v>11.21</v>
      </c>
      <c r="J29" s="506">
        <f>I29/100*1000000/Assumptions!$C$58</f>
        <v>32.854630715123093</v>
      </c>
      <c r="K29" s="506">
        <f t="shared" si="4"/>
        <v>0</v>
      </c>
      <c r="L29" s="506">
        <f t="shared" si="0"/>
        <v>32.854630715123093</v>
      </c>
      <c r="M29" s="1422">
        <f t="shared" si="1"/>
        <v>35.420577373974211</v>
      </c>
      <c r="N29" s="931">
        <f>J29*Assumptions!$C$8/1000000</f>
        <v>4.1068288393903867</v>
      </c>
      <c r="O29" s="931">
        <f t="shared" si="5"/>
        <v>0</v>
      </c>
      <c r="P29" s="931">
        <f>L29*Assumptions!$C$8/1000000</f>
        <v>4.1068288393903867</v>
      </c>
      <c r="Q29" s="932">
        <f>M29*Assumptions!$C$8/1000000</f>
        <v>4.4275721717467764</v>
      </c>
      <c r="R29" s="1539">
        <f t="shared" si="6"/>
        <v>0</v>
      </c>
      <c r="S29" s="70">
        <f t="shared" si="7"/>
        <v>3801508296</v>
      </c>
      <c r="T29" s="70">
        <f t="shared" si="8"/>
        <v>3801508296</v>
      </c>
      <c r="U29" s="70">
        <f t="shared" si="9"/>
        <v>4098406093.9176006</v>
      </c>
      <c r="V29" s="70">
        <f t="shared" si="10"/>
        <v>-296897797.91760063</v>
      </c>
      <c r="W29" s="17">
        <f t="shared" si="11"/>
        <v>0</v>
      </c>
      <c r="X29" s="17">
        <f t="shared" si="12"/>
        <v>-296897797.91760063</v>
      </c>
    </row>
    <row r="30" spans="1:24" s="1" customFormat="1" x14ac:dyDescent="0.6">
      <c r="A30" s="60">
        <f t="shared" si="3"/>
        <v>27</v>
      </c>
      <c r="B30" s="85" t="s">
        <v>164</v>
      </c>
      <c r="C30" s="85" t="s">
        <v>1666</v>
      </c>
      <c r="D30" s="1529">
        <v>0.18</v>
      </c>
      <c r="E30" s="1529"/>
      <c r="F30" s="1529">
        <v>0</v>
      </c>
      <c r="G30" s="956">
        <v>4825213</v>
      </c>
      <c r="H30" s="897">
        <f>G30*Assumptions!$C$59/Assumptions!$C$8</f>
        <v>131709014.04799999</v>
      </c>
      <c r="I30" s="920">
        <v>10.88</v>
      </c>
      <c r="J30" s="506">
        <f>I30/100*1000000/Assumptions!$C$58</f>
        <v>31.88745603751466</v>
      </c>
      <c r="K30" s="506">
        <f t="shared" si="4"/>
        <v>4.864188209112406</v>
      </c>
      <c r="L30" s="506">
        <f t="shared" si="0"/>
        <v>27.023267828402254</v>
      </c>
      <c r="M30" s="1422">
        <f t="shared" si="1"/>
        <v>27.023267828402254</v>
      </c>
      <c r="N30" s="931">
        <f>J30*Assumptions!$C$8/1000000</f>
        <v>3.9859320046893325</v>
      </c>
      <c r="O30" s="931">
        <f t="shared" si="5"/>
        <v>0.60802352613905075</v>
      </c>
      <c r="P30" s="931">
        <f>L30*Assumptions!$C$8/1000000</f>
        <v>3.3779084785502818</v>
      </c>
      <c r="Q30" s="932">
        <f>M30*Assumptions!$C$8/1000000</f>
        <v>3.3779084785502818</v>
      </c>
      <c r="R30" s="1539">
        <f t="shared" si="6"/>
        <v>0.60802352613905075</v>
      </c>
      <c r="S30" s="70">
        <f t="shared" si="7"/>
        <v>524983174.4000001</v>
      </c>
      <c r="T30" s="70">
        <f t="shared" si="8"/>
        <v>444900995.25423735</v>
      </c>
      <c r="U30" s="70">
        <f t="shared" si="9"/>
        <v>444900995.25423735</v>
      </c>
      <c r="V30" s="70">
        <f t="shared" si="10"/>
        <v>80082179.145762742</v>
      </c>
      <c r="W30" s="17">
        <f t="shared" si="11"/>
        <v>80082179.145762742</v>
      </c>
      <c r="X30" s="17">
        <f t="shared" si="12"/>
        <v>0</v>
      </c>
    </row>
    <row r="31" spans="1:24" s="1" customFormat="1" x14ac:dyDescent="0.6">
      <c r="A31" s="60">
        <f t="shared" si="3"/>
        <v>28</v>
      </c>
      <c r="B31" s="85" t="s">
        <v>165</v>
      </c>
      <c r="C31" s="85" t="s">
        <v>1667</v>
      </c>
      <c r="D31" s="1529">
        <f>F31</f>
        <v>6.8000000000000005E-2</v>
      </c>
      <c r="E31" s="1529"/>
      <c r="F31" s="1529">
        <v>6.8000000000000005E-2</v>
      </c>
      <c r="G31" s="956">
        <v>9532132</v>
      </c>
      <c r="H31" s="897">
        <f>G31*Assumptions!$C$59/Assumptions!$C$8</f>
        <v>260189075.072</v>
      </c>
      <c r="I31" s="920">
        <v>10.6</v>
      </c>
      <c r="J31" s="506">
        <f>I31/100*1000000/Assumptions!$C$58</f>
        <v>31.066822977725675</v>
      </c>
      <c r="K31" s="506">
        <f t="shared" si="4"/>
        <v>1.9780374180574434</v>
      </c>
      <c r="L31" s="506">
        <f t="shared" si="0"/>
        <v>29.088785559668231</v>
      </c>
      <c r="M31" s="1422">
        <f t="shared" si="1"/>
        <v>31.066822977725671</v>
      </c>
      <c r="N31" s="931">
        <f>J31*Assumptions!$C$8/1000000</f>
        <v>3.8833528722157094</v>
      </c>
      <c r="O31" s="931">
        <f t="shared" si="5"/>
        <v>0.24725467725718042</v>
      </c>
      <c r="P31" s="931">
        <f>L31*Assumptions!$C$8/1000000</f>
        <v>3.6360981949585289</v>
      </c>
      <c r="Q31" s="932">
        <f>M31*Assumptions!$C$8/1000000</f>
        <v>3.8833528722157089</v>
      </c>
      <c r="R31" s="1539">
        <f t="shared" si="6"/>
        <v>0.24725467725718042</v>
      </c>
      <c r="S31" s="70">
        <f t="shared" si="7"/>
        <v>1010405992</v>
      </c>
      <c r="T31" s="70">
        <f t="shared" si="8"/>
        <v>946073026.21722841</v>
      </c>
      <c r="U31" s="70">
        <f t="shared" si="9"/>
        <v>1010405991.9999999</v>
      </c>
      <c r="V31" s="70">
        <f t="shared" si="10"/>
        <v>0</v>
      </c>
      <c r="W31" s="17">
        <f t="shared" si="11"/>
        <v>0</v>
      </c>
      <c r="X31" s="17">
        <f t="shared" si="12"/>
        <v>0</v>
      </c>
    </row>
    <row r="32" spans="1:24" s="1" customFormat="1" x14ac:dyDescent="0.6">
      <c r="A32" s="60">
        <f t="shared" si="3"/>
        <v>29</v>
      </c>
      <c r="B32" s="85" t="s">
        <v>147</v>
      </c>
      <c r="C32" s="85" t="s">
        <v>1668</v>
      </c>
      <c r="D32" s="1529">
        <v>0.05</v>
      </c>
      <c r="E32" s="1529"/>
      <c r="F32" s="1529">
        <v>7.9399999999999998E-2</v>
      </c>
      <c r="G32" s="956">
        <v>12338538</v>
      </c>
      <c r="H32" s="897">
        <f>G32*Assumptions!$C$59/Assumptions!$C$8</f>
        <v>336792733.24800003</v>
      </c>
      <c r="I32" s="920">
        <v>12.76</v>
      </c>
      <c r="J32" s="506">
        <f>I32/100*1000000/Assumptions!$C$58</f>
        <v>37.397420867526371</v>
      </c>
      <c r="K32" s="506">
        <f t="shared" si="4"/>
        <v>1.7808295651203068</v>
      </c>
      <c r="L32" s="506">
        <f t="shared" si="0"/>
        <v>35.616591302406064</v>
      </c>
      <c r="M32" s="1422">
        <f t="shared" si="1"/>
        <v>38.444548651817101</v>
      </c>
      <c r="N32" s="931">
        <f>J32*Assumptions!$C$8/1000000</f>
        <v>4.6746776084407973</v>
      </c>
      <c r="O32" s="931">
        <f t="shared" si="5"/>
        <v>0.22260369564003923</v>
      </c>
      <c r="P32" s="931">
        <f>L32*Assumptions!$C$8/1000000</f>
        <v>4.452073912800758</v>
      </c>
      <c r="Q32" s="932">
        <f>M32*Assumptions!$C$8/1000000</f>
        <v>4.8055685814771376</v>
      </c>
      <c r="R32" s="1539">
        <f t="shared" si="6"/>
        <v>0.22260369564003923</v>
      </c>
      <c r="S32" s="70">
        <f t="shared" si="7"/>
        <v>1574397448.8000002</v>
      </c>
      <c r="T32" s="70">
        <f t="shared" si="8"/>
        <v>1499426141.7142854</v>
      </c>
      <c r="U32" s="70">
        <f t="shared" si="9"/>
        <v>1618480577.3663995</v>
      </c>
      <c r="V32" s="70">
        <f t="shared" si="10"/>
        <v>-44083128.566399336</v>
      </c>
      <c r="W32" s="17">
        <f t="shared" si="11"/>
        <v>0</v>
      </c>
      <c r="X32" s="17">
        <f t="shared" si="12"/>
        <v>-44083128.566399336</v>
      </c>
    </row>
    <row r="33" spans="1:24" s="1" customFormat="1" x14ac:dyDescent="0.6">
      <c r="A33" s="60">
        <f t="shared" si="3"/>
        <v>30</v>
      </c>
      <c r="B33" s="85" t="s">
        <v>170</v>
      </c>
      <c r="C33" s="85" t="s">
        <v>1664</v>
      </c>
      <c r="D33" s="1529">
        <v>4.0000000000000001E-3</v>
      </c>
      <c r="E33" s="1529"/>
      <c r="F33" s="1529">
        <v>0</v>
      </c>
      <c r="G33" s="956">
        <v>4526948</v>
      </c>
      <c r="H33" s="897">
        <f>G33*Assumptions!$C$59/Assumptions!$C$8</f>
        <v>123567572.608</v>
      </c>
      <c r="I33" s="920">
        <v>18.5</v>
      </c>
      <c r="J33" s="506">
        <f>I33/100*1000000/Assumptions!$C$58</f>
        <v>54.220398593200471</v>
      </c>
      <c r="K33" s="506">
        <f t="shared" si="4"/>
        <v>0.2160175242756992</v>
      </c>
      <c r="L33" s="506">
        <f t="shared" si="0"/>
        <v>54.004381068924772</v>
      </c>
      <c r="M33" s="1422">
        <f t="shared" si="1"/>
        <v>54.004381068924772</v>
      </c>
      <c r="N33" s="931">
        <f>J33*Assumptions!$C$8/1000000</f>
        <v>6.7775498241500598</v>
      </c>
      <c r="O33" s="931">
        <f t="shared" si="5"/>
        <v>2.7002190534463288E-2</v>
      </c>
      <c r="P33" s="931">
        <f>L33*Assumptions!$C$8/1000000</f>
        <v>6.7505476336155965</v>
      </c>
      <c r="Q33" s="932">
        <f>M33*Assumptions!$C$8/1000000</f>
        <v>6.7505476336155965</v>
      </c>
      <c r="R33" s="1539">
        <f t="shared" si="6"/>
        <v>2.7002190534463288E-2</v>
      </c>
      <c r="S33" s="70">
        <f t="shared" si="7"/>
        <v>837485380.00000012</v>
      </c>
      <c r="T33" s="70">
        <f t="shared" si="8"/>
        <v>834148784.86055779</v>
      </c>
      <c r="U33" s="70">
        <f t="shared" si="9"/>
        <v>834148784.86055779</v>
      </c>
      <c r="V33" s="70">
        <f t="shared" si="10"/>
        <v>3336595.1394423246</v>
      </c>
      <c r="W33" s="17">
        <f t="shared" si="11"/>
        <v>3336595.1394423246</v>
      </c>
      <c r="X33" s="17">
        <f t="shared" si="12"/>
        <v>0</v>
      </c>
    </row>
    <row r="34" spans="1:24" s="1" customFormat="1" x14ac:dyDescent="0.6">
      <c r="A34" s="60">
        <f t="shared" si="3"/>
        <v>31</v>
      </c>
      <c r="B34" s="85" t="s">
        <v>187</v>
      </c>
      <c r="C34" s="85" t="s">
        <v>1539</v>
      </c>
      <c r="D34" s="1529">
        <f>F34</f>
        <v>6.9699999999999998E-2</v>
      </c>
      <c r="E34" s="1529"/>
      <c r="F34" s="1529">
        <v>6.9699999999999998E-2</v>
      </c>
      <c r="G34" s="956">
        <v>29142283</v>
      </c>
      <c r="H34" s="897">
        <f>G34*Assumptions!$C$59/Assumptions!$C$8</f>
        <v>795467756.76800001</v>
      </c>
      <c r="I34" s="920">
        <v>15.81</v>
      </c>
      <c r="J34" s="506">
        <f>I34/100*1000000/Assumptions!$C$58</f>
        <v>46.336459554513489</v>
      </c>
      <c r="K34" s="506">
        <f t="shared" si="4"/>
        <v>3.0192121444793827</v>
      </c>
      <c r="L34" s="506">
        <f t="shared" si="0"/>
        <v>43.317247410034106</v>
      </c>
      <c r="M34" s="1422">
        <f t="shared" si="1"/>
        <v>46.336459554513489</v>
      </c>
      <c r="N34" s="931">
        <f>J34*Assumptions!$C$8/1000000</f>
        <v>5.7920574443141861</v>
      </c>
      <c r="O34" s="931">
        <f t="shared" si="5"/>
        <v>0.37740151805992284</v>
      </c>
      <c r="P34" s="931">
        <f>L34*Assumptions!$C$8/1000000</f>
        <v>5.4146559262542633</v>
      </c>
      <c r="Q34" s="932">
        <f>M34*Assumptions!$C$8/1000000</f>
        <v>5.7920574443141861</v>
      </c>
      <c r="R34" s="1539">
        <f t="shared" si="6"/>
        <v>0.37740151805992284</v>
      </c>
      <c r="S34" s="70">
        <f t="shared" si="7"/>
        <v>4607394942.3000011</v>
      </c>
      <c r="T34" s="70">
        <f t="shared" si="8"/>
        <v>4307184203.3280363</v>
      </c>
      <c r="U34" s="70">
        <f t="shared" si="9"/>
        <v>4607394942.3000011</v>
      </c>
      <c r="V34" s="70">
        <f t="shared" si="10"/>
        <v>0</v>
      </c>
      <c r="W34" s="17">
        <f t="shared" si="11"/>
        <v>0</v>
      </c>
      <c r="X34" s="17">
        <f t="shared" si="12"/>
        <v>0</v>
      </c>
    </row>
    <row r="35" spans="1:24" s="1" customFormat="1" x14ac:dyDescent="0.6">
      <c r="A35" s="60">
        <f t="shared" si="3"/>
        <v>32</v>
      </c>
      <c r="B35" s="85" t="s">
        <v>182</v>
      </c>
      <c r="C35" s="85" t="s">
        <v>1669</v>
      </c>
      <c r="D35" s="1529">
        <f>F35</f>
        <v>7.3499999999999996E-2</v>
      </c>
      <c r="E35" s="1529"/>
      <c r="F35" s="1529">
        <v>7.3499999999999996E-2</v>
      </c>
      <c r="G35" s="956">
        <v>6641724</v>
      </c>
      <c r="H35" s="897">
        <f>G35*Assumptions!$C$59/Assumptions!$C$8</f>
        <v>181292498.30399999</v>
      </c>
      <c r="I35" s="920">
        <v>12.47</v>
      </c>
      <c r="J35" s="506">
        <f>I35/100*1000000/Assumptions!$C$58</f>
        <v>36.547479484173508</v>
      </c>
      <c r="K35" s="506">
        <f t="shared" si="4"/>
        <v>2.5023192753486256</v>
      </c>
      <c r="L35" s="506">
        <f t="shared" si="0"/>
        <v>34.045160208824882</v>
      </c>
      <c r="M35" s="1422">
        <f t="shared" si="1"/>
        <v>36.547479484173508</v>
      </c>
      <c r="N35" s="931">
        <f>J35*Assumptions!$C$8/1000000</f>
        <v>4.5684349355216884</v>
      </c>
      <c r="O35" s="931">
        <f t="shared" si="5"/>
        <v>0.3127899094185782</v>
      </c>
      <c r="P35" s="931">
        <f>L35*Assumptions!$C$8/1000000</f>
        <v>4.2556450261031102</v>
      </c>
      <c r="Q35" s="932">
        <f>M35*Assumptions!$C$8/1000000</f>
        <v>4.5684349355216884</v>
      </c>
      <c r="R35" s="1539">
        <f t="shared" si="6"/>
        <v>0.3127899094185782</v>
      </c>
      <c r="S35" s="70">
        <f t="shared" si="7"/>
        <v>828222982.79999995</v>
      </c>
      <c r="T35" s="70">
        <f t="shared" si="8"/>
        <v>771516518.67722416</v>
      </c>
      <c r="U35" s="70">
        <f t="shared" si="9"/>
        <v>828222982.79999995</v>
      </c>
      <c r="V35" s="70">
        <f t="shared" si="10"/>
        <v>0</v>
      </c>
      <c r="W35" s="17">
        <f t="shared" si="11"/>
        <v>0</v>
      </c>
      <c r="X35" s="17">
        <f t="shared" si="12"/>
        <v>0</v>
      </c>
    </row>
    <row r="36" spans="1:24" s="192" customFormat="1" x14ac:dyDescent="0.6">
      <c r="A36" s="60">
        <f t="shared" si="3"/>
        <v>33</v>
      </c>
      <c r="B36" s="85" t="s">
        <v>140</v>
      </c>
      <c r="C36" s="85" t="s">
        <v>1670</v>
      </c>
      <c r="D36" s="1529">
        <v>5.2600000000000001E-2</v>
      </c>
      <c r="E36" s="1531"/>
      <c r="F36" s="1529">
        <v>8.48E-2</v>
      </c>
      <c r="G36" s="956">
        <v>51012745</v>
      </c>
      <c r="H36" s="897">
        <f>G36*Assumptions!$C$59/Assumptions!$C$8</f>
        <v>1392443887.52</v>
      </c>
      <c r="I36" s="920">
        <v>18.54</v>
      </c>
      <c r="J36" s="506">
        <f>I36/100*1000000/Assumptions!$C$58</f>
        <v>54.337631887456027</v>
      </c>
      <c r="K36" s="506">
        <f t="shared" si="4"/>
        <v>2.715332925403942</v>
      </c>
      <c r="L36" s="506">
        <f t="shared" ref="L36:L54" si="13">J36/(1+D36)</f>
        <v>51.622298962052085</v>
      </c>
      <c r="M36" s="1422">
        <f t="shared" ref="M36:M54" si="14">L36*(1+F36)</f>
        <v>55.9998699140341</v>
      </c>
      <c r="N36" s="931">
        <f>J36*Assumptions!$C$8/1000000</f>
        <v>6.7922039859320034</v>
      </c>
      <c r="O36" s="931">
        <f t="shared" si="5"/>
        <v>0.33941661567549275</v>
      </c>
      <c r="P36" s="931">
        <f>L36*Assumptions!$C$8/1000000</f>
        <v>6.4527873702565106</v>
      </c>
      <c r="Q36" s="932">
        <f>M36*Assumptions!$C$8/1000000</f>
        <v>6.9999837392542625</v>
      </c>
      <c r="R36" s="1540">
        <f t="shared" si="6"/>
        <v>0.33941661567549275</v>
      </c>
      <c r="S36" s="70">
        <f t="shared" si="7"/>
        <v>9457762922.9999981</v>
      </c>
      <c r="T36" s="70">
        <f t="shared" si="8"/>
        <v>8985144331.1799335</v>
      </c>
      <c r="U36" s="70">
        <f t="shared" si="9"/>
        <v>9747084570.4639912</v>
      </c>
      <c r="V36" s="70">
        <f t="shared" si="10"/>
        <v>-289321647.46399307</v>
      </c>
      <c r="W36" s="17">
        <f t="shared" si="11"/>
        <v>0</v>
      </c>
      <c r="X36" s="17">
        <f t="shared" si="12"/>
        <v>-289321647.46399307</v>
      </c>
    </row>
    <row r="37" spans="1:24" s="192" customFormat="1" x14ac:dyDescent="0.6">
      <c r="A37" s="60">
        <f t="shared" si="3"/>
        <v>34</v>
      </c>
      <c r="B37" s="85" t="s">
        <v>145</v>
      </c>
      <c r="C37" s="85" t="s">
        <v>1671</v>
      </c>
      <c r="D37" s="1529">
        <f>F37</f>
        <v>6.9000000000000006E-2</v>
      </c>
      <c r="E37" s="1531"/>
      <c r="F37" s="1529">
        <v>6.9000000000000006E-2</v>
      </c>
      <c r="G37" s="956">
        <v>57901557</v>
      </c>
      <c r="H37" s="897">
        <f>G37*Assumptions!$C$59/Assumptions!$C$8</f>
        <v>1580480899.872</v>
      </c>
      <c r="I37" s="920">
        <v>11.28</v>
      </c>
      <c r="J37" s="506">
        <f>I37/100*1000000/Assumptions!$C$58</f>
        <v>33.059788980070337</v>
      </c>
      <c r="K37" s="506">
        <f t="shared" si="4"/>
        <v>2.1338872213515927</v>
      </c>
      <c r="L37" s="506">
        <f t="shared" si="13"/>
        <v>30.925901758718744</v>
      </c>
      <c r="M37" s="1422">
        <f t="shared" si="14"/>
        <v>33.059788980070337</v>
      </c>
      <c r="N37" s="931">
        <f>J37*Assumptions!$C$8/1000000</f>
        <v>4.1324736225087921</v>
      </c>
      <c r="O37" s="931">
        <f t="shared" si="5"/>
        <v>0.26673590266894909</v>
      </c>
      <c r="P37" s="931">
        <f>L37*Assumptions!$C$8/1000000</f>
        <v>3.865737719839843</v>
      </c>
      <c r="Q37" s="932">
        <f>M37*Assumptions!$C$8/1000000</f>
        <v>4.1324736225087921</v>
      </c>
      <c r="R37" s="1540">
        <f t="shared" si="6"/>
        <v>0.26673590266894909</v>
      </c>
      <c r="S37" s="70">
        <f t="shared" si="7"/>
        <v>6531295629.5999994</v>
      </c>
      <c r="T37" s="70">
        <f t="shared" si="8"/>
        <v>6109724630.1216087</v>
      </c>
      <c r="U37" s="70">
        <f t="shared" si="9"/>
        <v>6531295629.5999994</v>
      </c>
      <c r="V37" s="70">
        <f t="shared" si="10"/>
        <v>0</v>
      </c>
      <c r="W37" s="17">
        <f t="shared" si="11"/>
        <v>0</v>
      </c>
      <c r="X37" s="17">
        <f t="shared" si="12"/>
        <v>0</v>
      </c>
    </row>
    <row r="38" spans="1:24" s="1" customFormat="1" x14ac:dyDescent="0.6">
      <c r="A38" s="60">
        <f t="shared" si="3"/>
        <v>35</v>
      </c>
      <c r="B38" s="85" t="s">
        <v>173</v>
      </c>
      <c r="C38" s="85" t="s">
        <v>1652</v>
      </c>
      <c r="D38" s="1529">
        <f>F38</f>
        <v>6.5600000000000006E-2</v>
      </c>
      <c r="E38" s="1529"/>
      <c r="F38" s="1529">
        <v>6.5600000000000006E-2</v>
      </c>
      <c r="G38" s="956">
        <v>4862542</v>
      </c>
      <c r="H38" s="897">
        <f>G38*Assumptions!$C$59/Assumptions!$C$8</f>
        <v>132727946.432</v>
      </c>
      <c r="I38" s="920">
        <v>9.6199999999999992</v>
      </c>
      <c r="J38" s="506">
        <f>I38/100*1000000/Assumptions!$C$58</f>
        <v>28.194607268464242</v>
      </c>
      <c r="K38" s="506">
        <f t="shared" si="4"/>
        <v>1.7357040510616137</v>
      </c>
      <c r="L38" s="506">
        <f t="shared" si="13"/>
        <v>26.458903217402629</v>
      </c>
      <c r="M38" s="1422">
        <f t="shared" si="14"/>
        <v>28.194607268464242</v>
      </c>
      <c r="N38" s="931">
        <f>J38*Assumptions!$C$8/1000000</f>
        <v>3.5243259085580303</v>
      </c>
      <c r="O38" s="931">
        <f t="shared" si="5"/>
        <v>0.21696300638270172</v>
      </c>
      <c r="P38" s="931">
        <f>L38*Assumptions!$C$8/1000000</f>
        <v>3.3073629021753286</v>
      </c>
      <c r="Q38" s="932">
        <f>M38*Assumptions!$C$8/1000000</f>
        <v>3.5243259085580303</v>
      </c>
      <c r="R38" s="1539">
        <f t="shared" si="6"/>
        <v>0.21696300638270172</v>
      </c>
      <c r="S38" s="70">
        <f t="shared" si="7"/>
        <v>467776540.39999998</v>
      </c>
      <c r="T38" s="70">
        <f t="shared" si="8"/>
        <v>438979486.11111104</v>
      </c>
      <c r="U38" s="70">
        <f t="shared" si="9"/>
        <v>467776540.39999998</v>
      </c>
      <c r="V38" s="70">
        <f t="shared" si="10"/>
        <v>0</v>
      </c>
      <c r="W38" s="17">
        <f t="shared" si="11"/>
        <v>0</v>
      </c>
      <c r="X38" s="17">
        <f t="shared" si="12"/>
        <v>0</v>
      </c>
    </row>
    <row r="39" spans="1:24" s="192" customFormat="1" x14ac:dyDescent="0.6">
      <c r="A39" s="60">
        <f t="shared" si="3"/>
        <v>36</v>
      </c>
      <c r="B39" s="85" t="s">
        <v>163</v>
      </c>
      <c r="C39" s="85" t="s">
        <v>1672</v>
      </c>
      <c r="D39" s="1529"/>
      <c r="E39" s="1532"/>
      <c r="F39" s="1529">
        <v>7.0999999999999994E-2</v>
      </c>
      <c r="G39" s="956">
        <v>51492954</v>
      </c>
      <c r="H39" s="897">
        <f>G39*Assumptions!$C$59/Assumptions!$C$8</f>
        <v>1405551672.3840001</v>
      </c>
      <c r="I39" s="920">
        <v>12.8</v>
      </c>
      <c r="J39" s="506">
        <f>I39/100*1000000/Assumptions!$C$58</f>
        <v>37.514654161781948</v>
      </c>
      <c r="K39" s="506">
        <f t="shared" si="4"/>
        <v>0</v>
      </c>
      <c r="L39" s="506">
        <f t="shared" si="13"/>
        <v>37.514654161781948</v>
      </c>
      <c r="M39" s="1422">
        <f t="shared" si="14"/>
        <v>40.178194607268466</v>
      </c>
      <c r="N39" s="931">
        <f>J39*Assumptions!$C$8/1000000</f>
        <v>4.6893317702227426</v>
      </c>
      <c r="O39" s="931">
        <f t="shared" si="5"/>
        <v>0</v>
      </c>
      <c r="P39" s="931">
        <f>L39*Assumptions!$C$8/1000000</f>
        <v>4.6893317702227426</v>
      </c>
      <c r="Q39" s="932">
        <f>M39*Assumptions!$C$8/1000000</f>
        <v>5.0222743259085583</v>
      </c>
      <c r="R39" s="1540">
        <f t="shared" si="6"/>
        <v>0</v>
      </c>
      <c r="S39" s="70">
        <f t="shared" si="7"/>
        <v>6591098111.999999</v>
      </c>
      <c r="T39" s="70">
        <f t="shared" si="8"/>
        <v>6591098111.999999</v>
      </c>
      <c r="U39" s="70">
        <f t="shared" si="9"/>
        <v>7059066077.9520006</v>
      </c>
      <c r="V39" s="70">
        <f t="shared" si="10"/>
        <v>-467967965.95200157</v>
      </c>
      <c r="W39" s="17">
        <f t="shared" si="11"/>
        <v>0</v>
      </c>
      <c r="X39" s="17">
        <f t="shared" si="12"/>
        <v>-467967965.95200157</v>
      </c>
    </row>
    <row r="40" spans="1:24" s="1" customFormat="1" x14ac:dyDescent="0.6">
      <c r="A40" s="60">
        <f t="shared" si="3"/>
        <v>37</v>
      </c>
      <c r="B40" s="85" t="s">
        <v>185</v>
      </c>
      <c r="C40" s="85" t="s">
        <v>1673</v>
      </c>
      <c r="D40" s="1529"/>
      <c r="E40" s="1529"/>
      <c r="F40" s="1529">
        <v>8.77E-2</v>
      </c>
      <c r="G40" s="956">
        <v>22615824</v>
      </c>
      <c r="H40" s="897">
        <f>G40*Assumptions!$C$59/Assumptions!$C$8</f>
        <v>617321531.90400004</v>
      </c>
      <c r="I40" s="920">
        <v>10.14</v>
      </c>
      <c r="J40" s="506">
        <f>I40/100*1000000/Assumptions!$C$58</f>
        <v>29.718640093786636</v>
      </c>
      <c r="K40" s="506">
        <f t="shared" si="4"/>
        <v>0</v>
      </c>
      <c r="L40" s="506">
        <f t="shared" si="13"/>
        <v>29.718640093786636</v>
      </c>
      <c r="M40" s="1422">
        <f t="shared" si="14"/>
        <v>32.324964830011723</v>
      </c>
      <c r="N40" s="931">
        <f>J40*Assumptions!$C$8/1000000</f>
        <v>3.7148300117233295</v>
      </c>
      <c r="O40" s="931">
        <f t="shared" si="5"/>
        <v>0</v>
      </c>
      <c r="P40" s="931">
        <f>L40*Assumptions!$C$8/1000000</f>
        <v>3.7148300117233295</v>
      </c>
      <c r="Q40" s="932">
        <f>M40*Assumptions!$C$8/1000000</f>
        <v>4.0406206037514654</v>
      </c>
      <c r="R40" s="1539">
        <f t="shared" si="6"/>
        <v>0</v>
      </c>
      <c r="S40" s="70">
        <f t="shared" si="7"/>
        <v>2293244553.6000004</v>
      </c>
      <c r="T40" s="70">
        <f t="shared" si="8"/>
        <v>2293244553.6000004</v>
      </c>
      <c r="U40" s="70">
        <f t="shared" si="9"/>
        <v>2494362100.9507203</v>
      </c>
      <c r="V40" s="70">
        <f t="shared" si="10"/>
        <v>-201117547.35071993</v>
      </c>
      <c r="W40" s="17">
        <f t="shared" si="11"/>
        <v>0</v>
      </c>
      <c r="X40" s="17">
        <f t="shared" si="12"/>
        <v>-201117547.35071993</v>
      </c>
    </row>
    <row r="41" spans="1:24" s="1" customFormat="1" x14ac:dyDescent="0.6">
      <c r="A41" s="60">
        <f t="shared" si="3"/>
        <v>38</v>
      </c>
      <c r="B41" s="85" t="s">
        <v>153</v>
      </c>
      <c r="C41" s="85" t="s">
        <v>1674</v>
      </c>
      <c r="D41" s="1529">
        <v>0.03</v>
      </c>
      <c r="E41" s="1529"/>
      <c r="F41" s="1529">
        <v>0</v>
      </c>
      <c r="G41" s="956">
        <v>18269007</v>
      </c>
      <c r="H41" s="897">
        <f>G41*Assumptions!$C$59/Assumptions!$C$8</f>
        <v>498670815.07200003</v>
      </c>
      <c r="I41" s="920">
        <v>10.66</v>
      </c>
      <c r="J41" s="506">
        <f>I41/100*1000000/Assumptions!$C$58</f>
        <v>31.242672919109026</v>
      </c>
      <c r="K41" s="506">
        <f t="shared" si="4"/>
        <v>0.90998076463424482</v>
      </c>
      <c r="L41" s="506">
        <f t="shared" si="13"/>
        <v>30.332692154474781</v>
      </c>
      <c r="M41" s="1422">
        <f t="shared" si="14"/>
        <v>30.332692154474781</v>
      </c>
      <c r="N41" s="931">
        <f>J41*Assumptions!$C$8/1000000</f>
        <v>3.9053341148886287</v>
      </c>
      <c r="O41" s="931">
        <f t="shared" si="5"/>
        <v>0.11374759557928105</v>
      </c>
      <c r="P41" s="931">
        <f>L41*Assumptions!$C$8/1000000</f>
        <v>3.7915865193093476</v>
      </c>
      <c r="Q41" s="932">
        <f>M41*Assumptions!$C$8/1000000</f>
        <v>3.7915865193093476</v>
      </c>
      <c r="R41" s="1539">
        <f t="shared" si="6"/>
        <v>0.11374759557928105</v>
      </c>
      <c r="S41" s="70">
        <f t="shared" si="7"/>
        <v>1947476146.2000003</v>
      </c>
      <c r="T41" s="70">
        <f t="shared" si="8"/>
        <v>1890753540</v>
      </c>
      <c r="U41" s="70">
        <f t="shared" si="9"/>
        <v>1890753540</v>
      </c>
      <c r="V41" s="70">
        <f t="shared" si="10"/>
        <v>56722606.200000286</v>
      </c>
      <c r="W41" s="17">
        <f t="shared" si="11"/>
        <v>56722606.200000286</v>
      </c>
      <c r="X41" s="17">
        <f t="shared" si="12"/>
        <v>0</v>
      </c>
    </row>
    <row r="42" spans="1:24" s="192" customFormat="1" x14ac:dyDescent="0.6">
      <c r="A42" s="60">
        <f t="shared" si="3"/>
        <v>39</v>
      </c>
      <c r="B42" s="85" t="s">
        <v>138</v>
      </c>
      <c r="C42" s="85" t="s">
        <v>1675</v>
      </c>
      <c r="D42" s="1529">
        <v>5.8999999999999997E-2</v>
      </c>
      <c r="E42" s="1529"/>
      <c r="F42" s="1529">
        <v>6.3399999999999998E-2</v>
      </c>
      <c r="G42" s="956">
        <v>54418663</v>
      </c>
      <c r="H42" s="897">
        <f>G42*Assumptions!$C$59/Assumptions!$C$8</f>
        <v>1485411825.2479999</v>
      </c>
      <c r="I42" s="920">
        <v>13.64</v>
      </c>
      <c r="J42" s="506">
        <f>I42/100*1000000/Assumptions!$C$58</f>
        <v>39.976553341148886</v>
      </c>
      <c r="K42" s="506">
        <f t="shared" si="4"/>
        <v>2.2272111870895017</v>
      </c>
      <c r="L42" s="506">
        <f t="shared" si="13"/>
        <v>37.749342154059384</v>
      </c>
      <c r="M42" s="1422">
        <f t="shared" si="14"/>
        <v>40.142650446626746</v>
      </c>
      <c r="N42" s="931">
        <f>J42*Assumptions!$C$8/1000000</f>
        <v>4.9970691676436108</v>
      </c>
      <c r="O42" s="931">
        <f t="shared" si="5"/>
        <v>0.27840139838618772</v>
      </c>
      <c r="P42" s="931">
        <f>L42*Assumptions!$C$8/1000000</f>
        <v>4.718667769257423</v>
      </c>
      <c r="Q42" s="932">
        <f>M42*Assumptions!$C$8/1000000</f>
        <v>5.0178313058283432</v>
      </c>
      <c r="R42" s="1540">
        <f t="shared" si="6"/>
        <v>0.27840139838618772</v>
      </c>
      <c r="S42" s="70">
        <f t="shared" si="7"/>
        <v>7422705633.1999998</v>
      </c>
      <c r="T42" s="70">
        <f t="shared" si="8"/>
        <v>7009164903.8715773</v>
      </c>
      <c r="U42" s="70">
        <f t="shared" si="9"/>
        <v>7453545958.7770338</v>
      </c>
      <c r="V42" s="70">
        <f t="shared" si="10"/>
        <v>-30840325.577033997</v>
      </c>
      <c r="W42" s="17">
        <f t="shared" si="11"/>
        <v>0</v>
      </c>
      <c r="X42" s="17">
        <f t="shared" si="12"/>
        <v>-30840325.577033997</v>
      </c>
    </row>
    <row r="43" spans="1:24" s="1" customFormat="1" x14ac:dyDescent="0.6">
      <c r="A43" s="60">
        <f t="shared" si="3"/>
        <v>40</v>
      </c>
      <c r="B43" s="85" t="s">
        <v>146</v>
      </c>
      <c r="C43" s="85" t="s">
        <v>1531</v>
      </c>
      <c r="D43" s="1547">
        <v>3.0992780000000001E-2</v>
      </c>
      <c r="E43" s="1529"/>
      <c r="F43" s="1529">
        <v>7.0000000000000007E-2</v>
      </c>
      <c r="G43" s="956">
        <v>3135506</v>
      </c>
      <c r="H43" s="897">
        <f>G43*Assumptions!$C$59/Assumptions!$C$8</f>
        <v>85586771.775999993</v>
      </c>
      <c r="I43" s="920">
        <v>19.29</v>
      </c>
      <c r="J43" s="506">
        <f>I43/100*1000000/Assumptions!$C$58</f>
        <v>56.535756154747951</v>
      </c>
      <c r="K43" s="506">
        <f t="shared" si="4"/>
        <v>1.699527180624635</v>
      </c>
      <c r="L43" s="506">
        <f t="shared" si="13"/>
        <v>54.836228974123316</v>
      </c>
      <c r="M43" s="1422">
        <f t="shared" si="14"/>
        <v>58.67476500231195</v>
      </c>
      <c r="N43" s="931">
        <f>J43*Assumptions!$C$8/1000000</f>
        <v>7.0669695193434938</v>
      </c>
      <c r="O43" s="931">
        <f t="shared" si="5"/>
        <v>0.21244089757807938</v>
      </c>
      <c r="P43" s="931">
        <f>L43*Assumptions!$C$8/1000000</f>
        <v>6.8545286217654144</v>
      </c>
      <c r="Q43" s="932">
        <f>M43*Assumptions!$C$8/1000000</f>
        <v>7.3343456252889938</v>
      </c>
      <c r="R43" s="1539">
        <f t="shared" si="6"/>
        <v>0.21244089757807938</v>
      </c>
      <c r="S43" s="70">
        <f t="shared" si="7"/>
        <v>604839107.39999998</v>
      </c>
      <c r="T43" s="70">
        <f t="shared" si="8"/>
        <v>586656976.78309631</v>
      </c>
      <c r="U43" s="70">
        <f t="shared" si="9"/>
        <v>627722965.15791309</v>
      </c>
      <c r="V43" s="70">
        <f t="shared" si="10"/>
        <v>-22883857.757913113</v>
      </c>
      <c r="W43" s="17">
        <f t="shared" si="11"/>
        <v>0</v>
      </c>
      <c r="X43" s="17">
        <f t="shared" si="12"/>
        <v>-22883857.757913113</v>
      </c>
    </row>
    <row r="44" spans="1:24" s="1" customFormat="1" x14ac:dyDescent="0.6">
      <c r="A44" s="60">
        <f t="shared" si="3"/>
        <v>41</v>
      </c>
      <c r="B44" s="85" t="s">
        <v>186</v>
      </c>
      <c r="C44" s="85" t="s">
        <v>1676</v>
      </c>
      <c r="D44" s="1533">
        <v>6.9999999999999994E-5</v>
      </c>
      <c r="E44" s="1529"/>
      <c r="F44" s="1529">
        <v>7.1300000000000002E-2</v>
      </c>
      <c r="G44" s="956">
        <v>30059188</v>
      </c>
      <c r="H44" s="897">
        <f>G44*Assumptions!$C$59/Assumptions!$C$8</f>
        <v>820495595.648</v>
      </c>
      <c r="I44" s="920">
        <v>12.57</v>
      </c>
      <c r="J44" s="506">
        <f>I44/100*1000000/Assumptions!$C$58</f>
        <v>36.840562719812425</v>
      </c>
      <c r="K44" s="506">
        <f t="shared" si="4"/>
        <v>2.5786588842677816E-3</v>
      </c>
      <c r="L44" s="506">
        <f t="shared" si="13"/>
        <v>36.837984060928157</v>
      </c>
      <c r="M44" s="1422">
        <f t="shared" si="14"/>
        <v>39.46453232447233</v>
      </c>
      <c r="N44" s="931">
        <f>J44*Assumptions!$C$8/1000000</f>
        <v>4.6050703399765531</v>
      </c>
      <c r="O44" s="931">
        <f t="shared" si="5"/>
        <v>3.2233236053347269E-4</v>
      </c>
      <c r="P44" s="931">
        <f>L44*Assumptions!$C$8/1000000</f>
        <v>4.6047480076160197</v>
      </c>
      <c r="Q44" s="932">
        <f>M44*Assumptions!$C$8/1000000</f>
        <v>4.9330665405590413</v>
      </c>
      <c r="R44" s="1539">
        <f t="shared" si="6"/>
        <v>3.2233236053347269E-4</v>
      </c>
      <c r="S44" s="70">
        <f t="shared" si="7"/>
        <v>3778439931.5999999</v>
      </c>
      <c r="T44" s="70">
        <f t="shared" si="8"/>
        <v>3778175459.3178473</v>
      </c>
      <c r="U44" s="70">
        <f t="shared" si="9"/>
        <v>4047559369.5672092</v>
      </c>
      <c r="V44" s="70">
        <f t="shared" si="10"/>
        <v>-269119437.96720934</v>
      </c>
      <c r="W44" s="17">
        <f t="shared" si="11"/>
        <v>0</v>
      </c>
      <c r="X44" s="17">
        <f t="shared" si="12"/>
        <v>-269119437.96720934</v>
      </c>
    </row>
    <row r="45" spans="1:24" s="1" customFormat="1" x14ac:dyDescent="0.6">
      <c r="A45" s="60">
        <f t="shared" si="3"/>
        <v>42</v>
      </c>
      <c r="B45" s="85" t="s">
        <v>159</v>
      </c>
      <c r="C45" s="85" t="s">
        <v>1652</v>
      </c>
      <c r="D45" s="1529">
        <f>F45</f>
        <v>5.8299999999999998E-2</v>
      </c>
      <c r="E45" s="1529"/>
      <c r="F45" s="1529">
        <v>5.8299999999999998E-2</v>
      </c>
      <c r="G45" s="956">
        <v>4571325</v>
      </c>
      <c r="H45" s="897">
        <f>G45*Assumptions!$C$59/Assumptions!$C$8</f>
        <v>124778887.2</v>
      </c>
      <c r="I45" s="920">
        <v>11.08</v>
      </c>
      <c r="J45" s="506">
        <f>I45/100*1000000/Assumptions!$C$58</f>
        <v>32.473622508792495</v>
      </c>
      <c r="K45" s="506">
        <f t="shared" si="4"/>
        <v>1.7889182578310532</v>
      </c>
      <c r="L45" s="506">
        <f t="shared" si="13"/>
        <v>30.684704250961442</v>
      </c>
      <c r="M45" s="1422">
        <f t="shared" si="14"/>
        <v>32.473622508792495</v>
      </c>
      <c r="N45" s="931">
        <f>J45*Assumptions!$C$8/1000000</f>
        <v>4.0592028135990619</v>
      </c>
      <c r="O45" s="931">
        <f t="shared" si="5"/>
        <v>0.22361478222888165</v>
      </c>
      <c r="P45" s="931">
        <f>L45*Assumptions!$C$8/1000000</f>
        <v>3.8355880313701802</v>
      </c>
      <c r="Q45" s="932">
        <f>M45*Assumptions!$C$8/1000000</f>
        <v>4.0592028135990619</v>
      </c>
      <c r="R45" s="1539">
        <f t="shared" si="6"/>
        <v>0.22361478222888165</v>
      </c>
      <c r="S45" s="70">
        <f t="shared" si="7"/>
        <v>506502810</v>
      </c>
      <c r="T45" s="70">
        <f t="shared" si="8"/>
        <v>478600406.31200981</v>
      </c>
      <c r="U45" s="70">
        <f t="shared" si="9"/>
        <v>506502810</v>
      </c>
      <c r="V45" s="70">
        <f t="shared" si="10"/>
        <v>0</v>
      </c>
      <c r="W45" s="17">
        <f t="shared" si="11"/>
        <v>0</v>
      </c>
      <c r="X45" s="17">
        <f t="shared" si="12"/>
        <v>0</v>
      </c>
    </row>
    <row r="46" spans="1:24" s="1" customFormat="1" x14ac:dyDescent="0.6">
      <c r="A46" s="60">
        <f t="shared" si="3"/>
        <v>43</v>
      </c>
      <c r="B46" s="85" t="s">
        <v>177</v>
      </c>
      <c r="C46" s="85" t="s">
        <v>1677</v>
      </c>
      <c r="D46" s="1529"/>
      <c r="E46" s="1529"/>
      <c r="F46" s="1529">
        <v>9.4500000000000001E-2</v>
      </c>
      <c r="G46" s="956">
        <v>41667411</v>
      </c>
      <c r="H46" s="897">
        <f>G46*Assumptions!$C$59/Assumptions!$C$8</f>
        <v>1137353650.6559999</v>
      </c>
      <c r="I46" s="920">
        <v>10.3</v>
      </c>
      <c r="J46" s="506">
        <f>I46/100*1000000/Assumptions!$C$58</f>
        <v>30.187573270808915</v>
      </c>
      <c r="K46" s="506">
        <f t="shared" si="4"/>
        <v>0</v>
      </c>
      <c r="L46" s="506">
        <f t="shared" si="13"/>
        <v>30.187573270808915</v>
      </c>
      <c r="M46" s="1422">
        <f t="shared" si="14"/>
        <v>33.040298944900357</v>
      </c>
      <c r="N46" s="931">
        <f>J46*Assumptions!$C$8/1000000</f>
        <v>3.7734466588511144</v>
      </c>
      <c r="O46" s="931">
        <f t="shared" si="5"/>
        <v>0</v>
      </c>
      <c r="P46" s="931">
        <f>L46*Assumptions!$C$8/1000000</f>
        <v>3.7734466588511144</v>
      </c>
      <c r="Q46" s="932">
        <f>M46*Assumptions!$C$8/1000000</f>
        <v>4.1300373681125446</v>
      </c>
      <c r="R46" s="1539">
        <f t="shared" si="6"/>
        <v>0</v>
      </c>
      <c r="S46" s="70">
        <f t="shared" si="7"/>
        <v>4291743333.0000005</v>
      </c>
      <c r="T46" s="70">
        <f t="shared" si="8"/>
        <v>4291743333.0000005</v>
      </c>
      <c r="U46" s="70">
        <f t="shared" si="9"/>
        <v>4697313077.9685001</v>
      </c>
      <c r="V46" s="70">
        <f t="shared" si="10"/>
        <v>-405569744.96849966</v>
      </c>
      <c r="W46" s="17">
        <f t="shared" si="11"/>
        <v>0</v>
      </c>
      <c r="X46" s="17">
        <f t="shared" si="12"/>
        <v>-405569744.96849966</v>
      </c>
    </row>
    <row r="47" spans="1:24" s="192" customFormat="1" x14ac:dyDescent="0.6">
      <c r="A47" s="60">
        <f t="shared" si="3"/>
        <v>44</v>
      </c>
      <c r="B47" s="85" t="s">
        <v>180</v>
      </c>
      <c r="C47" s="85" t="s">
        <v>1678</v>
      </c>
      <c r="D47" s="1529">
        <v>2.1666999999999999E-2</v>
      </c>
      <c r="E47" s="1533"/>
      <c r="F47" s="1529">
        <v>8.0500000000000002E-2</v>
      </c>
      <c r="G47" s="956">
        <v>145651913</v>
      </c>
      <c r="H47" s="897">
        <f>G47*Assumptions!$C$59/Assumptions!$C$8</f>
        <v>3975714617.2480001</v>
      </c>
      <c r="I47" s="920">
        <v>11.56</v>
      </c>
      <c r="J47" s="506">
        <f>I47/100*1000000/Assumptions!$C$58</f>
        <v>33.880422039859326</v>
      </c>
      <c r="K47" s="506">
        <f t="shared" si="4"/>
        <v>0.71851895415789357</v>
      </c>
      <c r="L47" s="506">
        <f t="shared" si="13"/>
        <v>33.161903085701432</v>
      </c>
      <c r="M47" s="1422">
        <f t="shared" si="14"/>
        <v>35.831436284100398</v>
      </c>
      <c r="N47" s="931">
        <f>J47*Assumptions!$C$8/1000000</f>
        <v>4.2350527549824157</v>
      </c>
      <c r="O47" s="931">
        <f t="shared" si="5"/>
        <v>8.9814869269736697E-2</v>
      </c>
      <c r="P47" s="931">
        <f>L47*Assumptions!$C$8/1000000</f>
        <v>4.145237885712679</v>
      </c>
      <c r="Q47" s="932">
        <f>M47*Assumptions!$C$8/1000000</f>
        <v>4.4789295355125498</v>
      </c>
      <c r="R47" s="1540">
        <f t="shared" si="6"/>
        <v>8.9814869269736697E-2</v>
      </c>
      <c r="S47" s="70">
        <f t="shared" si="7"/>
        <v>16837361142.800003</v>
      </c>
      <c r="T47" s="70">
        <f t="shared" si="8"/>
        <v>16480282854.198093</v>
      </c>
      <c r="U47" s="70">
        <f t="shared" si="9"/>
        <v>17806945623.96104</v>
      </c>
      <c r="V47" s="70">
        <f t="shared" si="10"/>
        <v>-969584481.16103745</v>
      </c>
      <c r="W47" s="17">
        <f t="shared" si="11"/>
        <v>0</v>
      </c>
      <c r="X47" s="17">
        <f t="shared" si="12"/>
        <v>-969584481.16103745</v>
      </c>
    </row>
    <row r="48" spans="1:24" s="1" customFormat="1" x14ac:dyDescent="0.6">
      <c r="A48" s="60">
        <f t="shared" si="3"/>
        <v>45</v>
      </c>
      <c r="B48" s="85" t="s">
        <v>161</v>
      </c>
      <c r="C48" s="85" t="s">
        <v>1679</v>
      </c>
      <c r="D48" s="1529">
        <f>F48</f>
        <v>6.6799999999999998E-2</v>
      </c>
      <c r="E48" s="1529"/>
      <c r="F48" s="1529">
        <v>6.6799999999999998E-2</v>
      </c>
      <c r="G48" s="956">
        <v>9117153</v>
      </c>
      <c r="H48" s="897">
        <f>G48*Assumptions!$C$59/Assumptions!$C$8</f>
        <v>248861808.28799999</v>
      </c>
      <c r="I48" s="920">
        <v>10.88</v>
      </c>
      <c r="J48" s="506">
        <f>I48/100*1000000/Assumptions!$C$58</f>
        <v>31.88745603751466</v>
      </c>
      <c r="K48" s="506">
        <f t="shared" si="4"/>
        <v>1.9967023465560345</v>
      </c>
      <c r="L48" s="506">
        <f t="shared" si="13"/>
        <v>29.890753690958626</v>
      </c>
      <c r="M48" s="1422">
        <f t="shared" si="14"/>
        <v>31.88745603751466</v>
      </c>
      <c r="N48" s="931">
        <f>J48*Assumptions!$C$8/1000000</f>
        <v>3.9859320046893325</v>
      </c>
      <c r="O48" s="931">
        <f t="shared" si="5"/>
        <v>0.24958779331950431</v>
      </c>
      <c r="P48" s="931">
        <f>L48*Assumptions!$C$8/1000000</f>
        <v>3.7363442113698282</v>
      </c>
      <c r="Q48" s="932">
        <f>M48*Assumptions!$C$8/1000000</f>
        <v>3.9859320046893325</v>
      </c>
      <c r="R48" s="1539">
        <f t="shared" si="6"/>
        <v>0.24958779331950431</v>
      </c>
      <c r="S48" s="70">
        <f t="shared" si="7"/>
        <v>991946246.4000001</v>
      </c>
      <c r="T48" s="70">
        <f t="shared" si="8"/>
        <v>929833376.82789671</v>
      </c>
      <c r="U48" s="70">
        <f t="shared" si="9"/>
        <v>991946246.4000001</v>
      </c>
      <c r="V48" s="70">
        <f t="shared" si="10"/>
        <v>0</v>
      </c>
      <c r="W48" s="17">
        <f t="shared" si="11"/>
        <v>0</v>
      </c>
      <c r="X48" s="17">
        <f t="shared" si="12"/>
        <v>0</v>
      </c>
    </row>
    <row r="49" spans="1:24" s="1" customFormat="1" x14ac:dyDescent="0.6">
      <c r="A49" s="60">
        <f t="shared" si="3"/>
        <v>46</v>
      </c>
      <c r="B49" s="85" t="s">
        <v>156</v>
      </c>
      <c r="C49" s="85" t="s">
        <v>1680</v>
      </c>
      <c r="D49" s="1529"/>
      <c r="E49" s="1529"/>
      <c r="F49" s="1529">
        <v>6.1400000000000003E-2</v>
      </c>
      <c r="G49" s="956">
        <v>2088940</v>
      </c>
      <c r="H49" s="897">
        <f>G49*Assumptions!$C$59/Assumptions!$C$8</f>
        <v>57019706.240000002</v>
      </c>
      <c r="I49" s="920">
        <v>17.09</v>
      </c>
      <c r="J49" s="506">
        <f>I49/100*1000000/Assumptions!$C$58</f>
        <v>50.087924970691674</v>
      </c>
      <c r="K49" s="506">
        <f t="shared" si="4"/>
        <v>0</v>
      </c>
      <c r="L49" s="506">
        <f t="shared" si="13"/>
        <v>50.087924970691674</v>
      </c>
      <c r="M49" s="1422">
        <f t="shared" si="14"/>
        <v>53.163323563892135</v>
      </c>
      <c r="N49" s="931">
        <f>J49*Assumptions!$C$8/1000000</f>
        <v>6.2609906213364592</v>
      </c>
      <c r="O49" s="931">
        <f t="shared" si="5"/>
        <v>0</v>
      </c>
      <c r="P49" s="931">
        <f>L49*Assumptions!$C$8/1000000</f>
        <v>6.2609906213364592</v>
      </c>
      <c r="Q49" s="932">
        <f>M49*Assumptions!$C$8/1000000</f>
        <v>6.6454154454865169</v>
      </c>
      <c r="R49" s="1539">
        <f t="shared" si="6"/>
        <v>0</v>
      </c>
      <c r="S49" s="70">
        <f t="shared" si="7"/>
        <v>356999846</v>
      </c>
      <c r="T49" s="70">
        <f t="shared" si="8"/>
        <v>356999846</v>
      </c>
      <c r="U49" s="70">
        <f t="shared" si="9"/>
        <v>378919636.54439992</v>
      </c>
      <c r="V49" s="70">
        <f t="shared" si="10"/>
        <v>-21919790.544399917</v>
      </c>
      <c r="W49" s="17">
        <f t="shared" si="11"/>
        <v>0</v>
      </c>
      <c r="X49" s="17">
        <f t="shared" si="12"/>
        <v>-21919790.544399917</v>
      </c>
    </row>
    <row r="50" spans="1:24" s="192" customFormat="1" x14ac:dyDescent="0.6">
      <c r="A50" s="60">
        <f t="shared" si="3"/>
        <v>47</v>
      </c>
      <c r="B50" s="85" t="s">
        <v>174</v>
      </c>
      <c r="C50" s="85" t="s">
        <v>1681</v>
      </c>
      <c r="D50" s="1529">
        <v>3.0000000000000001E-3</v>
      </c>
      <c r="E50" s="1529"/>
      <c r="F50" s="1529">
        <v>5.6300000000000003E-2</v>
      </c>
      <c r="G50" s="956">
        <v>45928411</v>
      </c>
      <c r="H50" s="897">
        <f>G50*Assumptions!$C$59/Assumptions!$C$8</f>
        <v>1253661906.6559999</v>
      </c>
      <c r="I50" s="920">
        <v>11.37</v>
      </c>
      <c r="J50" s="506">
        <f>I50/100*1000000/Assumptions!$C$58</f>
        <v>33.323563892145373</v>
      </c>
      <c r="K50" s="506">
        <f t="shared" si="4"/>
        <v>9.9671676646494234E-2</v>
      </c>
      <c r="L50" s="506">
        <f t="shared" si="13"/>
        <v>33.223892215498878</v>
      </c>
      <c r="M50" s="1422">
        <f t="shared" si="14"/>
        <v>35.094397347231464</v>
      </c>
      <c r="N50" s="931">
        <f>J50*Assumptions!$C$8/1000000</f>
        <v>4.1654454865181716</v>
      </c>
      <c r="O50" s="931">
        <f t="shared" si="5"/>
        <v>1.2458959580811779E-2</v>
      </c>
      <c r="P50" s="931">
        <f>L50*Assumptions!$C$8/1000000</f>
        <v>4.1529865269373598</v>
      </c>
      <c r="Q50" s="932">
        <f>M50*Assumptions!$C$8/1000000</f>
        <v>4.386799668403933</v>
      </c>
      <c r="R50" s="1540">
        <f t="shared" si="6"/>
        <v>1.2458959580811779E-2</v>
      </c>
      <c r="S50" s="70">
        <f t="shared" si="7"/>
        <v>5222060330.6999998</v>
      </c>
      <c r="T50" s="70">
        <f t="shared" si="8"/>
        <v>5206441007.6769695</v>
      </c>
      <c r="U50" s="70">
        <f t="shared" si="9"/>
        <v>5499563636.4091825</v>
      </c>
      <c r="V50" s="70">
        <f t="shared" si="10"/>
        <v>-277503305.70918274</v>
      </c>
      <c r="W50" s="17">
        <f t="shared" si="11"/>
        <v>0</v>
      </c>
      <c r="X50" s="17">
        <f t="shared" si="12"/>
        <v>-277503305.70918274</v>
      </c>
    </row>
    <row r="51" spans="1:24" s="1" customFormat="1" x14ac:dyDescent="0.6">
      <c r="A51" s="60">
        <f t="shared" si="3"/>
        <v>48</v>
      </c>
      <c r="B51" s="85" t="s">
        <v>139</v>
      </c>
      <c r="C51" s="85" t="s">
        <v>1682</v>
      </c>
      <c r="D51" s="1529"/>
      <c r="E51" s="1529"/>
      <c r="F51" s="1529">
        <v>8.8900000000000007E-2</v>
      </c>
      <c r="G51" s="956">
        <v>34071987</v>
      </c>
      <c r="H51" s="897">
        <f>G51*Assumptions!$C$59/Assumptions!$C$8</f>
        <v>930028957.15199995</v>
      </c>
      <c r="I51" s="920">
        <v>9.09</v>
      </c>
      <c r="J51" s="506">
        <f>I51/100*1000000/Assumptions!$C$58</f>
        <v>26.64126611957796</v>
      </c>
      <c r="K51" s="506">
        <f t="shared" si="4"/>
        <v>0</v>
      </c>
      <c r="L51" s="506">
        <f t="shared" si="13"/>
        <v>26.64126611957796</v>
      </c>
      <c r="M51" s="1422">
        <f t="shared" si="14"/>
        <v>29.009674677608441</v>
      </c>
      <c r="N51" s="931">
        <f>J51*Assumptions!$C$8/1000000</f>
        <v>3.330158264947245</v>
      </c>
      <c r="O51" s="931">
        <f t="shared" si="5"/>
        <v>0</v>
      </c>
      <c r="P51" s="931">
        <f>L51*Assumptions!$C$8/1000000</f>
        <v>3.330158264947245</v>
      </c>
      <c r="Q51" s="932">
        <f>M51*Assumptions!$C$8/1000000</f>
        <v>3.6262093347010551</v>
      </c>
      <c r="R51" s="1539">
        <f t="shared" si="6"/>
        <v>0</v>
      </c>
      <c r="S51" s="70">
        <f t="shared" si="7"/>
        <v>3097143618.2999997</v>
      </c>
      <c r="T51" s="70">
        <f t="shared" si="8"/>
        <v>3097143618.2999997</v>
      </c>
      <c r="U51" s="70">
        <f t="shared" si="9"/>
        <v>3372479685.9668698</v>
      </c>
      <c r="V51" s="70">
        <f t="shared" si="10"/>
        <v>-275336067.66687012</v>
      </c>
      <c r="W51" s="17">
        <f t="shared" si="11"/>
        <v>0</v>
      </c>
      <c r="X51" s="17">
        <f t="shared" si="12"/>
        <v>-275336067.66687012</v>
      </c>
    </row>
    <row r="52" spans="1:24" s="1" customFormat="1" x14ac:dyDescent="0.6">
      <c r="A52" s="60">
        <f t="shared" si="3"/>
        <v>49</v>
      </c>
      <c r="B52" s="85" t="s">
        <v>148</v>
      </c>
      <c r="C52" s="85" t="s">
        <v>1683</v>
      </c>
      <c r="D52" s="1529">
        <v>5.74E-2</v>
      </c>
      <c r="E52" s="1529"/>
      <c r="F52" s="1529">
        <v>6.0699999999999997E-2</v>
      </c>
      <c r="G52" s="956">
        <v>11437451</v>
      </c>
      <c r="H52" s="897">
        <f>G52*Assumptions!$C$59/Assumptions!$C$8</f>
        <v>312196662.49599999</v>
      </c>
      <c r="I52" s="920">
        <v>10.08</v>
      </c>
      <c r="J52" s="506">
        <f>I52/100*1000000/Assumptions!$C$58</f>
        <v>29.542790152403281</v>
      </c>
      <c r="K52" s="506">
        <f t="shared" si="4"/>
        <v>1.6037035698391762</v>
      </c>
      <c r="L52" s="506">
        <f t="shared" si="13"/>
        <v>27.939086582564105</v>
      </c>
      <c r="M52" s="1422">
        <f t="shared" si="14"/>
        <v>29.634989138125746</v>
      </c>
      <c r="N52" s="931">
        <f>J52*Assumptions!$C$8/1000000</f>
        <v>3.6928487690504102</v>
      </c>
      <c r="O52" s="931">
        <f t="shared" si="5"/>
        <v>0.20046294622989702</v>
      </c>
      <c r="P52" s="931">
        <f>L52*Assumptions!$C$8/1000000</f>
        <v>3.4923858228205131</v>
      </c>
      <c r="Q52" s="932">
        <f>M52*Assumptions!$C$8/1000000</f>
        <v>3.7043736422657183</v>
      </c>
      <c r="R52" s="1539">
        <f t="shared" si="6"/>
        <v>0.20046294622989702</v>
      </c>
      <c r="S52" s="70">
        <f t="shared" si="7"/>
        <v>1152895060.8</v>
      </c>
      <c r="T52" s="70">
        <f t="shared" si="8"/>
        <v>1090311198.0329111</v>
      </c>
      <c r="U52" s="70">
        <f t="shared" si="9"/>
        <v>1156493087.7535086</v>
      </c>
      <c r="V52" s="70">
        <f t="shared" si="10"/>
        <v>-3598026.9535086155</v>
      </c>
      <c r="W52" s="17">
        <f t="shared" si="11"/>
        <v>0</v>
      </c>
      <c r="X52" s="17">
        <f t="shared" si="12"/>
        <v>-3598026.9535086155</v>
      </c>
    </row>
    <row r="53" spans="1:24" s="1" customFormat="1" x14ac:dyDescent="0.6">
      <c r="A53" s="60">
        <f t="shared" si="3"/>
        <v>50</v>
      </c>
      <c r="B53" s="85" t="s">
        <v>149</v>
      </c>
      <c r="C53" s="85" t="s">
        <v>1557</v>
      </c>
      <c r="D53" s="1529">
        <f>F53*0.49+0.00003</f>
        <v>2.6636999999999997E-2</v>
      </c>
      <c r="E53" s="1529"/>
      <c r="F53" s="1529">
        <v>5.4300000000000001E-2</v>
      </c>
      <c r="G53" s="956">
        <v>21214787</v>
      </c>
      <c r="H53" s="897">
        <f>G53*Assumptions!$C$59/Assumptions!$C$8</f>
        <v>579078825.95200002</v>
      </c>
      <c r="I53" s="920">
        <v>14.11</v>
      </c>
      <c r="J53" s="506">
        <f>I53/100*1000000/Assumptions!$C$58</f>
        <v>41.354044548651814</v>
      </c>
      <c r="K53" s="506">
        <f t="shared" si="4"/>
        <v>1.0729670610375805</v>
      </c>
      <c r="L53" s="506">
        <f t="shared" si="13"/>
        <v>40.281077487614233</v>
      </c>
      <c r="M53" s="1422">
        <f t="shared" si="14"/>
        <v>42.468339995191684</v>
      </c>
      <c r="N53" s="931">
        <f>J53*Assumptions!$C$8/1000000</f>
        <v>5.1692555685814767</v>
      </c>
      <c r="O53" s="931">
        <f t="shared" si="5"/>
        <v>0.13412088262969757</v>
      </c>
      <c r="P53" s="931">
        <f>L53*Assumptions!$C$8/1000000</f>
        <v>5.0351346859517792</v>
      </c>
      <c r="Q53" s="932">
        <f>M53*Assumptions!$C$8/1000000</f>
        <v>5.3085424993989605</v>
      </c>
      <c r="R53" s="1539">
        <f t="shared" si="6"/>
        <v>0.13412088262969757</v>
      </c>
      <c r="S53" s="70">
        <f t="shared" si="7"/>
        <v>2993406445.6999998</v>
      </c>
      <c r="T53" s="70">
        <f t="shared" si="8"/>
        <v>2915739882.4511485</v>
      </c>
      <c r="U53" s="70">
        <f t="shared" si="9"/>
        <v>3074064558.0682459</v>
      </c>
      <c r="V53" s="70">
        <f t="shared" si="10"/>
        <v>-80658112.368246078</v>
      </c>
      <c r="W53" s="17">
        <f t="shared" si="11"/>
        <v>0</v>
      </c>
      <c r="X53" s="17">
        <f t="shared" si="12"/>
        <v>-80658112.368246078</v>
      </c>
    </row>
    <row r="54" spans="1:24" s="1" customFormat="1" x14ac:dyDescent="0.6">
      <c r="A54" s="60">
        <f t="shared" si="3"/>
        <v>51</v>
      </c>
      <c r="B54" s="85" t="s">
        <v>169</v>
      </c>
      <c r="C54" s="85" t="s">
        <v>1558</v>
      </c>
      <c r="D54" s="1529">
        <f>F54</f>
        <v>5.4699999999999999E-2</v>
      </c>
      <c r="E54" s="1529"/>
      <c r="F54" s="1529">
        <v>5.4699999999999999E-2</v>
      </c>
      <c r="G54" s="956">
        <v>2676702</v>
      </c>
      <c r="H54" s="897">
        <f>G54*Assumptions!$C$59/Assumptions!$C$8</f>
        <v>73063257.791999996</v>
      </c>
      <c r="I54" s="920">
        <v>10.97</v>
      </c>
      <c r="J54" s="506">
        <f>I54/100*1000000/Assumptions!$C$58</f>
        <v>32.151230949589682</v>
      </c>
      <c r="K54" s="506">
        <f t="shared" si="4"/>
        <v>1.6674621531644576</v>
      </c>
      <c r="L54" s="506">
        <f t="shared" si="13"/>
        <v>30.483768796425224</v>
      </c>
      <c r="M54" s="1422">
        <f t="shared" si="14"/>
        <v>32.151230949589682</v>
      </c>
      <c r="N54" s="931">
        <f>J54*Assumptions!$C$8/1000000</f>
        <v>4.0189038686987102</v>
      </c>
      <c r="O54" s="931">
        <f t="shared" si="5"/>
        <v>0.2084327691455572</v>
      </c>
      <c r="P54" s="931">
        <f>L54*Assumptions!$C$8/1000000</f>
        <v>3.810471099553153</v>
      </c>
      <c r="Q54" s="932">
        <f>M54*Assumptions!$C$8/1000000</f>
        <v>4.0189038686987102</v>
      </c>
      <c r="R54" s="1539">
        <f t="shared" si="6"/>
        <v>0.2084327691455572</v>
      </c>
      <c r="S54" s="70">
        <f t="shared" si="7"/>
        <v>293634209.39999998</v>
      </c>
      <c r="T54" s="70">
        <f t="shared" si="8"/>
        <v>278405432.25561768</v>
      </c>
      <c r="U54" s="70">
        <f t="shared" si="9"/>
        <v>293634209.39999998</v>
      </c>
      <c r="V54" s="70">
        <f t="shared" si="10"/>
        <v>0</v>
      </c>
      <c r="W54" s="17"/>
      <c r="X54" s="17"/>
    </row>
    <row r="55" spans="1:24" s="1" customFormat="1" x14ac:dyDescent="0.6">
      <c r="A55" s="85"/>
      <c r="B55" s="85"/>
      <c r="C55" s="85"/>
      <c r="D55" s="1529"/>
      <c r="E55" s="1529"/>
      <c r="F55" s="1534"/>
      <c r="G55" s="956"/>
      <c r="H55" s="897"/>
      <c r="I55" s="920"/>
      <c r="J55" s="506"/>
      <c r="K55" s="506"/>
      <c r="L55" s="506"/>
      <c r="M55" s="1422"/>
      <c r="N55" s="931"/>
      <c r="O55" s="931"/>
      <c r="P55" s="931"/>
      <c r="Q55" s="932"/>
      <c r="R55" s="1539"/>
      <c r="S55" s="70"/>
      <c r="T55" s="70"/>
      <c r="U55" s="70"/>
      <c r="V55" s="85"/>
      <c r="W55" s="17"/>
      <c r="X55" s="17"/>
    </row>
    <row r="56" spans="1:24" s="1" customFormat="1" x14ac:dyDescent="0.6">
      <c r="A56" s="85"/>
      <c r="B56" s="85" t="s">
        <v>42</v>
      </c>
      <c r="C56" s="85"/>
      <c r="D56" s="1529"/>
      <c r="E56" s="1529"/>
      <c r="F56" s="1535"/>
      <c r="G56" s="956">
        <f>SUM(G4:G55)</f>
        <v>1404096499</v>
      </c>
      <c r="H56" s="897">
        <f>G56*Assumptions!$C$59/Assumptions!$C$8</f>
        <v>38326218036.704002</v>
      </c>
      <c r="I56" s="920"/>
      <c r="J56" s="506"/>
      <c r="K56" s="506"/>
      <c r="L56" s="506"/>
      <c r="M56" s="1422"/>
      <c r="N56" s="931"/>
      <c r="O56" s="931"/>
      <c r="P56" s="931"/>
      <c r="Q56" s="932"/>
      <c r="R56" s="1539"/>
      <c r="S56" s="593">
        <f>SUM(S4:S55)</f>
        <v>177621061912.5</v>
      </c>
      <c r="T56" s="593">
        <f>SUM(T4:T55)</f>
        <v>168248378065.0593</v>
      </c>
      <c r="U56" s="593">
        <f>SUM(U4:U55)</f>
        <v>180351468929.91034</v>
      </c>
      <c r="V56" s="593">
        <f>SUM(V4:V55)</f>
        <v>-2730407017.4104176</v>
      </c>
      <c r="W56" s="593">
        <f t="shared" ref="W56:X56" si="15">SUM(W4:W55)</f>
        <v>2459255520.7470064</v>
      </c>
      <c r="X56" s="593">
        <f t="shared" si="15"/>
        <v>-5189662538.157424</v>
      </c>
    </row>
    <row r="57" spans="1:24" s="1" customFormat="1" x14ac:dyDescent="0.6">
      <c r="A57" s="85"/>
      <c r="B57" s="85"/>
      <c r="C57" s="85"/>
      <c r="D57" s="1529"/>
      <c r="E57" s="1529"/>
      <c r="F57" s="1535"/>
      <c r="G57" s="956"/>
      <c r="H57" s="897">
        <f>G57*Assumptions!$C$59/Assumptions!$C$8</f>
        <v>0</v>
      </c>
      <c r="I57" s="920"/>
      <c r="J57" s="506"/>
      <c r="K57" s="506"/>
      <c r="L57" s="506"/>
      <c r="M57" s="1422"/>
      <c r="N57" s="931"/>
      <c r="O57" s="931"/>
      <c r="P57" s="931"/>
      <c r="Q57" s="932"/>
      <c r="R57" s="1539"/>
      <c r="S57" s="593"/>
      <c r="T57" s="593"/>
      <c r="U57" s="593"/>
      <c r="V57" s="593"/>
      <c r="W57" s="17"/>
      <c r="X57" s="17"/>
    </row>
    <row r="58" spans="1:24" ht="15.9" thickBot="1" x14ac:dyDescent="0.65">
      <c r="A58" s="243"/>
      <c r="B58" s="243"/>
      <c r="C58" s="243"/>
      <c r="D58" s="1536"/>
      <c r="E58" s="1536"/>
      <c r="F58" s="1537"/>
      <c r="G58" s="1545"/>
      <c r="H58" s="1546"/>
      <c r="I58" s="918"/>
      <c r="J58" s="617"/>
      <c r="K58" s="617"/>
      <c r="L58" s="617"/>
      <c r="M58" s="1544"/>
      <c r="N58" s="933"/>
      <c r="O58" s="933"/>
      <c r="P58" s="933"/>
      <c r="Q58" s="934"/>
      <c r="R58" s="1541"/>
      <c r="S58" s="237"/>
      <c r="T58" s="237"/>
      <c r="U58" s="237"/>
      <c r="V58" s="237"/>
      <c r="W58" s="101"/>
      <c r="X58" s="101"/>
    </row>
    <row r="59" spans="1:24" ht="15.9" thickTop="1" x14ac:dyDescent="0.6">
      <c r="A59" s="167"/>
      <c r="B59" s="167"/>
      <c r="C59" s="167"/>
      <c r="S59" s="156"/>
      <c r="V59" s="156"/>
      <c r="W59" s="1583">
        <f>COUNTIF(W4:W53,"&gt;0")</f>
        <v>10</v>
      </c>
      <c r="X59" s="1583">
        <f>COUNTIF(X4:X53,"&lt;0")</f>
        <v>30</v>
      </c>
    </row>
    <row r="60" spans="1:24" s="1" customFormat="1" x14ac:dyDescent="0.6">
      <c r="D60" s="174"/>
      <c r="E60" s="174"/>
      <c r="F60" s="179"/>
      <c r="G60" s="1657" t="s">
        <v>1746</v>
      </c>
      <c r="H60" s="21">
        <f>LARGE($H$4:$H$54,1)</f>
        <v>3975714617.2480001</v>
      </c>
      <c r="I60" s="920"/>
      <c r="J60" s="506"/>
      <c r="K60" s="506"/>
      <c r="L60" s="506"/>
      <c r="M60" s="506"/>
      <c r="N60" s="506" t="s">
        <v>1746</v>
      </c>
      <c r="O60" s="506">
        <f>LARGE($O$4:$O$54,1)</f>
        <v>0.6668952018087424</v>
      </c>
      <c r="P60" s="1543"/>
      <c r="Q60" s="506"/>
      <c r="R60" s="156"/>
      <c r="S60" s="85"/>
      <c r="T60" s="70"/>
      <c r="U60" s="240"/>
      <c r="V60" s="240"/>
      <c r="W60" s="17"/>
      <c r="X60" s="881"/>
    </row>
    <row r="61" spans="1:24" s="1" customFormat="1" x14ac:dyDescent="0.6">
      <c r="D61" s="174"/>
      <c r="E61" s="178"/>
      <c r="F61" s="179"/>
      <c r="G61" s="1657" t="s">
        <v>1744</v>
      </c>
      <c r="H61" s="21">
        <f>LARGE($H$4:$H$54,2)</f>
        <v>3350842547.7119999</v>
      </c>
      <c r="I61" s="920"/>
      <c r="J61" s="506"/>
      <c r="K61" s="506"/>
      <c r="L61" s="506"/>
      <c r="M61" s="506"/>
      <c r="N61" s="506" t="s">
        <v>1744</v>
      </c>
      <c r="O61" s="506">
        <f>LARGE($O$4:$O$54,2)</f>
        <v>0.6471426868281438</v>
      </c>
      <c r="P61" s="506"/>
      <c r="Q61" s="506"/>
      <c r="R61" s="85"/>
      <c r="S61" s="85"/>
      <c r="T61" s="85"/>
      <c r="U61" s="85"/>
      <c r="V61" s="240" t="s">
        <v>504</v>
      </c>
      <c r="W61" s="70"/>
      <c r="X61" s="881"/>
    </row>
    <row r="62" spans="1:24" s="1" customFormat="1" x14ac:dyDescent="0.6">
      <c r="D62" s="174"/>
      <c r="E62" s="178"/>
      <c r="F62" s="179"/>
      <c r="G62" s="1657" t="s">
        <v>1745</v>
      </c>
      <c r="H62" s="21">
        <f>LARGE($H$4:$H$54,3)</f>
        <v>2439890437.408</v>
      </c>
      <c r="I62" s="920"/>
      <c r="J62" s="506"/>
      <c r="K62" s="506"/>
      <c r="L62" s="506"/>
      <c r="M62" s="506"/>
      <c r="N62" s="506" t="s">
        <v>1745</v>
      </c>
      <c r="O62" s="506">
        <f>LARGE($O$4:$O$54,3)</f>
        <v>0.60802352613905075</v>
      </c>
      <c r="P62" s="506"/>
      <c r="Q62" s="506"/>
      <c r="R62" s="85"/>
      <c r="S62" s="85"/>
      <c r="T62" s="70" t="s">
        <v>26</v>
      </c>
      <c r="U62" s="70">
        <f>S56-T56</f>
        <v>9372683847.4407043</v>
      </c>
      <c r="V62" s="881">
        <f>(S56-T56)/H56</f>
        <v>0.24455018855407892</v>
      </c>
      <c r="W62" s="70"/>
      <c r="X62" s="881"/>
    </row>
    <row r="63" spans="1:24" s="1" customFormat="1" x14ac:dyDescent="0.6">
      <c r="D63" s="174"/>
      <c r="E63" s="178"/>
      <c r="F63" s="179"/>
      <c r="G63" s="828"/>
      <c r="H63" s="70"/>
      <c r="I63" s="920"/>
      <c r="J63" s="506"/>
      <c r="K63" s="506"/>
      <c r="L63" s="506"/>
      <c r="M63" s="506"/>
      <c r="N63" s="506"/>
      <c r="O63" s="506"/>
      <c r="P63" s="506"/>
      <c r="Q63" s="506"/>
      <c r="R63" s="85"/>
      <c r="S63" s="85"/>
      <c r="T63" s="70" t="s">
        <v>654</v>
      </c>
      <c r="U63" s="70">
        <f>U56-T56</f>
        <v>12103090864.851044</v>
      </c>
      <c r="V63" s="881">
        <f>(U56-T56)/H56</f>
        <v>0.31579142124746656</v>
      </c>
      <c r="W63" s="70"/>
      <c r="X63" s="17"/>
    </row>
    <row r="64" spans="1:24" s="1" customFormat="1" x14ac:dyDescent="0.6">
      <c r="D64" s="174"/>
      <c r="E64" s="178"/>
      <c r="F64" s="179"/>
      <c r="G64" s="828"/>
      <c r="H64" s="506"/>
      <c r="I64" s="920"/>
      <c r="J64" s="506"/>
      <c r="K64" s="506"/>
      <c r="L64" s="506"/>
      <c r="M64" s="506"/>
      <c r="N64" s="506"/>
      <c r="O64" s="506"/>
      <c r="P64" s="506"/>
      <c r="Q64" s="506"/>
      <c r="R64" s="85"/>
      <c r="S64" s="85"/>
      <c r="T64" s="70" t="s">
        <v>602</v>
      </c>
      <c r="U64" s="70">
        <f>U62-U63</f>
        <v>-2730407017.4103394</v>
      </c>
      <c r="V64" s="881">
        <f>V62-V63</f>
        <v>-7.1241232693387641E-2</v>
      </c>
      <c r="W64" s="70"/>
      <c r="X64" s="17"/>
    </row>
    <row r="65" spans="4:24" s="1" customFormat="1" x14ac:dyDescent="0.6">
      <c r="D65" s="174"/>
      <c r="E65" s="178"/>
      <c r="F65" s="179"/>
      <c r="G65" s="828"/>
      <c r="H65" s="1447"/>
      <c r="I65" s="920"/>
      <c r="J65" s="506"/>
      <c r="K65" s="506"/>
      <c r="L65" s="506"/>
      <c r="M65" s="506"/>
      <c r="N65" s="506"/>
      <c r="O65" s="506"/>
      <c r="P65" s="506"/>
      <c r="Q65" s="506"/>
      <c r="R65" s="156"/>
      <c r="S65" s="85"/>
      <c r="T65" s="70"/>
      <c r="U65" s="85"/>
      <c r="V65" s="70"/>
      <c r="W65" s="70"/>
      <c r="X65" s="17"/>
    </row>
    <row r="66" spans="4:24" s="1" customFormat="1" x14ac:dyDescent="0.6">
      <c r="D66" s="85"/>
      <c r="E66" s="178"/>
      <c r="F66" s="85"/>
      <c r="G66" s="828"/>
      <c r="H66" s="828"/>
      <c r="I66" s="920"/>
      <c r="J66" s="506"/>
      <c r="K66" s="506"/>
      <c r="L66" s="506"/>
      <c r="M66" s="506"/>
      <c r="N66" s="506"/>
      <c r="O66" s="506"/>
      <c r="P66" s="506"/>
      <c r="Q66" s="506"/>
      <c r="R66" s="156"/>
      <c r="S66" s="85"/>
      <c r="T66" s="70" t="s">
        <v>686</v>
      </c>
      <c r="U66" s="85"/>
      <c r="V66" s="506">
        <f>T56/H56</f>
        <v>4.3899029615688221</v>
      </c>
      <c r="W66" s="70"/>
      <c r="X66" s="17"/>
    </row>
    <row r="67" spans="4:24" s="1" customFormat="1" x14ac:dyDescent="0.6">
      <c r="D67" s="85"/>
      <c r="E67" s="178"/>
      <c r="F67" s="85"/>
      <c r="G67" s="828"/>
      <c r="H67" s="828"/>
      <c r="I67" s="920"/>
      <c r="J67" s="506"/>
      <c r="K67" s="506"/>
      <c r="L67" s="506"/>
      <c r="M67" s="506"/>
      <c r="N67" s="506"/>
      <c r="O67" s="506"/>
      <c r="P67" s="506"/>
      <c r="Q67" s="506"/>
      <c r="R67" s="156"/>
      <c r="S67" s="85"/>
      <c r="T67" s="70" t="s">
        <v>645</v>
      </c>
      <c r="U67" s="85"/>
      <c r="V67" s="506">
        <f>S56/H56</f>
        <v>4.6344531501229005</v>
      </c>
      <c r="W67" s="70"/>
      <c r="X67" s="17"/>
    </row>
    <row r="68" spans="4:24" s="1" customFormat="1" x14ac:dyDescent="0.6">
      <c r="D68" s="85"/>
      <c r="E68" s="178"/>
      <c r="F68" s="85"/>
      <c r="G68" s="828"/>
      <c r="H68" s="828"/>
      <c r="I68" s="920"/>
      <c r="J68" s="506"/>
      <c r="K68" s="506"/>
      <c r="L68" s="506"/>
      <c r="M68" s="506"/>
      <c r="N68" s="506"/>
      <c r="O68" s="506"/>
      <c r="P68" s="506"/>
      <c r="Q68" s="506"/>
      <c r="R68" s="156"/>
      <c r="S68" s="85"/>
      <c r="T68" s="70"/>
      <c r="U68" s="70"/>
      <c r="V68" s="85"/>
      <c r="W68" s="70"/>
      <c r="X68" s="17"/>
    </row>
    <row r="69" spans="4:24" s="1" customFormat="1" x14ac:dyDescent="0.6">
      <c r="D69" s="85"/>
      <c r="E69" s="178"/>
      <c r="F69" s="85"/>
      <c r="G69" s="828"/>
      <c r="H69" s="828"/>
      <c r="I69" s="920"/>
      <c r="J69" s="506"/>
      <c r="K69" s="506"/>
      <c r="L69" s="506"/>
      <c r="M69" s="506"/>
      <c r="N69" s="506"/>
      <c r="O69" s="506"/>
      <c r="P69" s="506"/>
      <c r="Q69" s="506"/>
      <c r="R69" s="85"/>
      <c r="S69" s="85"/>
      <c r="T69" s="17"/>
      <c r="U69" s="1" t="s">
        <v>1743</v>
      </c>
      <c r="V69" s="17">
        <f>LARGE(V6:V56,1)</f>
        <v>1367342854.5233879</v>
      </c>
      <c r="W69" s="109"/>
      <c r="X69" s="17"/>
    </row>
    <row r="70" spans="4:24" s="1" customFormat="1" x14ac:dyDescent="0.6">
      <c r="D70" s="85"/>
      <c r="E70" s="178"/>
      <c r="F70" s="85"/>
      <c r="G70" s="828"/>
      <c r="H70" s="828"/>
      <c r="I70" s="920"/>
      <c r="J70" s="506"/>
      <c r="K70" s="506"/>
      <c r="L70" s="506"/>
      <c r="M70" s="506"/>
      <c r="N70" s="506"/>
      <c r="O70" s="506"/>
      <c r="P70" s="506"/>
      <c r="Q70" s="506"/>
      <c r="R70" s="85"/>
      <c r="S70" s="85"/>
      <c r="U70" s="1" t="s">
        <v>1744</v>
      </c>
      <c r="V70" s="70">
        <f>LARGE(V6:V56,2)</f>
        <v>482721530.27510834</v>
      </c>
      <c r="W70" s="17"/>
      <c r="X70" s="17"/>
    </row>
    <row r="71" spans="4:24" s="1" customFormat="1" x14ac:dyDescent="0.6">
      <c r="D71" s="85"/>
      <c r="E71" s="178"/>
      <c r="F71" s="85"/>
      <c r="G71" s="828"/>
      <c r="H71" s="828"/>
      <c r="I71" s="920"/>
      <c r="J71" s="506"/>
      <c r="K71" s="506"/>
      <c r="L71" s="506"/>
      <c r="M71" s="506"/>
      <c r="N71" s="506"/>
      <c r="O71" s="506"/>
      <c r="P71" s="506"/>
      <c r="Q71" s="506"/>
      <c r="R71" s="85"/>
      <c r="S71" s="85"/>
      <c r="U71" s="1" t="s">
        <v>1745</v>
      </c>
      <c r="V71" s="70">
        <f>LARGE(V6:V56,3)</f>
        <v>206307300.69708538</v>
      </c>
      <c r="W71" s="17"/>
      <c r="X71" s="17"/>
    </row>
    <row r="72" spans="4:24" s="1" customFormat="1" x14ac:dyDescent="0.6">
      <c r="D72" s="85"/>
      <c r="E72" s="178"/>
      <c r="F72" s="85"/>
      <c r="G72" s="828"/>
      <c r="H72" s="828"/>
      <c r="I72" s="920"/>
      <c r="J72" s="506"/>
      <c r="K72" s="506"/>
      <c r="L72" s="506"/>
      <c r="M72" s="506"/>
      <c r="N72" s="506"/>
      <c r="O72" s="506"/>
      <c r="P72" s="506"/>
      <c r="Q72" s="506"/>
      <c r="R72" s="85"/>
      <c r="S72" s="85"/>
      <c r="V72" s="70"/>
      <c r="W72" s="17"/>
      <c r="X72" s="17"/>
    </row>
    <row r="73" spans="4:24" s="1" customFormat="1" x14ac:dyDescent="0.6">
      <c r="D73" s="85"/>
      <c r="E73" s="178"/>
      <c r="F73" s="85"/>
      <c r="G73" s="828"/>
      <c r="H73" s="828"/>
      <c r="I73" s="920"/>
      <c r="J73" s="506"/>
      <c r="K73" s="506"/>
      <c r="L73" s="506"/>
      <c r="M73" s="506"/>
      <c r="N73" s="506"/>
      <c r="O73" s="506"/>
      <c r="P73" s="506"/>
      <c r="Q73" s="506"/>
      <c r="R73" s="85"/>
      <c r="S73" s="85"/>
      <c r="U73" s="1" t="s">
        <v>1750</v>
      </c>
      <c r="V73" s="70">
        <f>SMALL($V$4:$V$53,1)</f>
        <v>-969584481.16103745</v>
      </c>
      <c r="X73" s="17"/>
    </row>
    <row r="74" spans="4:24" s="1" customFormat="1" x14ac:dyDescent="0.6">
      <c r="D74" s="174"/>
      <c r="E74" s="174"/>
      <c r="F74" s="179"/>
      <c r="G74" s="21"/>
      <c r="H74" s="21"/>
      <c r="I74" s="920"/>
      <c r="J74" s="506"/>
      <c r="K74" s="506"/>
      <c r="L74" s="506"/>
      <c r="M74" s="506"/>
      <c r="N74" s="506"/>
      <c r="O74" s="506"/>
      <c r="P74" s="506"/>
      <c r="Q74" s="506"/>
      <c r="R74" s="156"/>
      <c r="S74" s="70"/>
      <c r="U74" s="1" t="s">
        <v>1744</v>
      </c>
      <c r="V74" s="70">
        <f>SMALL($V$4:$V$53,2)</f>
        <v>-467967965.95200157</v>
      </c>
      <c r="X74" s="17"/>
    </row>
    <row r="75" spans="4:24" s="1" customFormat="1" x14ac:dyDescent="0.6">
      <c r="D75" s="174"/>
      <c r="E75" s="174"/>
      <c r="F75" s="179"/>
      <c r="G75" s="21"/>
      <c r="H75" s="21"/>
      <c r="I75" s="920"/>
      <c r="J75" s="506"/>
      <c r="K75" s="506"/>
      <c r="L75" s="506"/>
      <c r="M75" s="506"/>
      <c r="N75" s="506"/>
      <c r="O75" s="506"/>
      <c r="P75" s="506"/>
      <c r="Q75" s="506"/>
      <c r="R75" s="156"/>
      <c r="S75" s="70"/>
      <c r="T75" s="70"/>
      <c r="U75" s="70" t="s">
        <v>1745</v>
      </c>
      <c r="V75" s="70">
        <f>SMALL($V$4:$V$53,3)</f>
        <v>-405569744.96849966</v>
      </c>
      <c r="W75" s="17"/>
      <c r="X75" s="17"/>
    </row>
    <row r="76" spans="4:24" s="1" customFormat="1" x14ac:dyDescent="0.6">
      <c r="D76" s="174"/>
      <c r="E76" s="174"/>
      <c r="F76" s="179"/>
      <c r="G76" s="21"/>
      <c r="H76" s="21"/>
      <c r="I76" s="920"/>
      <c r="J76" s="506"/>
      <c r="K76" s="506"/>
      <c r="L76" s="506"/>
      <c r="M76" s="506"/>
      <c r="N76" s="1543"/>
      <c r="O76" s="1543"/>
      <c r="P76" s="1543"/>
      <c r="Q76" s="506"/>
      <c r="R76" s="156"/>
      <c r="S76" s="70"/>
      <c r="T76" s="70"/>
      <c r="U76" s="70"/>
      <c r="V76" s="891"/>
      <c r="W76" s="17"/>
      <c r="X76" s="17"/>
    </row>
    <row r="77" spans="4:24" s="1" customFormat="1" x14ac:dyDescent="0.6">
      <c r="D77" s="174"/>
      <c r="E77" s="174"/>
      <c r="F77" s="179"/>
      <c r="G77" s="21"/>
      <c r="H77" s="21"/>
      <c r="I77" s="920"/>
      <c r="J77" s="506"/>
      <c r="K77" s="506"/>
      <c r="L77" s="506"/>
      <c r="M77" s="506"/>
      <c r="N77" s="1543"/>
      <c r="O77" s="1543"/>
      <c r="P77" s="1543"/>
      <c r="Q77" s="506"/>
      <c r="R77" s="156"/>
      <c r="S77" s="70"/>
      <c r="T77" s="70"/>
      <c r="U77" s="70"/>
      <c r="V77" s="891"/>
      <c r="W77" s="17"/>
      <c r="X77" s="17"/>
    </row>
    <row r="78" spans="4:24" s="1" customFormat="1" x14ac:dyDescent="0.6">
      <c r="D78" s="174"/>
      <c r="E78" s="174"/>
      <c r="F78" s="179"/>
      <c r="G78" s="21"/>
      <c r="H78" s="21"/>
      <c r="I78" s="920"/>
      <c r="J78" s="506"/>
      <c r="K78" s="506"/>
      <c r="L78" s="506"/>
      <c r="M78" s="506"/>
      <c r="N78" s="1543"/>
      <c r="O78" s="1543"/>
      <c r="P78" s="1543"/>
      <c r="Q78" s="506"/>
      <c r="R78" s="156"/>
      <c r="S78" s="70"/>
      <c r="T78" s="70"/>
      <c r="U78" s="70"/>
      <c r="V78" s="70"/>
      <c r="W78" s="17"/>
      <c r="X78" s="17"/>
    </row>
    <row r="79" spans="4:24" s="1" customFormat="1" x14ac:dyDescent="0.6">
      <c r="D79" s="174"/>
      <c r="E79" s="174"/>
      <c r="F79" s="179"/>
      <c r="G79" s="21"/>
      <c r="H79" s="21"/>
      <c r="I79" s="920"/>
      <c r="J79" s="506"/>
      <c r="K79" s="506"/>
      <c r="L79" s="506"/>
      <c r="M79" s="506"/>
      <c r="N79" s="1543"/>
      <c r="O79" s="1543"/>
      <c r="P79" s="1543"/>
      <c r="Q79" s="506"/>
      <c r="R79" s="156"/>
      <c r="S79" s="70"/>
      <c r="T79" s="70"/>
      <c r="U79" s="1" t="s">
        <v>852</v>
      </c>
      <c r="V79" s="891">
        <f>W56</f>
        <v>2459255520.7470064</v>
      </c>
      <c r="W79" s="929">
        <f>COUNTIF(W6:W56,"&gt;0")</f>
        <v>11</v>
      </c>
      <c r="X79" s="17"/>
    </row>
    <row r="80" spans="4:24" s="1" customFormat="1" x14ac:dyDescent="0.6">
      <c r="D80" s="174"/>
      <c r="E80" s="174"/>
      <c r="F80" s="179"/>
      <c r="G80" s="21"/>
      <c r="H80" s="21"/>
      <c r="I80" s="920"/>
      <c r="J80" s="506"/>
      <c r="K80" s="506"/>
      <c r="L80" s="506"/>
      <c r="M80" s="506"/>
      <c r="N80" s="1543"/>
      <c r="O80" s="1543"/>
      <c r="P80" s="1543"/>
      <c r="Q80" s="506"/>
      <c r="R80" s="156"/>
      <c r="S80" s="70"/>
      <c r="T80" s="70"/>
      <c r="U80" s="1" t="s">
        <v>853</v>
      </c>
      <c r="V80" s="891">
        <f>X56</f>
        <v>-5189662538.157424</v>
      </c>
      <c r="W80" s="929">
        <f>COUNTIF(X4:X53,"&lt;0")</f>
        <v>30</v>
      </c>
      <c r="X80" s="17"/>
    </row>
    <row r="81" spans="4:24" s="1" customFormat="1" x14ac:dyDescent="0.6">
      <c r="D81" s="174"/>
      <c r="E81" s="174"/>
      <c r="F81" s="179"/>
      <c r="G81" s="21"/>
      <c r="H81" s="21"/>
      <c r="I81" s="920"/>
      <c r="J81" s="506"/>
      <c r="K81" s="506"/>
      <c r="L81" s="506"/>
      <c r="M81" s="506"/>
      <c r="N81" s="1543"/>
      <c r="O81" s="1543"/>
      <c r="P81" s="1543"/>
      <c r="Q81" s="506"/>
      <c r="R81" s="156"/>
      <c r="S81" s="70"/>
      <c r="T81" s="70"/>
      <c r="U81" s="70"/>
      <c r="V81" s="85"/>
      <c r="W81" s="17"/>
      <c r="X81" s="17"/>
    </row>
    <row r="82" spans="4:24" s="1" customFormat="1" x14ac:dyDescent="0.6">
      <c r="D82" s="174"/>
      <c r="E82" s="174"/>
      <c r="F82" s="179"/>
      <c r="G82" s="21"/>
      <c r="H82" s="21"/>
      <c r="I82" s="920"/>
      <c r="J82" s="506"/>
      <c r="K82" s="506"/>
      <c r="L82" s="506"/>
      <c r="M82" s="506"/>
      <c r="N82" s="1543"/>
      <c r="O82" s="1543"/>
      <c r="P82" s="1543"/>
      <c r="Q82" s="506"/>
      <c r="R82" s="156"/>
      <c r="S82" s="70"/>
      <c r="T82" s="70"/>
      <c r="U82" s="70"/>
      <c r="V82" s="85"/>
      <c r="W82" s="17"/>
      <c r="X82" s="17"/>
    </row>
    <row r="83" spans="4:24" s="1" customFormat="1" x14ac:dyDescent="0.6">
      <c r="D83" s="174"/>
      <c r="E83" s="174"/>
      <c r="F83" s="179"/>
      <c r="G83" s="21"/>
      <c r="H83" s="21"/>
      <c r="I83" s="920"/>
      <c r="J83" s="506"/>
      <c r="K83" s="506"/>
      <c r="L83" s="506"/>
      <c r="M83" s="506"/>
      <c r="N83" s="1543"/>
      <c r="O83" s="1543"/>
      <c r="P83" s="1543"/>
      <c r="Q83" s="506"/>
      <c r="R83" s="156"/>
      <c r="S83" s="70"/>
      <c r="T83" s="70"/>
      <c r="U83" s="70"/>
      <c r="V83" s="85"/>
      <c r="W83" s="17"/>
      <c r="X83" s="17"/>
    </row>
    <row r="84" spans="4:24" s="1" customFormat="1" x14ac:dyDescent="0.6">
      <c r="D84" s="85"/>
      <c r="E84" s="85"/>
      <c r="F84" s="85"/>
      <c r="G84" s="828"/>
      <c r="H84" s="828"/>
      <c r="I84" s="920"/>
      <c r="J84" s="506"/>
      <c r="K84" s="506"/>
      <c r="L84" s="506"/>
      <c r="M84" s="506"/>
      <c r="N84" s="1543"/>
      <c r="O84" s="1543"/>
      <c r="P84" s="1543"/>
      <c r="Q84" s="506"/>
      <c r="R84" s="85"/>
      <c r="S84" s="85"/>
      <c r="T84" s="85"/>
      <c r="U84" s="85"/>
      <c r="V84" s="85"/>
      <c r="W84" s="17"/>
      <c r="X84" s="17"/>
    </row>
    <row r="85" spans="4:24" s="1" customFormat="1" x14ac:dyDescent="0.6">
      <c r="D85" s="85"/>
      <c r="E85" s="85"/>
      <c r="F85" s="85"/>
      <c r="G85" s="828"/>
      <c r="H85" s="828"/>
      <c r="I85" s="920"/>
      <c r="J85" s="506"/>
      <c r="K85" s="506"/>
      <c r="L85" s="506"/>
      <c r="M85" s="506"/>
      <c r="N85" s="1543"/>
      <c r="O85" s="1543"/>
      <c r="P85" s="1543"/>
      <c r="Q85" s="506"/>
      <c r="R85" s="85"/>
      <c r="S85" s="85"/>
      <c r="T85" s="85"/>
      <c r="U85" s="85"/>
      <c r="V85" s="85"/>
      <c r="W85" s="17"/>
      <c r="X85" s="17"/>
    </row>
    <row r="86" spans="4:24" s="1" customFormat="1" x14ac:dyDescent="0.6">
      <c r="D86" s="174"/>
      <c r="E86" s="174"/>
      <c r="F86" s="179"/>
      <c r="G86" s="21"/>
      <c r="H86" s="21"/>
      <c r="I86" s="920"/>
      <c r="J86" s="506"/>
      <c r="K86" s="506"/>
      <c r="L86" s="506"/>
      <c r="M86" s="506"/>
      <c r="N86" s="1543"/>
      <c r="O86" s="1543"/>
      <c r="P86" s="1543"/>
      <c r="Q86" s="506"/>
      <c r="R86" s="156"/>
      <c r="S86" s="70"/>
      <c r="T86" s="70"/>
      <c r="U86" s="70"/>
      <c r="V86" s="85"/>
      <c r="W86" s="17"/>
      <c r="X86" s="17"/>
    </row>
    <row r="87" spans="4:24" s="1" customFormat="1" x14ac:dyDescent="0.6">
      <c r="D87" s="174"/>
      <c r="E87" s="174"/>
      <c r="F87" s="179"/>
      <c r="G87" s="21"/>
      <c r="H87" s="21"/>
      <c r="I87" s="920"/>
      <c r="J87" s="506"/>
      <c r="K87" s="506"/>
      <c r="L87" s="506"/>
      <c r="M87" s="506"/>
      <c r="N87" s="506"/>
      <c r="O87" s="506"/>
      <c r="P87" s="506"/>
      <c r="Q87" s="506"/>
      <c r="R87" s="156"/>
      <c r="S87" s="70"/>
      <c r="T87" s="70"/>
      <c r="U87" s="70"/>
      <c r="V87" s="85"/>
      <c r="W87" s="17"/>
      <c r="X87" s="17"/>
    </row>
    <row r="88" spans="4:24" s="1" customFormat="1" x14ac:dyDescent="0.6">
      <c r="D88" s="174"/>
      <c r="E88" s="174"/>
      <c r="F88" s="179"/>
      <c r="G88" s="21"/>
      <c r="H88" s="21"/>
      <c r="I88" s="920"/>
      <c r="J88" s="506"/>
      <c r="K88" s="506"/>
      <c r="L88" s="506"/>
      <c r="M88" s="506"/>
      <c r="N88" s="506"/>
      <c r="O88" s="506"/>
      <c r="P88" s="506"/>
      <c r="Q88" s="506"/>
      <c r="R88" s="156"/>
      <c r="S88" s="70"/>
      <c r="T88" s="70"/>
      <c r="U88" s="70"/>
      <c r="V88" s="85"/>
      <c r="W88" s="17"/>
      <c r="X88" s="17"/>
    </row>
    <row r="89" spans="4:24" s="1" customFormat="1" x14ac:dyDescent="0.6">
      <c r="D89" s="174"/>
      <c r="E89" s="174"/>
      <c r="F89" s="179"/>
      <c r="G89" s="21"/>
      <c r="H89" s="21"/>
      <c r="I89" s="920"/>
      <c r="J89" s="506"/>
      <c r="K89" s="506"/>
      <c r="L89" s="821"/>
      <c r="M89" s="506"/>
      <c r="N89" s="506"/>
      <c r="O89" s="506"/>
      <c r="P89" s="506"/>
      <c r="Q89" s="506"/>
      <c r="R89" s="156"/>
      <c r="S89" s="70"/>
      <c r="T89" s="70"/>
      <c r="U89" s="70"/>
      <c r="V89" s="85"/>
      <c r="W89" s="17"/>
      <c r="X89" s="17"/>
    </row>
    <row r="90" spans="4:24" s="1" customFormat="1" x14ac:dyDescent="0.6">
      <c r="D90" s="174"/>
      <c r="E90" s="174"/>
      <c r="F90" s="179"/>
      <c r="G90" s="21"/>
      <c r="H90" s="21"/>
      <c r="I90" s="920"/>
      <c r="J90" s="506"/>
      <c r="K90" s="506"/>
      <c r="L90" s="821"/>
      <c r="M90" s="506"/>
      <c r="N90" s="506"/>
      <c r="O90" s="506"/>
      <c r="P90" s="506"/>
      <c r="Q90" s="506"/>
      <c r="R90" s="156"/>
      <c r="S90" s="70"/>
      <c r="T90" s="70"/>
      <c r="U90" s="70"/>
      <c r="V90" s="85"/>
      <c r="W90" s="17"/>
      <c r="X90" s="17"/>
    </row>
    <row r="91" spans="4:24" s="1" customFormat="1" x14ac:dyDescent="0.6">
      <c r="D91" s="174"/>
      <c r="E91" s="174"/>
      <c r="F91" s="179"/>
      <c r="G91" s="21"/>
      <c r="H91" s="21"/>
      <c r="I91" s="920"/>
      <c r="J91" s="506"/>
      <c r="K91" s="506"/>
      <c r="L91" s="821"/>
      <c r="M91" s="506"/>
      <c r="N91" s="506"/>
      <c r="O91" s="506"/>
      <c r="P91" s="506"/>
      <c r="Q91" s="506"/>
      <c r="R91" s="156"/>
      <c r="S91" s="70"/>
      <c r="T91" s="70"/>
      <c r="U91" s="70"/>
      <c r="V91" s="85"/>
      <c r="W91" s="17"/>
      <c r="X91" s="17"/>
    </row>
    <row r="92" spans="4:24" s="1" customFormat="1" x14ac:dyDescent="0.6">
      <c r="D92" s="174"/>
      <c r="E92" s="174"/>
      <c r="F92" s="179"/>
      <c r="G92" s="21"/>
      <c r="H92" s="21"/>
      <c r="I92" s="920"/>
      <c r="J92" s="506"/>
      <c r="K92" s="506"/>
      <c r="L92" s="331"/>
      <c r="M92" s="506"/>
      <c r="N92" s="506"/>
      <c r="O92" s="506"/>
      <c r="P92" s="506"/>
      <c r="Q92" s="506"/>
      <c r="R92" s="21"/>
      <c r="S92" s="70"/>
      <c r="T92" s="70"/>
      <c r="U92" s="70"/>
      <c r="V92" s="85"/>
      <c r="W92" s="17"/>
      <c r="X92" s="17"/>
    </row>
    <row r="93" spans="4:24" s="1" customFormat="1" x14ac:dyDescent="0.6">
      <c r="D93" s="174"/>
      <c r="E93" s="174"/>
      <c r="F93" s="179"/>
      <c r="G93" s="21"/>
      <c r="H93" s="21"/>
      <c r="I93" s="920"/>
      <c r="J93" s="506"/>
      <c r="K93" s="506"/>
      <c r="L93" s="506"/>
      <c r="M93" s="506"/>
      <c r="N93" s="506"/>
      <c r="O93" s="506"/>
      <c r="P93" s="506"/>
      <c r="Q93" s="506"/>
      <c r="R93" s="156"/>
      <c r="S93" s="70"/>
      <c r="T93" s="70"/>
      <c r="U93" s="70"/>
      <c r="V93" s="85"/>
      <c r="W93" s="17"/>
      <c r="X93" s="17"/>
    </row>
    <row r="94" spans="4:24" s="1" customFormat="1" x14ac:dyDescent="0.6">
      <c r="D94" s="174"/>
      <c r="E94" s="174"/>
      <c r="F94" s="179"/>
      <c r="G94" s="21"/>
      <c r="H94" s="21"/>
      <c r="I94" s="920"/>
      <c r="J94" s="506"/>
      <c r="K94" s="506"/>
      <c r="L94" s="331"/>
      <c r="M94" s="506"/>
      <c r="N94" s="506"/>
      <c r="O94" s="506"/>
      <c r="P94" s="506"/>
      <c r="Q94" s="506"/>
      <c r="R94" s="156"/>
      <c r="S94" s="70"/>
      <c r="T94" s="70"/>
      <c r="U94" s="70"/>
      <c r="V94" s="85"/>
      <c r="W94" s="17"/>
      <c r="X94" s="17"/>
    </row>
    <row r="95" spans="4:24" s="1" customFormat="1" x14ac:dyDescent="0.6">
      <c r="D95" s="174"/>
      <c r="E95" s="174"/>
      <c r="F95" s="179"/>
      <c r="G95" s="21"/>
      <c r="H95" s="21"/>
      <c r="I95" s="920"/>
      <c r="J95" s="506"/>
      <c r="K95" s="506"/>
      <c r="L95" s="821"/>
      <c r="M95" s="506"/>
      <c r="N95" s="506"/>
      <c r="O95" s="506"/>
      <c r="P95" s="506"/>
      <c r="Q95" s="506"/>
      <c r="R95" s="156"/>
      <c r="S95" s="70"/>
      <c r="T95" s="70"/>
      <c r="U95" s="70"/>
      <c r="V95" s="85"/>
      <c r="W95" s="17"/>
      <c r="X95" s="17"/>
    </row>
    <row r="96" spans="4:24" s="1" customFormat="1" x14ac:dyDescent="0.6">
      <c r="D96" s="174"/>
      <c r="E96" s="174"/>
      <c r="F96" s="179"/>
      <c r="G96" s="21"/>
      <c r="H96" s="21"/>
      <c r="I96" s="920"/>
      <c r="J96" s="506"/>
      <c r="K96" s="506"/>
      <c r="L96" s="506"/>
      <c r="M96" s="506"/>
      <c r="N96" s="506"/>
      <c r="O96" s="506"/>
      <c r="P96" s="506"/>
      <c r="Q96" s="506"/>
      <c r="R96" s="156"/>
      <c r="S96" s="70"/>
      <c r="T96" s="70"/>
      <c r="U96" s="70"/>
      <c r="V96" s="85"/>
      <c r="W96" s="17"/>
      <c r="X96" s="17"/>
    </row>
    <row r="97" spans="4:24" s="1" customFormat="1" x14ac:dyDescent="0.6">
      <c r="D97" s="174"/>
      <c r="E97" s="174"/>
      <c r="F97" s="179"/>
      <c r="G97" s="21"/>
      <c r="H97" s="21"/>
      <c r="I97" s="920"/>
      <c r="J97" s="506"/>
      <c r="K97" s="506"/>
      <c r="L97" s="506"/>
      <c r="M97" s="506"/>
      <c r="N97" s="506"/>
      <c r="O97" s="506"/>
      <c r="P97" s="506"/>
      <c r="Q97" s="506"/>
      <c r="R97" s="156"/>
      <c r="S97" s="70"/>
      <c r="T97" s="70"/>
      <c r="U97" s="70"/>
      <c r="V97" s="85"/>
      <c r="W97" s="17"/>
      <c r="X97" s="17"/>
    </row>
    <row r="98" spans="4:24" s="1" customFormat="1" x14ac:dyDescent="0.6">
      <c r="D98" s="174"/>
      <c r="E98" s="174"/>
      <c r="F98" s="179"/>
      <c r="G98" s="21"/>
      <c r="H98" s="21"/>
      <c r="I98" s="920"/>
      <c r="J98" s="506"/>
      <c r="K98" s="506"/>
      <c r="L98" s="506"/>
      <c r="M98" s="506"/>
      <c r="N98" s="506"/>
      <c r="O98" s="506"/>
      <c r="P98" s="506"/>
      <c r="Q98" s="506"/>
      <c r="R98" s="156"/>
      <c r="S98" s="70"/>
      <c r="T98" s="70"/>
      <c r="U98" s="70"/>
      <c r="V98" s="85"/>
      <c r="W98" s="17"/>
      <c r="X98" s="17"/>
    </row>
    <row r="99" spans="4:24" s="1" customFormat="1" x14ac:dyDescent="0.6">
      <c r="D99" s="174"/>
      <c r="E99" s="174"/>
      <c r="F99" s="179"/>
      <c r="G99" s="21"/>
      <c r="H99" s="21"/>
      <c r="I99" s="920"/>
      <c r="J99" s="506"/>
      <c r="K99" s="506"/>
      <c r="L99" s="506"/>
      <c r="M99" s="506"/>
      <c r="N99" s="506"/>
      <c r="O99" s="506"/>
      <c r="P99" s="506"/>
      <c r="Q99" s="506"/>
      <c r="R99" s="156"/>
      <c r="S99" s="70"/>
      <c r="T99" s="70"/>
      <c r="U99" s="70"/>
      <c r="V99" s="85"/>
      <c r="W99" s="17"/>
      <c r="X99" s="17"/>
    </row>
    <row r="100" spans="4:24" s="1" customFormat="1" x14ac:dyDescent="0.6">
      <c r="D100" s="174"/>
      <c r="E100" s="174"/>
      <c r="F100" s="179"/>
      <c r="G100" s="21"/>
      <c r="H100" s="21"/>
      <c r="I100" s="920"/>
      <c r="J100" s="506"/>
      <c r="K100" s="506"/>
      <c r="L100" s="506"/>
      <c r="M100" s="506"/>
      <c r="N100" s="506"/>
      <c r="O100" s="506"/>
      <c r="P100" s="506"/>
      <c r="Q100" s="506"/>
      <c r="R100" s="156"/>
      <c r="S100" s="70"/>
      <c r="T100" s="70"/>
      <c r="U100" s="70"/>
      <c r="V100" s="85"/>
      <c r="W100" s="17"/>
      <c r="X100" s="17"/>
    </row>
    <row r="101" spans="4:24" s="1" customFormat="1" x14ac:dyDescent="0.6">
      <c r="D101" s="174"/>
      <c r="E101" s="174"/>
      <c r="F101" s="179"/>
      <c r="G101" s="21"/>
      <c r="H101" s="21"/>
      <c r="I101" s="920"/>
      <c r="J101" s="506"/>
      <c r="K101" s="506"/>
      <c r="L101" s="506"/>
      <c r="M101" s="506"/>
      <c r="N101" s="506"/>
      <c r="O101" s="506"/>
      <c r="P101" s="506"/>
      <c r="Q101" s="506"/>
      <c r="R101" s="156"/>
      <c r="S101" s="70"/>
      <c r="T101" s="70"/>
      <c r="U101" s="70"/>
      <c r="V101" s="85"/>
      <c r="W101" s="17"/>
      <c r="X101" s="17"/>
    </row>
    <row r="102" spans="4:24" s="1" customFormat="1" x14ac:dyDescent="0.6">
      <c r="D102" s="174"/>
      <c r="E102" s="174"/>
      <c r="F102" s="179"/>
      <c r="G102" s="21"/>
      <c r="H102" s="21"/>
      <c r="I102" s="920"/>
      <c r="J102" s="506"/>
      <c r="K102" s="506"/>
      <c r="L102" s="506"/>
      <c r="M102" s="506"/>
      <c r="N102" s="506"/>
      <c r="O102" s="506"/>
      <c r="P102" s="506"/>
      <c r="Q102" s="506"/>
      <c r="R102" s="156"/>
      <c r="S102" s="70"/>
      <c r="T102" s="70"/>
      <c r="U102" s="70"/>
      <c r="V102" s="85"/>
      <c r="W102" s="17"/>
      <c r="X102" s="17"/>
    </row>
    <row r="103" spans="4:24" s="1" customFormat="1" x14ac:dyDescent="0.6">
      <c r="D103" s="174"/>
      <c r="E103" s="174"/>
      <c r="F103" s="179"/>
      <c r="G103" s="21"/>
      <c r="H103" s="21"/>
      <c r="I103" s="920"/>
      <c r="J103" s="506"/>
      <c r="K103" s="506"/>
      <c r="L103" s="506"/>
      <c r="M103" s="506"/>
      <c r="N103" s="506"/>
      <c r="O103" s="506"/>
      <c r="P103" s="506"/>
      <c r="Q103" s="506"/>
      <c r="R103" s="156"/>
      <c r="S103" s="70"/>
      <c r="T103" s="70"/>
      <c r="U103" s="70"/>
      <c r="V103" s="85"/>
      <c r="W103" s="17"/>
      <c r="X103" s="17"/>
    </row>
    <row r="104" spans="4:24" s="1" customFormat="1" x14ac:dyDescent="0.6">
      <c r="D104" s="174"/>
      <c r="E104" s="174"/>
      <c r="F104" s="179"/>
      <c r="G104" s="21"/>
      <c r="H104" s="21"/>
      <c r="I104" s="920"/>
      <c r="J104" s="506"/>
      <c r="K104" s="506"/>
      <c r="L104" s="506"/>
      <c r="M104" s="506"/>
      <c r="N104" s="506"/>
      <c r="O104" s="506"/>
      <c r="P104" s="506"/>
      <c r="Q104" s="506"/>
      <c r="R104" s="156"/>
      <c r="S104" s="70"/>
      <c r="T104" s="70"/>
      <c r="U104" s="70"/>
      <c r="V104" s="85"/>
      <c r="W104" s="17"/>
      <c r="X104" s="17"/>
    </row>
    <row r="105" spans="4:24" s="1" customFormat="1" x14ac:dyDescent="0.6">
      <c r="D105" s="174"/>
      <c r="E105" s="174"/>
      <c r="F105" s="179"/>
      <c r="G105" s="21"/>
      <c r="H105" s="21"/>
      <c r="I105" s="920"/>
      <c r="J105" s="506"/>
      <c r="K105" s="506"/>
      <c r="L105" s="506"/>
      <c r="M105" s="506"/>
      <c r="N105" s="506"/>
      <c r="O105" s="506"/>
      <c r="P105" s="506"/>
      <c r="Q105" s="506"/>
      <c r="R105" s="156"/>
      <c r="S105" s="70"/>
      <c r="T105" s="70"/>
      <c r="U105" s="70"/>
      <c r="V105" s="85"/>
      <c r="W105" s="17"/>
      <c r="X105" s="17"/>
    </row>
    <row r="106" spans="4:24" s="1" customFormat="1" x14ac:dyDescent="0.6">
      <c r="D106" s="174"/>
      <c r="E106" s="174"/>
      <c r="F106" s="179"/>
      <c r="G106" s="21"/>
      <c r="H106" s="21"/>
      <c r="I106" s="920"/>
      <c r="J106" s="506"/>
      <c r="K106" s="506"/>
      <c r="L106" s="506"/>
      <c r="M106" s="506"/>
      <c r="N106" s="506"/>
      <c r="O106" s="506"/>
      <c r="P106" s="506"/>
      <c r="Q106" s="506"/>
      <c r="R106" s="156"/>
      <c r="S106" s="70"/>
      <c r="T106" s="70"/>
      <c r="U106" s="70"/>
      <c r="V106" s="85"/>
      <c r="W106" s="17"/>
      <c r="X106" s="17"/>
    </row>
    <row r="107" spans="4:24" s="1" customFormat="1" x14ac:dyDescent="0.6">
      <c r="D107" s="174"/>
      <c r="E107" s="174"/>
      <c r="F107" s="179"/>
      <c r="G107" s="21"/>
      <c r="H107" s="21"/>
      <c r="I107" s="920"/>
      <c r="J107" s="506"/>
      <c r="K107" s="506"/>
      <c r="L107" s="506"/>
      <c r="M107" s="506"/>
      <c r="N107" s="506"/>
      <c r="O107" s="506"/>
      <c r="P107" s="506"/>
      <c r="Q107" s="506"/>
      <c r="R107" s="156"/>
      <c r="S107" s="70"/>
      <c r="T107" s="70"/>
      <c r="U107" s="70"/>
      <c r="V107" s="85"/>
      <c r="W107" s="17"/>
      <c r="X107" s="17"/>
    </row>
    <row r="108" spans="4:24" s="1" customFormat="1" x14ac:dyDescent="0.6">
      <c r="D108" s="174"/>
      <c r="E108" s="174"/>
      <c r="F108" s="179"/>
      <c r="G108" s="21"/>
      <c r="H108" s="21"/>
      <c r="I108" s="920"/>
      <c r="J108" s="506"/>
      <c r="K108" s="506"/>
      <c r="L108" s="506"/>
      <c r="M108" s="506"/>
      <c r="N108" s="506"/>
      <c r="O108" s="506"/>
      <c r="P108" s="506"/>
      <c r="Q108" s="506"/>
      <c r="R108" s="156"/>
      <c r="S108" s="70"/>
      <c r="T108" s="70"/>
      <c r="U108" s="70"/>
      <c r="V108" s="85"/>
      <c r="W108" s="17"/>
      <c r="X108" s="17"/>
    </row>
    <row r="109" spans="4:24" s="1" customFormat="1" x14ac:dyDescent="0.6">
      <c r="D109" s="174"/>
      <c r="E109" s="174"/>
      <c r="F109" s="179"/>
      <c r="G109" s="21"/>
      <c r="H109" s="21"/>
      <c r="I109" s="920"/>
      <c r="J109" s="506"/>
      <c r="K109" s="506"/>
      <c r="L109" s="506"/>
      <c r="M109" s="506"/>
      <c r="N109" s="506"/>
      <c r="O109" s="506"/>
      <c r="P109" s="506"/>
      <c r="Q109" s="506"/>
      <c r="R109" s="156"/>
      <c r="S109" s="70"/>
      <c r="T109" s="70"/>
      <c r="U109" s="70"/>
      <c r="V109" s="85"/>
      <c r="W109" s="17"/>
      <c r="X109" s="17"/>
    </row>
    <row r="110" spans="4:24" s="1" customFormat="1" x14ac:dyDescent="0.6">
      <c r="D110" s="174"/>
      <c r="E110" s="174"/>
      <c r="F110" s="179"/>
      <c r="G110" s="21"/>
      <c r="H110" s="21"/>
      <c r="I110" s="920"/>
      <c r="J110" s="506"/>
      <c r="K110" s="506"/>
      <c r="L110" s="506"/>
      <c r="M110" s="506"/>
      <c r="N110" s="506"/>
      <c r="O110" s="506"/>
      <c r="P110" s="506"/>
      <c r="Q110" s="506"/>
      <c r="R110" s="156"/>
      <c r="S110" s="70"/>
      <c r="T110" s="70"/>
      <c r="U110" s="70"/>
      <c r="V110" s="85"/>
      <c r="W110" s="17"/>
      <c r="X110" s="17"/>
    </row>
    <row r="111" spans="4:24" s="1" customFormat="1" x14ac:dyDescent="0.6">
      <c r="D111" s="174"/>
      <c r="E111" s="174"/>
      <c r="F111" s="179"/>
      <c r="G111" s="21"/>
      <c r="H111" s="21"/>
      <c r="I111" s="920"/>
      <c r="J111" s="506"/>
      <c r="K111" s="506"/>
      <c r="L111" s="506"/>
      <c r="M111" s="506"/>
      <c r="N111" s="506"/>
      <c r="O111" s="506"/>
      <c r="P111" s="506"/>
      <c r="Q111" s="506"/>
      <c r="R111" s="156"/>
      <c r="S111" s="70"/>
      <c r="T111" s="70"/>
      <c r="U111" s="70"/>
      <c r="V111" s="85"/>
      <c r="W111" s="17"/>
      <c r="X111" s="17"/>
    </row>
    <row r="112" spans="4:24" s="1" customFormat="1" x14ac:dyDescent="0.6">
      <c r="D112" s="174"/>
      <c r="E112" s="174"/>
      <c r="F112" s="179"/>
      <c r="G112" s="21"/>
      <c r="H112" s="21"/>
      <c r="I112" s="920"/>
      <c r="J112" s="506"/>
      <c r="K112" s="506"/>
      <c r="L112" s="506"/>
      <c r="M112" s="506"/>
      <c r="N112" s="506"/>
      <c r="O112" s="506"/>
      <c r="P112" s="506"/>
      <c r="Q112" s="506"/>
      <c r="R112" s="156"/>
      <c r="S112" s="70"/>
      <c r="T112" s="70"/>
      <c r="U112" s="70"/>
      <c r="V112" s="85"/>
      <c r="W112" s="17"/>
      <c r="X112" s="17"/>
    </row>
    <row r="113" spans="4:24" s="1" customFormat="1" x14ac:dyDescent="0.6">
      <c r="D113" s="174"/>
      <c r="E113" s="174"/>
      <c r="F113" s="179"/>
      <c r="G113" s="21"/>
      <c r="H113" s="21"/>
      <c r="I113" s="920"/>
      <c r="J113" s="506"/>
      <c r="K113" s="506"/>
      <c r="L113" s="506"/>
      <c r="M113" s="506"/>
      <c r="N113" s="506"/>
      <c r="O113" s="506"/>
      <c r="P113" s="506"/>
      <c r="Q113" s="506"/>
      <c r="R113" s="156"/>
      <c r="S113" s="70"/>
      <c r="T113" s="70"/>
      <c r="U113" s="70"/>
      <c r="V113" s="85"/>
      <c r="W113" s="17"/>
      <c r="X113" s="17"/>
    </row>
    <row r="114" spans="4:24" s="1" customFormat="1" x14ac:dyDescent="0.6">
      <c r="D114" s="174"/>
      <c r="E114" s="174"/>
      <c r="F114" s="179"/>
      <c r="G114" s="21"/>
      <c r="H114" s="21"/>
      <c r="I114" s="920"/>
      <c r="J114" s="506"/>
      <c r="K114" s="506"/>
      <c r="L114" s="506"/>
      <c r="M114" s="506"/>
      <c r="N114" s="506"/>
      <c r="O114" s="506"/>
      <c r="P114" s="506"/>
      <c r="Q114" s="506"/>
      <c r="R114" s="156"/>
      <c r="S114" s="70"/>
      <c r="T114" s="70"/>
      <c r="U114" s="70"/>
      <c r="V114" s="85"/>
      <c r="W114" s="17"/>
      <c r="X114" s="17"/>
    </row>
    <row r="115" spans="4:24" s="1" customFormat="1" x14ac:dyDescent="0.6">
      <c r="D115" s="174"/>
      <c r="E115" s="174"/>
      <c r="F115" s="179"/>
      <c r="G115" s="21"/>
      <c r="H115" s="21"/>
      <c r="I115" s="920"/>
      <c r="J115" s="506"/>
      <c r="K115" s="506"/>
      <c r="L115" s="506"/>
      <c r="M115" s="506"/>
      <c r="N115" s="506"/>
      <c r="O115" s="506"/>
      <c r="P115" s="506"/>
      <c r="Q115" s="506"/>
      <c r="R115" s="156"/>
      <c r="S115" s="70"/>
      <c r="T115" s="70"/>
      <c r="U115" s="70"/>
      <c r="V115" s="85"/>
      <c r="W115" s="17"/>
      <c r="X115" s="17"/>
    </row>
    <row r="116" spans="4:24" s="1" customFormat="1" x14ac:dyDescent="0.6">
      <c r="D116" s="174"/>
      <c r="E116" s="174"/>
      <c r="F116" s="179"/>
      <c r="G116" s="21"/>
      <c r="H116" s="21"/>
      <c r="I116" s="920"/>
      <c r="J116" s="506"/>
      <c r="K116" s="506"/>
      <c r="L116" s="506"/>
      <c r="M116" s="506"/>
      <c r="N116" s="506"/>
      <c r="O116" s="506"/>
      <c r="P116" s="506"/>
      <c r="Q116" s="506"/>
      <c r="R116" s="156"/>
      <c r="S116" s="70"/>
      <c r="T116" s="70"/>
      <c r="U116" s="70"/>
      <c r="V116" s="85"/>
      <c r="W116" s="17"/>
      <c r="X116" s="17"/>
    </row>
    <row r="117" spans="4:24" s="1" customFormat="1" x14ac:dyDescent="0.6">
      <c r="D117" s="174"/>
      <c r="E117" s="174"/>
      <c r="F117" s="179"/>
      <c r="G117" s="21"/>
      <c r="H117" s="21"/>
      <c r="I117" s="920"/>
      <c r="J117" s="506"/>
      <c r="K117" s="506"/>
      <c r="L117" s="506"/>
      <c r="M117" s="506"/>
      <c r="N117" s="506"/>
      <c r="O117" s="506"/>
      <c r="P117" s="506"/>
      <c r="Q117" s="506"/>
      <c r="R117" s="156"/>
      <c r="S117" s="70"/>
      <c r="T117" s="70"/>
      <c r="U117" s="70"/>
      <c r="V117" s="85"/>
      <c r="W117" s="17"/>
      <c r="X117" s="17"/>
    </row>
    <row r="118" spans="4:24" s="1" customFormat="1" x14ac:dyDescent="0.6">
      <c r="D118" s="174"/>
      <c r="E118" s="174"/>
      <c r="F118" s="179"/>
      <c r="G118" s="21"/>
      <c r="H118" s="21"/>
      <c r="I118" s="920"/>
      <c r="J118" s="506"/>
      <c r="K118" s="506"/>
      <c r="L118" s="506"/>
      <c r="M118" s="506"/>
      <c r="N118" s="506"/>
      <c r="O118" s="506"/>
      <c r="P118" s="506"/>
      <c r="Q118" s="506"/>
      <c r="R118" s="156"/>
      <c r="S118" s="70"/>
      <c r="T118" s="70"/>
      <c r="U118" s="70"/>
      <c r="V118" s="85"/>
      <c r="W118" s="17"/>
      <c r="X118" s="17"/>
    </row>
    <row r="119" spans="4:24" s="1" customFormat="1" x14ac:dyDescent="0.6">
      <c r="D119" s="174"/>
      <c r="E119" s="174"/>
      <c r="F119" s="179"/>
      <c r="G119" s="21"/>
      <c r="H119" s="21"/>
      <c r="I119" s="920"/>
      <c r="J119" s="506"/>
      <c r="K119" s="506"/>
      <c r="L119" s="506"/>
      <c r="M119" s="506"/>
      <c r="N119" s="506"/>
      <c r="O119" s="506"/>
      <c r="P119" s="506"/>
      <c r="Q119" s="506"/>
      <c r="R119" s="156"/>
      <c r="S119" s="70"/>
      <c r="T119" s="70"/>
      <c r="U119" s="70"/>
      <c r="V119" s="85"/>
      <c r="W119" s="17"/>
      <c r="X119" s="17"/>
    </row>
    <row r="120" spans="4:24" s="1" customFormat="1" x14ac:dyDescent="0.6">
      <c r="D120" s="174"/>
      <c r="E120" s="174"/>
      <c r="F120" s="179"/>
      <c r="G120" s="21"/>
      <c r="H120" s="21"/>
      <c r="I120" s="920"/>
      <c r="J120" s="506"/>
      <c r="K120" s="506"/>
      <c r="L120" s="506"/>
      <c r="M120" s="506"/>
      <c r="N120" s="506"/>
      <c r="O120" s="506"/>
      <c r="P120" s="506"/>
      <c r="Q120" s="506"/>
      <c r="R120" s="156"/>
      <c r="S120" s="70"/>
      <c r="T120" s="70"/>
      <c r="U120" s="70"/>
      <c r="V120" s="85"/>
      <c r="W120" s="17"/>
      <c r="X120" s="17"/>
    </row>
    <row r="121" spans="4:24" s="1" customFormat="1" x14ac:dyDescent="0.6">
      <c r="D121" s="174"/>
      <c r="E121" s="174"/>
      <c r="F121" s="179"/>
      <c r="G121" s="21"/>
      <c r="H121" s="21"/>
      <c r="I121" s="920"/>
      <c r="J121" s="506"/>
      <c r="K121" s="506"/>
      <c r="L121" s="506"/>
      <c r="M121" s="506"/>
      <c r="N121" s="506"/>
      <c r="O121" s="506"/>
      <c r="P121" s="506"/>
      <c r="Q121" s="506"/>
      <c r="R121" s="156"/>
      <c r="S121" s="70"/>
      <c r="T121" s="70"/>
      <c r="U121" s="70"/>
      <c r="V121" s="85"/>
      <c r="W121" s="17"/>
      <c r="X121" s="17"/>
    </row>
    <row r="122" spans="4:24" s="1" customFormat="1" x14ac:dyDescent="0.6">
      <c r="D122" s="174"/>
      <c r="E122" s="174"/>
      <c r="F122" s="179"/>
      <c r="G122" s="21"/>
      <c r="H122" s="21"/>
      <c r="I122" s="920"/>
      <c r="J122" s="506"/>
      <c r="K122" s="506"/>
      <c r="L122" s="506"/>
      <c r="M122" s="506"/>
      <c r="N122" s="506"/>
      <c r="O122" s="506"/>
      <c r="P122" s="506"/>
      <c r="Q122" s="506"/>
      <c r="R122" s="156"/>
      <c r="S122" s="70"/>
      <c r="T122" s="70"/>
      <c r="U122" s="70"/>
      <c r="V122" s="85"/>
      <c r="W122" s="17"/>
      <c r="X122" s="17"/>
    </row>
    <row r="123" spans="4:24" s="1" customFormat="1" x14ac:dyDescent="0.6">
      <c r="D123" s="174"/>
      <c r="E123" s="174"/>
      <c r="F123" s="179"/>
      <c r="G123" s="21"/>
      <c r="H123" s="21"/>
      <c r="I123" s="920"/>
      <c r="J123" s="506"/>
      <c r="K123" s="506"/>
      <c r="L123" s="506"/>
      <c r="M123" s="506"/>
      <c r="N123" s="506"/>
      <c r="O123" s="506"/>
      <c r="P123" s="506"/>
      <c r="Q123" s="506"/>
      <c r="R123" s="156"/>
      <c r="S123" s="70"/>
      <c r="T123" s="70"/>
      <c r="U123" s="70"/>
      <c r="V123" s="85"/>
      <c r="W123" s="17"/>
      <c r="X123" s="17"/>
    </row>
    <row r="124" spans="4:24" s="1" customFormat="1" x14ac:dyDescent="0.6">
      <c r="D124" s="174"/>
      <c r="E124" s="174"/>
      <c r="F124" s="179"/>
      <c r="G124" s="21"/>
      <c r="H124" s="21"/>
      <c r="I124" s="920"/>
      <c r="J124" s="506"/>
      <c r="K124" s="506"/>
      <c r="L124" s="506"/>
      <c r="M124" s="506"/>
      <c r="N124" s="506"/>
      <c r="O124" s="506"/>
      <c r="P124" s="506"/>
      <c r="Q124" s="506"/>
      <c r="R124" s="156"/>
      <c r="S124" s="70"/>
      <c r="T124" s="70"/>
      <c r="U124" s="70"/>
      <c r="V124" s="85"/>
      <c r="W124" s="17"/>
      <c r="X124" s="17"/>
    </row>
    <row r="125" spans="4:24" s="1" customFormat="1" x14ac:dyDescent="0.6">
      <c r="D125" s="174"/>
      <c r="E125" s="174"/>
      <c r="F125" s="179"/>
      <c r="G125" s="21"/>
      <c r="H125" s="21"/>
      <c r="I125" s="920"/>
      <c r="J125" s="506"/>
      <c r="K125" s="506"/>
      <c r="L125" s="506"/>
      <c r="M125" s="506"/>
      <c r="N125" s="506"/>
      <c r="O125" s="506"/>
      <c r="P125" s="506"/>
      <c r="Q125" s="506"/>
      <c r="R125" s="156"/>
      <c r="S125" s="70"/>
      <c r="T125" s="70"/>
      <c r="U125" s="70"/>
      <c r="V125" s="85"/>
      <c r="W125" s="17"/>
      <c r="X125" s="17"/>
    </row>
    <row r="126" spans="4:24" s="1" customFormat="1" x14ac:dyDescent="0.6">
      <c r="D126" s="174"/>
      <c r="E126" s="174"/>
      <c r="F126" s="179"/>
      <c r="G126" s="21"/>
      <c r="H126" s="21"/>
      <c r="I126" s="920"/>
      <c r="J126" s="506"/>
      <c r="K126" s="506"/>
      <c r="L126" s="506"/>
      <c r="M126" s="506"/>
      <c r="N126" s="506"/>
      <c r="O126" s="506"/>
      <c r="P126" s="506"/>
      <c r="Q126" s="506"/>
      <c r="R126" s="156"/>
      <c r="S126" s="70"/>
      <c r="T126" s="70"/>
      <c r="U126" s="70"/>
      <c r="V126" s="85"/>
      <c r="W126" s="17"/>
      <c r="X126" s="17"/>
    </row>
    <row r="127" spans="4:24" s="1" customFormat="1" x14ac:dyDescent="0.6">
      <c r="D127" s="174"/>
      <c r="E127" s="174"/>
      <c r="F127" s="179"/>
      <c r="G127" s="21"/>
      <c r="H127" s="21"/>
      <c r="I127" s="920"/>
      <c r="J127" s="506"/>
      <c r="K127" s="506"/>
      <c r="L127" s="506"/>
      <c r="M127" s="506"/>
      <c r="N127" s="506"/>
      <c r="O127" s="506"/>
      <c r="P127" s="506"/>
      <c r="Q127" s="506"/>
      <c r="R127" s="156"/>
      <c r="S127" s="70"/>
      <c r="T127" s="70"/>
      <c r="U127" s="70"/>
      <c r="V127" s="85"/>
      <c r="W127" s="17"/>
      <c r="X127" s="17"/>
    </row>
    <row r="128" spans="4:24" s="1" customFormat="1" x14ac:dyDescent="0.6">
      <c r="D128" s="174"/>
      <c r="E128" s="174"/>
      <c r="F128" s="179"/>
      <c r="G128" s="21"/>
      <c r="H128" s="21"/>
      <c r="I128" s="920"/>
      <c r="J128" s="506"/>
      <c r="K128" s="506"/>
      <c r="L128" s="506"/>
      <c r="M128" s="506"/>
      <c r="N128" s="506"/>
      <c r="O128" s="506"/>
      <c r="P128" s="506"/>
      <c r="Q128" s="506"/>
      <c r="R128" s="156"/>
      <c r="S128" s="70"/>
      <c r="T128" s="70"/>
      <c r="U128" s="70"/>
      <c r="V128" s="85"/>
      <c r="W128" s="17"/>
      <c r="X128" s="17"/>
    </row>
    <row r="129" spans="4:24" s="1" customFormat="1" x14ac:dyDescent="0.6">
      <c r="D129" s="174"/>
      <c r="E129" s="174"/>
      <c r="F129" s="179"/>
      <c r="G129" s="21"/>
      <c r="H129" s="21"/>
      <c r="I129" s="920"/>
      <c r="J129" s="506"/>
      <c r="K129" s="506"/>
      <c r="L129" s="506"/>
      <c r="M129" s="506"/>
      <c r="N129" s="506"/>
      <c r="O129" s="506"/>
      <c r="P129" s="506"/>
      <c r="Q129" s="506"/>
      <c r="R129" s="156"/>
      <c r="S129" s="70"/>
      <c r="T129" s="70"/>
      <c r="U129" s="70"/>
      <c r="V129" s="85"/>
      <c r="W129" s="17"/>
      <c r="X129" s="17"/>
    </row>
    <row r="130" spans="4:24" s="1" customFormat="1" x14ac:dyDescent="0.6">
      <c r="D130" s="174"/>
      <c r="E130" s="174"/>
      <c r="F130" s="179"/>
      <c r="G130" s="21"/>
      <c r="H130" s="21"/>
      <c r="I130" s="920"/>
      <c r="J130" s="506"/>
      <c r="K130" s="506"/>
      <c r="L130" s="506"/>
      <c r="M130" s="506"/>
      <c r="N130" s="506"/>
      <c r="O130" s="506"/>
      <c r="P130" s="506"/>
      <c r="Q130" s="506"/>
      <c r="R130" s="156"/>
      <c r="S130" s="70"/>
      <c r="T130" s="70"/>
      <c r="U130" s="70"/>
      <c r="V130" s="85"/>
      <c r="W130" s="17"/>
      <c r="X130" s="17"/>
    </row>
    <row r="131" spans="4:24" s="1" customFormat="1" x14ac:dyDescent="0.6">
      <c r="D131" s="174"/>
      <c r="E131" s="174"/>
      <c r="F131" s="179"/>
      <c r="G131" s="21"/>
      <c r="H131" s="21"/>
      <c r="I131" s="920"/>
      <c r="J131" s="506"/>
      <c r="K131" s="506"/>
      <c r="L131" s="506"/>
      <c r="M131" s="506"/>
      <c r="N131" s="506"/>
      <c r="O131" s="506"/>
      <c r="P131" s="506"/>
      <c r="Q131" s="506"/>
      <c r="R131" s="156"/>
      <c r="S131" s="70"/>
      <c r="T131" s="70"/>
      <c r="U131" s="70"/>
      <c r="V131" s="85"/>
      <c r="W131" s="17"/>
      <c r="X131" s="17"/>
    </row>
  </sheetData>
  <sortState xmlns:xlrd2="http://schemas.microsoft.com/office/spreadsheetml/2017/richdata2" ref="D62:E71">
    <sortCondition descending="1" ref="E62:E71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2.84765625" style="1" customWidth="1"/>
    <col min="3" max="3" width="11.59765625" style="21" bestFit="1" customWidth="1"/>
    <col min="4" max="6" width="11.59765625" style="21" customWidth="1"/>
    <col min="7" max="7" width="16.84765625" style="88" customWidth="1"/>
    <col min="8" max="8" width="11.84765625" style="21" customWidth="1"/>
    <col min="9" max="9" width="8.09765625" style="28" customWidth="1"/>
    <col min="10" max="10" width="10.59765625" style="13" customWidth="1"/>
    <col min="11" max="11" width="17.34765625" style="13" customWidth="1"/>
    <col min="12" max="12" width="13.34765625" style="55" customWidth="1"/>
    <col min="13" max="13" width="8.59765625" style="5" customWidth="1"/>
    <col min="14" max="14" width="11.5" style="85" customWidth="1"/>
    <col min="15" max="15" width="11.09765625" style="506" customWidth="1"/>
    <col min="16" max="16" width="16" style="271" bestFit="1" customWidth="1"/>
    <col min="17" max="17" width="10" style="416" customWidth="1"/>
    <col min="18" max="18" width="9.34765625" style="506" customWidth="1"/>
    <col min="19" max="19" width="9.5" style="28" customWidth="1"/>
    <col min="20" max="20" width="9.5" style="330" customWidth="1"/>
    <col min="21" max="22" width="9.5" style="10" customWidth="1"/>
    <col min="23" max="23" width="16.5" style="17" customWidth="1"/>
    <col min="24" max="24" width="9.5" style="271" customWidth="1"/>
    <col min="25" max="25" width="15" style="271" bestFit="1" customWidth="1"/>
    <col min="26" max="26" width="7.84765625" style="10" bestFit="1" customWidth="1"/>
    <col min="27" max="27" width="15" style="70" customWidth="1"/>
    <col min="28" max="28" width="14" style="53" customWidth="1"/>
    <col min="29" max="29" width="12.34765625" style="53" customWidth="1"/>
    <col min="30" max="30" width="19.84765625" style="527" customWidth="1"/>
    <col min="31" max="31" width="10.59765625" style="10" bestFit="1" customWidth="1"/>
    <col min="32" max="32" width="18.5" style="17" bestFit="1" customWidth="1"/>
    <col min="33" max="33" width="18.5" bestFit="1" customWidth="1"/>
    <col min="34" max="16384" width="10.84765625" style="1"/>
  </cols>
  <sheetData>
    <row r="1" spans="1:33" x14ac:dyDescent="0.6">
      <c r="A1" s="24" t="s">
        <v>598</v>
      </c>
      <c r="C1" s="496">
        <v>2015</v>
      </c>
      <c r="J1" s="81"/>
      <c r="K1" s="14" t="s">
        <v>196</v>
      </c>
      <c r="L1" s="64"/>
      <c r="AD1" s="415">
        <f>SUM(AD7:AD33)-AD12-AD33</f>
        <v>4211448988.1118441</v>
      </c>
      <c r="AG1" s="1"/>
    </row>
    <row r="2" spans="1:33" s="2" customFormat="1" x14ac:dyDescent="0.6">
      <c r="C2" s="64" t="s">
        <v>42</v>
      </c>
      <c r="D2" s="64"/>
      <c r="E2" s="64"/>
      <c r="F2" s="64"/>
      <c r="G2" s="492" t="s">
        <v>123</v>
      </c>
      <c r="H2" s="501"/>
      <c r="I2" s="71"/>
      <c r="J2" s="14" t="s">
        <v>128</v>
      </c>
      <c r="K2" s="14" t="s">
        <v>597</v>
      </c>
      <c r="L2" s="56"/>
      <c r="M2" s="6" t="s">
        <v>124</v>
      </c>
      <c r="N2" s="508" t="s">
        <v>638</v>
      </c>
      <c r="O2" s="508" t="s">
        <v>638</v>
      </c>
      <c r="P2" s="272" t="s">
        <v>42</v>
      </c>
      <c r="Q2" s="507" t="s">
        <v>627</v>
      </c>
      <c r="R2" s="508" t="s">
        <v>627</v>
      </c>
      <c r="S2" s="71" t="s">
        <v>194</v>
      </c>
      <c r="T2" s="497" t="s">
        <v>194</v>
      </c>
      <c r="U2" s="11" t="s">
        <v>194</v>
      </c>
      <c r="V2" s="11" t="s">
        <v>650</v>
      </c>
      <c r="W2" s="18" t="s">
        <v>397</v>
      </c>
      <c r="X2" s="272" t="s">
        <v>881</v>
      </c>
      <c r="Y2" s="272" t="s">
        <v>1747</v>
      </c>
      <c r="Z2" s="11" t="s">
        <v>1623</v>
      </c>
      <c r="AA2" s="114"/>
      <c r="AB2" s="114" t="s">
        <v>123</v>
      </c>
      <c r="AC2" s="114" t="s">
        <v>42</v>
      </c>
      <c r="AD2" s="528"/>
      <c r="AE2" s="11" t="s">
        <v>645</v>
      </c>
      <c r="AF2" s="18"/>
    </row>
    <row r="3" spans="1:33" s="2" customFormat="1" x14ac:dyDescent="0.6">
      <c r="C3" s="64" t="s">
        <v>132</v>
      </c>
      <c r="D3" s="64" t="s">
        <v>131</v>
      </c>
      <c r="E3" s="64" t="s">
        <v>196</v>
      </c>
      <c r="F3" s="64" t="s">
        <v>100</v>
      </c>
      <c r="G3" s="492" t="s">
        <v>133</v>
      </c>
      <c r="H3" s="64" t="s">
        <v>134</v>
      </c>
      <c r="I3" s="71" t="s">
        <v>135</v>
      </c>
      <c r="J3" s="14" t="s">
        <v>682</v>
      </c>
      <c r="K3" s="14" t="s">
        <v>128</v>
      </c>
      <c r="L3" s="56" t="s">
        <v>41</v>
      </c>
      <c r="M3" s="6" t="s">
        <v>674</v>
      </c>
      <c r="N3" s="508" t="s">
        <v>648</v>
      </c>
      <c r="O3" s="508" t="s">
        <v>639</v>
      </c>
      <c r="P3" s="272" t="s">
        <v>1684</v>
      </c>
      <c r="Q3" s="507" t="s">
        <v>683</v>
      </c>
      <c r="R3" s="508" t="s">
        <v>606</v>
      </c>
      <c r="S3" s="71" t="s">
        <v>84</v>
      </c>
      <c r="T3" s="497" t="s">
        <v>651</v>
      </c>
      <c r="U3" s="11" t="s">
        <v>652</v>
      </c>
      <c r="V3" s="11" t="s">
        <v>403</v>
      </c>
      <c r="W3" s="18" t="s">
        <v>85</v>
      </c>
      <c r="X3" s="272" t="s">
        <v>79</v>
      </c>
      <c r="Y3" s="272" t="s">
        <v>85</v>
      </c>
      <c r="Z3" s="11" t="s">
        <v>198</v>
      </c>
      <c r="AA3" s="114" t="s">
        <v>602</v>
      </c>
      <c r="AB3" s="114" t="s">
        <v>76</v>
      </c>
      <c r="AC3" s="114" t="s">
        <v>77</v>
      </c>
      <c r="AD3" s="528" t="s">
        <v>34</v>
      </c>
      <c r="AE3" s="11" t="s">
        <v>639</v>
      </c>
      <c r="AF3" s="18" t="s">
        <v>642</v>
      </c>
    </row>
    <row r="4" spans="1:33" x14ac:dyDescent="0.6">
      <c r="A4" s="61">
        <v>1</v>
      </c>
      <c r="B4" s="44" t="s">
        <v>37</v>
      </c>
      <c r="C4" s="290">
        <v>3780836</v>
      </c>
      <c r="D4" s="290">
        <v>1401616</v>
      </c>
      <c r="E4" s="290">
        <v>1359480</v>
      </c>
      <c r="F4" s="348">
        <f>C4-D4-E4</f>
        <v>1019740</v>
      </c>
      <c r="G4" s="504">
        <v>4317159</v>
      </c>
      <c r="H4" s="66">
        <f>1470997+38837+1372570</f>
        <v>2882404</v>
      </c>
      <c r="I4" s="79">
        <f>H4/G4</f>
        <v>0.66766222879444559</v>
      </c>
      <c r="J4" s="26">
        <f>Assumptions!$C$62</f>
        <v>27296</v>
      </c>
      <c r="K4" s="26">
        <f>E4*I4*J4</f>
        <v>24775854403.893005</v>
      </c>
      <c r="L4" s="399">
        <v>1</v>
      </c>
      <c r="M4" s="852">
        <f>Assumptions!$C$64</f>
        <v>3.6635404454865184E-2</v>
      </c>
      <c r="N4" s="861"/>
      <c r="O4" s="458">
        <f>'State Elec Comm'!U66</f>
        <v>3.6118140051640046</v>
      </c>
      <c r="P4" s="1047">
        <f>O4*K4</f>
        <v>89485777925.88504</v>
      </c>
      <c r="Q4" s="509"/>
      <c r="R4" s="306"/>
      <c r="S4" s="361"/>
      <c r="T4" s="362"/>
      <c r="U4" s="320"/>
      <c r="V4" s="320"/>
      <c r="W4" s="847">
        <f>'State Elec Comm'!U63*K4</f>
        <v>6487173442.0043316</v>
      </c>
      <c r="X4" s="1460">
        <f>'State Elec Comm'!U62</f>
        <v>0.2859388797995393</v>
      </c>
      <c r="Y4" s="1047">
        <f>X4*K4</f>
        <v>7084380054.3256483</v>
      </c>
      <c r="Z4" s="881">
        <f>'State Elec Comm'!U64</f>
        <v>2.4104380118874058E-2</v>
      </c>
      <c r="AA4" s="366">
        <f>Z4*K4</f>
        <v>597206612.32131684</v>
      </c>
      <c r="AB4" s="336">
        <f>-'OECD electricity subsidies'!D3</f>
        <v>-168309308.5</v>
      </c>
      <c r="AC4" s="342">
        <f>AB4*L4</f>
        <v>-168309308.5</v>
      </c>
      <c r="AD4" s="849">
        <f>AA4+AC4</f>
        <v>428897303.82131684</v>
      </c>
      <c r="AE4" s="320">
        <f>'State Elec Comm'!U67</f>
        <v>3.8977528849635439</v>
      </c>
      <c r="AF4" s="342">
        <f>AE4*K4+AC4</f>
        <v>96401848671.710678</v>
      </c>
      <c r="AG4" s="17"/>
    </row>
    <row r="5" spans="1:33" s="2" customFormat="1" x14ac:dyDescent="0.6">
      <c r="A5" s="46"/>
      <c r="B5" s="40" t="s">
        <v>35</v>
      </c>
      <c r="C5" s="356"/>
      <c r="D5" s="356"/>
      <c r="E5" s="356"/>
      <c r="F5" s="356"/>
      <c r="G5" s="493"/>
      <c r="H5" s="65"/>
      <c r="I5" s="79">
        <f>G5*H5</f>
        <v>0</v>
      </c>
      <c r="J5" s="31"/>
      <c r="K5" s="31"/>
      <c r="L5" s="418"/>
      <c r="M5" s="853"/>
      <c r="N5" s="862"/>
      <c r="O5" s="863"/>
      <c r="P5" s="1052"/>
      <c r="Q5" s="510"/>
      <c r="R5" s="511"/>
      <c r="S5" s="372"/>
      <c r="T5" s="498"/>
      <c r="U5" s="316"/>
      <c r="V5" s="316"/>
      <c r="W5" s="343"/>
      <c r="X5" s="1051"/>
      <c r="Y5" s="1052"/>
      <c r="Z5" s="845"/>
      <c r="AA5" s="367"/>
      <c r="AB5" s="338"/>
      <c r="AC5" s="343"/>
      <c r="AD5" s="850"/>
      <c r="AE5" s="316"/>
      <c r="AF5" s="343"/>
    </row>
    <row r="6" spans="1:33" x14ac:dyDescent="0.6">
      <c r="A6" s="46">
        <f>A4+1</f>
        <v>2</v>
      </c>
      <c r="B6" s="44" t="s">
        <v>0</v>
      </c>
      <c r="C6" s="290">
        <v>81714</v>
      </c>
      <c r="D6" s="290">
        <v>18835</v>
      </c>
      <c r="E6" s="290">
        <v>21755</v>
      </c>
      <c r="F6" s="290">
        <f t="shared" ref="F6:F63" si="0">C6-D6-E6</f>
        <v>41124</v>
      </c>
      <c r="G6" s="494">
        <v>70648</v>
      </c>
      <c r="H6" s="66">
        <f>4248+209+22816</f>
        <v>27273</v>
      </c>
      <c r="I6" s="79">
        <f t="shared" ref="I6:I63" si="1">H6/G6</f>
        <v>0.38604065224776357</v>
      </c>
      <c r="J6" s="26">
        <f>Assumptions!$C$62</f>
        <v>27296</v>
      </c>
      <c r="K6" s="26">
        <f t="shared" ref="K6:K65" si="2">E6*I6*J6</f>
        <v>229240389.57988906</v>
      </c>
      <c r="L6" s="391">
        <f>Assumptions!$H$3</f>
        <v>1.1863330000000001</v>
      </c>
      <c r="M6" s="852">
        <f>Assumptions!$C$64</f>
        <v>3.6635404454865184E-2</v>
      </c>
      <c r="N6" s="1522">
        <v>162.80000000000001</v>
      </c>
      <c r="O6" s="458">
        <f t="shared" ref="O6:O11" si="3">N6*M6*L6</f>
        <v>7.0755792936694029</v>
      </c>
      <c r="P6" s="1047">
        <f t="shared" ref="P6:P65" si="4">O6*K6</f>
        <v>1622008553.7841702</v>
      </c>
      <c r="Q6" s="512"/>
      <c r="R6" s="306">
        <f t="shared" ref="R6:R26" si="5">Q6*M6*L6</f>
        <v>0</v>
      </c>
      <c r="S6" s="373">
        <v>0.21</v>
      </c>
      <c r="T6" s="499">
        <f>S6*O6</f>
        <v>1.4858716516705746</v>
      </c>
      <c r="U6" s="281">
        <f>S6*R6</f>
        <v>0</v>
      </c>
      <c r="V6" s="281">
        <f>T6+U6</f>
        <v>1.4858716516705746</v>
      </c>
      <c r="W6" s="342">
        <f t="shared" ref="W6:W39" si="6">T6*K6</f>
        <v>340621796.29467571</v>
      </c>
      <c r="X6" s="1053">
        <f t="shared" ref="X6:X41" si="7">R6+V6</f>
        <v>1.4858716516705746</v>
      </c>
      <c r="Y6" s="1047">
        <f t="shared" ref="Y6:Y26" si="8">X6*K6</f>
        <v>340621796.29467571</v>
      </c>
      <c r="Z6" s="535">
        <f>U6+R6</f>
        <v>0</v>
      </c>
      <c r="AA6" s="366">
        <f>Z6*K6</f>
        <v>0</v>
      </c>
      <c r="AB6" s="336">
        <f>-'OECD electricity subsidies'!D14</f>
        <v>0</v>
      </c>
      <c r="AC6" s="342">
        <f t="shared" ref="AC6:AC39" si="9">AB6*L6</f>
        <v>0</v>
      </c>
      <c r="AD6" s="849">
        <f t="shared" ref="AD6:AD26" si="10">AA6+AC6</f>
        <v>0</v>
      </c>
      <c r="AE6" s="281">
        <f t="shared" ref="AE6:AE26" si="11">(O6+R6)*(1+S6)</f>
        <v>8.5614509453399776</v>
      </c>
      <c r="AF6" s="342">
        <f>AE6*K6+AC6</f>
        <v>1962630350.078846</v>
      </c>
      <c r="AG6" s="17"/>
    </row>
    <row r="7" spans="1:33" x14ac:dyDescent="0.6">
      <c r="A7" s="46">
        <f>A6+1</f>
        <v>3</v>
      </c>
      <c r="B7" s="44" t="s">
        <v>1</v>
      </c>
      <c r="C7" s="290">
        <v>54474</v>
      </c>
      <c r="D7" s="290">
        <v>14382</v>
      </c>
      <c r="E7" s="290">
        <v>14875</v>
      </c>
      <c r="F7" s="290">
        <f t="shared" si="0"/>
        <v>25217</v>
      </c>
      <c r="G7" s="494">
        <v>83892</v>
      </c>
      <c r="H7" s="66">
        <f>43837+94+2264</f>
        <v>46195</v>
      </c>
      <c r="I7" s="79">
        <f t="shared" si="1"/>
        <v>0.55064845277261243</v>
      </c>
      <c r="J7" s="26">
        <f>Assumptions!$C$62</f>
        <v>27296</v>
      </c>
      <c r="K7" s="26">
        <f t="shared" si="2"/>
        <v>223578689.98235828</v>
      </c>
      <c r="L7" s="391">
        <f>Assumptions!$H$15</f>
        <v>4.5997000000000003E-2</v>
      </c>
      <c r="M7" s="852">
        <f>Assumptions!$C$64</f>
        <v>3.6635404454865184E-2</v>
      </c>
      <c r="N7" s="1520">
        <v>2949</v>
      </c>
      <c r="O7" s="458">
        <f t="shared" si="3"/>
        <v>4.9694150424970696</v>
      </c>
      <c r="P7" s="1047">
        <f t="shared" si="4"/>
        <v>1111055305.18012</v>
      </c>
      <c r="Q7" s="513">
        <v>28.3</v>
      </c>
      <c r="R7" s="306">
        <f t="shared" si="5"/>
        <v>4.7688859173505287E-2</v>
      </c>
      <c r="S7" s="373">
        <v>0.21</v>
      </c>
      <c r="T7" s="499">
        <f t="shared" ref="T7:T39" si="12">S7*O7</f>
        <v>1.0435771589243845</v>
      </c>
      <c r="U7" s="281">
        <f t="shared" ref="U7:U39" si="13">S7*R7</f>
        <v>1.001466042643611E-2</v>
      </c>
      <c r="V7" s="281">
        <f t="shared" ref="V7:V39" si="14">T7+U7</f>
        <v>1.0535918193508207</v>
      </c>
      <c r="W7" s="342">
        <f t="shared" si="6"/>
        <v>233321614.08782521</v>
      </c>
      <c r="X7" s="1053">
        <f t="shared" si="7"/>
        <v>1.1012806785243259</v>
      </c>
      <c r="Y7" s="1047">
        <f t="shared" si="8"/>
        <v>246222891.40735143</v>
      </c>
      <c r="Z7" s="535">
        <f t="shared" ref="Z7:Z39" si="15">U7+R7</f>
        <v>5.7703519599941397E-2</v>
      </c>
      <c r="AA7" s="366">
        <f t="shared" ref="AA7:AA39" si="16">Z7*K7</f>
        <v>12901277.319526233</v>
      </c>
      <c r="AB7" s="336">
        <f>-'OECD electricity subsidies'!D19</f>
        <v>0</v>
      </c>
      <c r="AC7" s="342">
        <f t="shared" si="9"/>
        <v>0</v>
      </c>
      <c r="AD7" s="849">
        <f t="shared" si="10"/>
        <v>12901277.319526233</v>
      </c>
      <c r="AE7" s="281">
        <f t="shared" si="11"/>
        <v>6.0706957210213961</v>
      </c>
      <c r="AF7" s="342">
        <f t="shared" ref="AF7:AF65" si="17">AE7*K7+AC7</f>
        <v>1357278196.5874717</v>
      </c>
      <c r="AG7" s="1"/>
    </row>
    <row r="8" spans="1:33" x14ac:dyDescent="0.6">
      <c r="A8" s="46">
        <f t="shared" ref="A8:A26" si="18">A7+1</f>
        <v>4</v>
      </c>
      <c r="B8" s="44" t="s">
        <v>2</v>
      </c>
      <c r="C8" s="290">
        <v>30700</v>
      </c>
      <c r="D8" s="290">
        <v>10177</v>
      </c>
      <c r="E8" s="290">
        <v>9945</v>
      </c>
      <c r="F8" s="290">
        <f t="shared" si="0"/>
        <v>10578</v>
      </c>
      <c r="G8" s="494">
        <v>28947</v>
      </c>
      <c r="H8" s="66">
        <f>7105+313+1816</f>
        <v>9234</v>
      </c>
      <c r="I8" s="79">
        <f t="shared" si="1"/>
        <v>0.3189967872318375</v>
      </c>
      <c r="J8" s="26">
        <f>Assumptions!$C$62</f>
        <v>27296</v>
      </c>
      <c r="K8" s="26">
        <f t="shared" si="2"/>
        <v>86594459.54606694</v>
      </c>
      <c r="L8" s="391">
        <f>Assumptions!$H$16</f>
        <v>0.15934999999999999</v>
      </c>
      <c r="M8" s="852">
        <f>Assumptions!$C$64</f>
        <v>3.6635404454865184E-2</v>
      </c>
      <c r="N8" s="1521">
        <v>958</v>
      </c>
      <c r="O8" s="458">
        <f t="shared" si="3"/>
        <v>5.5926619284876908</v>
      </c>
      <c r="P8" s="1047">
        <f t="shared" si="4"/>
        <v>484293537.12125605</v>
      </c>
      <c r="Q8" s="514">
        <v>4</v>
      </c>
      <c r="R8" s="306">
        <f t="shared" si="5"/>
        <v>2.3351406799531068E-2</v>
      </c>
      <c r="S8" s="373">
        <v>0.25</v>
      </c>
      <c r="T8" s="499">
        <f t="shared" si="12"/>
        <v>1.3981654821219227</v>
      </c>
      <c r="U8" s="281">
        <f t="shared" si="13"/>
        <v>5.837851699882767E-3</v>
      </c>
      <c r="V8" s="281">
        <f t="shared" si="14"/>
        <v>1.4040033338218054</v>
      </c>
      <c r="W8" s="342">
        <f t="shared" si="6"/>
        <v>121073384.28031401</v>
      </c>
      <c r="X8" s="1053">
        <f t="shared" si="7"/>
        <v>1.4273547406213365</v>
      </c>
      <c r="Y8" s="1047">
        <f t="shared" si="8"/>
        <v>123601012.3446212</v>
      </c>
      <c r="Z8" s="535">
        <f t="shared" si="15"/>
        <v>2.9189258499413836E-2</v>
      </c>
      <c r="AA8" s="366">
        <f t="shared" si="16"/>
        <v>2527628.0643071821</v>
      </c>
      <c r="AB8" s="336">
        <f>-'OECD electricity subsidies'!D21</f>
        <v>0</v>
      </c>
      <c r="AC8" s="342">
        <f t="shared" si="9"/>
        <v>0</v>
      </c>
      <c r="AD8" s="849">
        <f t="shared" si="10"/>
        <v>2527628.0643071821</v>
      </c>
      <c r="AE8" s="281">
        <f t="shared" si="11"/>
        <v>7.0200166691090269</v>
      </c>
      <c r="AF8" s="342">
        <f t="shared" si="17"/>
        <v>607894549.46587718</v>
      </c>
      <c r="AG8" s="1"/>
    </row>
    <row r="9" spans="1:33" x14ac:dyDescent="0.6">
      <c r="A9" s="46">
        <f t="shared" si="18"/>
        <v>5</v>
      </c>
      <c r="B9" s="44" t="s">
        <v>3</v>
      </c>
      <c r="C9" s="290">
        <v>514731</v>
      </c>
      <c r="D9" s="290">
        <v>128700</v>
      </c>
      <c r="E9" s="290">
        <v>149872</v>
      </c>
      <c r="F9" s="290">
        <f t="shared" si="0"/>
        <v>236159</v>
      </c>
      <c r="G9" s="494">
        <v>646888</v>
      </c>
      <c r="H9" s="66">
        <f>283710+6209+63017</f>
        <v>352936</v>
      </c>
      <c r="I9" s="79">
        <f t="shared" si="1"/>
        <v>0.54559058136802663</v>
      </c>
      <c r="J9" s="26">
        <f>Assumptions!$C$62</f>
        <v>27296</v>
      </c>
      <c r="K9" s="26">
        <f t="shared" si="2"/>
        <v>2231959843.9680934</v>
      </c>
      <c r="L9" s="391">
        <f>Assumptions!$H$3</f>
        <v>1.1863330000000001</v>
      </c>
      <c r="M9" s="852">
        <f>Assumptions!$C$64</f>
        <v>3.6635404454865184E-2</v>
      </c>
      <c r="N9" s="1522">
        <v>143.1</v>
      </c>
      <c r="O9" s="458">
        <f t="shared" si="3"/>
        <v>6.2193820449882775</v>
      </c>
      <c r="P9" s="1047">
        <f t="shared" si="4"/>
        <v>13881410978.709997</v>
      </c>
      <c r="Q9" s="475">
        <v>15.37</v>
      </c>
      <c r="R9" s="306">
        <f t="shared" si="5"/>
        <v>0.66800770112837049</v>
      </c>
      <c r="S9" s="373">
        <v>0.19</v>
      </c>
      <c r="T9" s="499">
        <f t="shared" si="12"/>
        <v>1.1816825885477726</v>
      </c>
      <c r="U9" s="281">
        <f t="shared" si="13"/>
        <v>0.12692146321439041</v>
      </c>
      <c r="V9" s="281">
        <f t="shared" si="14"/>
        <v>1.3086040517621631</v>
      </c>
      <c r="W9" s="342">
        <f t="shared" si="6"/>
        <v>2637468085.9548993</v>
      </c>
      <c r="X9" s="1053">
        <f t="shared" si="7"/>
        <v>1.9766117528905336</v>
      </c>
      <c r="Y9" s="1047">
        <f t="shared" si="8"/>
        <v>4411718059.5670547</v>
      </c>
      <c r="Z9" s="535">
        <f t="shared" si="15"/>
        <v>0.79492916434276095</v>
      </c>
      <c r="AA9" s="366">
        <f t="shared" si="16"/>
        <v>1774249973.6121557</v>
      </c>
      <c r="AB9" s="336">
        <f>-'OECD electricity subsidies'!D23</f>
        <v>0</v>
      </c>
      <c r="AC9" s="342">
        <f t="shared" si="9"/>
        <v>0</v>
      </c>
      <c r="AD9" s="849">
        <f t="shared" si="10"/>
        <v>1774249973.6121557</v>
      </c>
      <c r="AE9" s="281">
        <f t="shared" si="11"/>
        <v>8.1959937978788115</v>
      </c>
      <c r="AF9" s="342">
        <f t="shared" si="17"/>
        <v>18293129038.277054</v>
      </c>
      <c r="AG9" s="1"/>
    </row>
    <row r="10" spans="1:33" x14ac:dyDescent="0.6">
      <c r="A10" s="46">
        <f t="shared" si="18"/>
        <v>6</v>
      </c>
      <c r="B10" s="44" t="s">
        <v>4</v>
      </c>
      <c r="C10" s="290">
        <v>6852</v>
      </c>
      <c r="D10" s="290">
        <v>1728</v>
      </c>
      <c r="E10" s="290">
        <v>2813</v>
      </c>
      <c r="F10" s="290">
        <f t="shared" si="0"/>
        <v>2311</v>
      </c>
      <c r="G10" s="494">
        <v>10417</v>
      </c>
      <c r="H10" s="66">
        <f>8597+128+62</f>
        <v>8787</v>
      </c>
      <c r="I10" s="79">
        <f t="shared" si="1"/>
        <v>0.84352500719976964</v>
      </c>
      <c r="J10" s="26">
        <f>Assumptions!$C$62</f>
        <v>27296</v>
      </c>
      <c r="K10" s="26">
        <f t="shared" si="2"/>
        <v>64768927.232024573</v>
      </c>
      <c r="L10" s="391">
        <f>Assumptions!$H$3</f>
        <v>1.1863330000000001</v>
      </c>
      <c r="M10" s="852">
        <f>Assumptions!$C$64</f>
        <v>3.6635404454865184E-2</v>
      </c>
      <c r="N10" s="1522">
        <v>91.1</v>
      </c>
      <c r="O10" s="458">
        <f t="shared" si="3"/>
        <v>3.9593690027842912</v>
      </c>
      <c r="P10" s="1047">
        <f t="shared" si="4"/>
        <v>256444082.82606944</v>
      </c>
      <c r="Q10" s="475">
        <v>4.47</v>
      </c>
      <c r="R10" s="306">
        <f t="shared" si="5"/>
        <v>0.19427419805099649</v>
      </c>
      <c r="S10" s="373">
        <v>0.2</v>
      </c>
      <c r="T10" s="499">
        <f t="shared" si="12"/>
        <v>0.7918738005568583</v>
      </c>
      <c r="U10" s="281">
        <f t="shared" si="13"/>
        <v>3.8854839610199303E-2</v>
      </c>
      <c r="V10" s="281">
        <f t="shared" si="14"/>
        <v>0.83072864016705761</v>
      </c>
      <c r="W10" s="342">
        <f t="shared" si="6"/>
        <v>51288816.565213896</v>
      </c>
      <c r="X10" s="1053">
        <f t="shared" si="7"/>
        <v>1.025002838218054</v>
      </c>
      <c r="Y10" s="1047">
        <f t="shared" si="8"/>
        <v>66388334.241163798</v>
      </c>
      <c r="Z10" s="535">
        <f t="shared" si="15"/>
        <v>0.2331290376611958</v>
      </c>
      <c r="AA10" s="366">
        <f t="shared" si="16"/>
        <v>15099517.675949907</v>
      </c>
      <c r="AB10" s="336">
        <f>-'OECD electricity subsidies'!D25</f>
        <v>0</v>
      </c>
      <c r="AC10" s="342">
        <f t="shared" si="9"/>
        <v>0</v>
      </c>
      <c r="AD10" s="849">
        <f t="shared" si="10"/>
        <v>15099517.675949907</v>
      </c>
      <c r="AE10" s="281">
        <f t="shared" si="11"/>
        <v>4.9843718410023454</v>
      </c>
      <c r="AF10" s="342">
        <f t="shared" si="17"/>
        <v>322832417.06723326</v>
      </c>
      <c r="AG10" s="1"/>
    </row>
    <row r="11" spans="1:33" x14ac:dyDescent="0.6">
      <c r="A11" s="46">
        <f t="shared" si="18"/>
        <v>7</v>
      </c>
      <c r="B11" s="44" t="s">
        <v>5</v>
      </c>
      <c r="C11" s="290">
        <v>50787</v>
      </c>
      <c r="D11" s="290">
        <v>17538</v>
      </c>
      <c r="E11" s="290">
        <v>17926</v>
      </c>
      <c r="F11" s="290">
        <f t="shared" si="0"/>
        <v>15323</v>
      </c>
      <c r="G11" s="494">
        <v>51874</v>
      </c>
      <c r="H11" s="66">
        <f>22107+5663+9090</f>
        <v>36860</v>
      </c>
      <c r="I11" s="79">
        <f t="shared" si="1"/>
        <v>0.71056791456220847</v>
      </c>
      <c r="J11" s="26">
        <f>Assumptions!$C$62</f>
        <v>27296</v>
      </c>
      <c r="K11" s="26">
        <f t="shared" si="2"/>
        <v>347686633.35312492</v>
      </c>
      <c r="L11" s="391">
        <f>Assumptions!$H$3</f>
        <v>1.1863330000000001</v>
      </c>
      <c r="M11" s="852">
        <f>Assumptions!$C$64</f>
        <v>3.6635404454865184E-2</v>
      </c>
      <c r="N11" s="1522">
        <v>121.1</v>
      </c>
      <c r="O11" s="458">
        <f t="shared" si="3"/>
        <v>5.263222680978898</v>
      </c>
      <c r="P11" s="1047">
        <f t="shared" si="4"/>
        <v>1829952174.5373611</v>
      </c>
      <c r="Q11" s="475">
        <v>2.5</v>
      </c>
      <c r="R11" s="306">
        <f t="shared" si="5"/>
        <v>0.10865447318288395</v>
      </c>
      <c r="S11" s="373">
        <v>0.13</v>
      </c>
      <c r="T11" s="499">
        <f t="shared" si="12"/>
        <v>0.68421894852725673</v>
      </c>
      <c r="U11" s="281">
        <f t="shared" si="13"/>
        <v>1.4125081513774913E-2</v>
      </c>
      <c r="V11" s="281">
        <f t="shared" si="14"/>
        <v>0.69834403004103163</v>
      </c>
      <c r="W11" s="342">
        <f t="shared" si="6"/>
        <v>237893782.68985695</v>
      </c>
      <c r="X11" s="1053">
        <f t="shared" si="7"/>
        <v>0.80699850322391553</v>
      </c>
      <c r="Y11" s="1047">
        <f t="shared" si="8"/>
        <v>280582592.70693409</v>
      </c>
      <c r="Z11" s="535">
        <f t="shared" si="15"/>
        <v>0.12277955469665885</v>
      </c>
      <c r="AA11" s="366">
        <f t="shared" si="16"/>
        <v>42688810.01707717</v>
      </c>
      <c r="AB11" s="336">
        <f>-'OECD electricity subsidies'!D27</f>
        <v>0</v>
      </c>
      <c r="AC11" s="342">
        <f t="shared" si="9"/>
        <v>0</v>
      </c>
      <c r="AD11" s="849">
        <f t="shared" si="10"/>
        <v>42688810.01707717</v>
      </c>
      <c r="AE11" s="281">
        <f t="shared" si="11"/>
        <v>6.0702211842028122</v>
      </c>
      <c r="AF11" s="342">
        <f t="shared" si="17"/>
        <v>2110534767.2442949</v>
      </c>
      <c r="AG11" s="1"/>
    </row>
    <row r="12" spans="1:33" x14ac:dyDescent="0.6">
      <c r="A12" s="46">
        <f t="shared" si="18"/>
        <v>8</v>
      </c>
      <c r="B12" s="44" t="s">
        <v>6</v>
      </c>
      <c r="C12" s="290">
        <v>232038</v>
      </c>
      <c r="D12" s="290">
        <v>70056</v>
      </c>
      <c r="E12" s="290">
        <v>72001</v>
      </c>
      <c r="F12" s="290">
        <f t="shared" si="0"/>
        <v>89981</v>
      </c>
      <c r="G12" s="494">
        <v>281020</v>
      </c>
      <c r="H12" s="66">
        <f>52676+17241+52498</f>
        <v>122415</v>
      </c>
      <c r="I12" s="79">
        <f t="shared" si="1"/>
        <v>0.43560956515550492</v>
      </c>
      <c r="J12" s="26">
        <f>Assumptions!$C$62</f>
        <v>27296</v>
      </c>
      <c r="K12" s="26">
        <f t="shared" si="2"/>
        <v>856120596.11358619</v>
      </c>
      <c r="L12" s="391">
        <f>Assumptions!$H$3</f>
        <v>1.1863330000000001</v>
      </c>
      <c r="M12" s="852">
        <f>Assumptions!$C$64</f>
        <v>3.6635404454865184E-2</v>
      </c>
      <c r="N12" s="1522"/>
      <c r="O12" s="971">
        <f>Assumptions!C100</f>
        <v>5.0007327080890969</v>
      </c>
      <c r="P12" s="1047">
        <f t="shared" si="4"/>
        <v>4281230267.053946</v>
      </c>
      <c r="Q12" s="475">
        <v>0.5</v>
      </c>
      <c r="R12" s="306">
        <f t="shared" si="5"/>
        <v>2.1730894636576792E-2</v>
      </c>
      <c r="S12" s="373">
        <v>0.21</v>
      </c>
      <c r="T12" s="499">
        <f t="shared" si="12"/>
        <v>1.0501538686987104</v>
      </c>
      <c r="U12" s="281">
        <f t="shared" si="13"/>
        <v>4.5634878736811263E-3</v>
      </c>
      <c r="V12" s="281">
        <f t="shared" si="14"/>
        <v>1.0547173565723915</v>
      </c>
      <c r="W12" s="342">
        <f t="shared" si="6"/>
        <v>899058356.08132863</v>
      </c>
      <c r="X12" s="1053">
        <f t="shared" si="7"/>
        <v>1.0764482512089684</v>
      </c>
      <c r="Y12" s="1047">
        <f t="shared" si="8"/>
        <v>921569518.51044941</v>
      </c>
      <c r="Z12" s="535">
        <f t="shared" si="15"/>
        <v>2.6294382510257917E-2</v>
      </c>
      <c r="AA12" s="366">
        <f t="shared" si="16"/>
        <v>22511162.429120664</v>
      </c>
      <c r="AB12" s="336">
        <f>-'OECD electricity subsidies'!D29</f>
        <v>-335514564</v>
      </c>
      <c r="AC12" s="342">
        <f t="shared" si="9"/>
        <v>-398031999.25381202</v>
      </c>
      <c r="AD12" s="849">
        <f t="shared" si="10"/>
        <v>-375520836.82469136</v>
      </c>
      <c r="AE12" s="281">
        <f t="shared" si="11"/>
        <v>6.0771809592980652</v>
      </c>
      <c r="AF12" s="342">
        <f t="shared" si="17"/>
        <v>4804767786.3105831</v>
      </c>
      <c r="AG12" s="1"/>
    </row>
    <row r="13" spans="1:33" x14ac:dyDescent="0.6">
      <c r="A13" s="46">
        <f t="shared" si="18"/>
        <v>9</v>
      </c>
      <c r="B13" s="44" t="s">
        <v>7</v>
      </c>
      <c r="C13" s="290">
        <v>424919</v>
      </c>
      <c r="D13" s="290">
        <v>142441</v>
      </c>
      <c r="E13" s="290">
        <v>146269</v>
      </c>
      <c r="F13" s="290">
        <f t="shared" si="0"/>
        <v>136209</v>
      </c>
      <c r="G13" s="494">
        <v>568454</v>
      </c>
      <c r="H13" s="66">
        <f>12174+2156+19794</f>
        <v>34124</v>
      </c>
      <c r="I13" s="79">
        <f t="shared" si="1"/>
        <v>6.0029483476235546E-2</v>
      </c>
      <c r="J13" s="26">
        <f>Assumptions!$C$62</f>
        <v>27296</v>
      </c>
      <c r="K13" s="26">
        <f t="shared" si="2"/>
        <v>239671231.9473097</v>
      </c>
      <c r="L13" s="391">
        <f>Assumptions!$H$3</f>
        <v>1.1863330000000001</v>
      </c>
      <c r="M13" s="852">
        <f>Assumptions!$C$64</f>
        <v>3.6635404454865184E-2</v>
      </c>
      <c r="N13" s="1522">
        <v>106.45</v>
      </c>
      <c r="O13" s="458">
        <f t="shared" ref="O13:O26" si="19">N13*M13*L13</f>
        <v>4.6265074681271994</v>
      </c>
      <c r="P13" s="1047">
        <f t="shared" si="4"/>
        <v>1108840744.4994745</v>
      </c>
      <c r="Q13" s="475">
        <v>0.5</v>
      </c>
      <c r="R13" s="306">
        <f t="shared" si="5"/>
        <v>2.1730894636576792E-2</v>
      </c>
      <c r="S13" s="373">
        <v>0.2</v>
      </c>
      <c r="T13" s="499">
        <f t="shared" si="12"/>
        <v>0.9253014936254399</v>
      </c>
      <c r="U13" s="281">
        <f t="shared" si="13"/>
        <v>4.3461789273153582E-3</v>
      </c>
      <c r="V13" s="281">
        <f t="shared" si="14"/>
        <v>0.92964767255275527</v>
      </c>
      <c r="W13" s="342">
        <f t="shared" si="6"/>
        <v>221768148.89989492</v>
      </c>
      <c r="X13" s="1053">
        <f t="shared" si="7"/>
        <v>0.951378567189332</v>
      </c>
      <c r="Y13" s="1047">
        <f t="shared" si="8"/>
        <v>228018073.24653357</v>
      </c>
      <c r="Z13" s="535">
        <f t="shared" si="15"/>
        <v>2.6077073563892151E-2</v>
      </c>
      <c r="AA13" s="366">
        <f t="shared" si="16"/>
        <v>6249924.3466386534</v>
      </c>
      <c r="AB13" s="336">
        <f>-'OECD electricity subsidies'!D32</f>
        <v>0</v>
      </c>
      <c r="AC13" s="342">
        <f t="shared" si="9"/>
        <v>0</v>
      </c>
      <c r="AD13" s="849">
        <f t="shared" si="10"/>
        <v>6249924.3466386534</v>
      </c>
      <c r="AE13" s="281">
        <f t="shared" si="11"/>
        <v>5.5778860353165314</v>
      </c>
      <c r="AF13" s="342">
        <f t="shared" si="17"/>
        <v>1336858817.7460082</v>
      </c>
      <c r="AG13" s="1"/>
    </row>
    <row r="14" spans="1:33" x14ac:dyDescent="0.6">
      <c r="A14" s="46">
        <f t="shared" si="18"/>
        <v>10</v>
      </c>
      <c r="B14" s="44" t="s">
        <v>8</v>
      </c>
      <c r="C14" s="290">
        <v>25070</v>
      </c>
      <c r="D14" s="290">
        <v>7881</v>
      </c>
      <c r="E14" s="290">
        <v>6746</v>
      </c>
      <c r="F14" s="290">
        <f t="shared" si="0"/>
        <v>10443</v>
      </c>
      <c r="G14" s="494">
        <v>23387</v>
      </c>
      <c r="H14" s="66">
        <f>7393+407+12367</f>
        <v>20167</v>
      </c>
      <c r="I14" s="79">
        <f t="shared" si="1"/>
        <v>0.8623166716551931</v>
      </c>
      <c r="J14" s="26">
        <f>Assumptions!$C$62</f>
        <v>27296</v>
      </c>
      <c r="K14" s="26">
        <f t="shared" si="2"/>
        <v>158785970.93564802</v>
      </c>
      <c r="L14" s="391">
        <f>Assumptions!$H$3</f>
        <v>1.1863330000000001</v>
      </c>
      <c r="M14" s="852">
        <f>Assumptions!$C$64</f>
        <v>3.6635404454865184E-2</v>
      </c>
      <c r="N14" s="1522">
        <v>203.3</v>
      </c>
      <c r="O14" s="458">
        <f t="shared" si="19"/>
        <v>8.8357817592321233</v>
      </c>
      <c r="P14" s="1047">
        <f t="shared" si="4"/>
        <v>1402998185.6151609</v>
      </c>
      <c r="Q14" s="475">
        <v>0.5</v>
      </c>
      <c r="R14" s="306">
        <f t="shared" si="5"/>
        <v>2.1730894636576792E-2</v>
      </c>
      <c r="S14" s="373">
        <v>0.13500000000000001</v>
      </c>
      <c r="T14" s="499">
        <f t="shared" si="12"/>
        <v>1.1928305374963368</v>
      </c>
      <c r="U14" s="281">
        <f t="shared" si="13"/>
        <v>2.9336707759378671E-3</v>
      </c>
      <c r="V14" s="281">
        <f t="shared" si="14"/>
        <v>1.1957642082722746</v>
      </c>
      <c r="W14" s="342">
        <f t="shared" si="6"/>
        <v>189404755.05804676</v>
      </c>
      <c r="X14" s="1053">
        <f t="shared" si="7"/>
        <v>1.2174951029088514</v>
      </c>
      <c r="Y14" s="1047">
        <f t="shared" si="8"/>
        <v>193321142.02477869</v>
      </c>
      <c r="Z14" s="535">
        <f t="shared" si="15"/>
        <v>2.4664565412514661E-2</v>
      </c>
      <c r="AA14" s="366">
        <f t="shared" si="16"/>
        <v>3916386.9667319423</v>
      </c>
      <c r="AB14" s="336">
        <f>-'OECD electricity subsidies'!D39</f>
        <v>0</v>
      </c>
      <c r="AC14" s="342">
        <f t="shared" si="9"/>
        <v>0</v>
      </c>
      <c r="AD14" s="849">
        <f t="shared" si="10"/>
        <v>3916386.9667319423</v>
      </c>
      <c r="AE14" s="281">
        <f t="shared" si="11"/>
        <v>10.053276862140974</v>
      </c>
      <c r="AF14" s="342">
        <f t="shared" si="17"/>
        <v>1596319327.6399395</v>
      </c>
      <c r="AG14" s="1"/>
    </row>
    <row r="15" spans="1:33" x14ac:dyDescent="0.6">
      <c r="A15" s="46">
        <f t="shared" si="18"/>
        <v>11</v>
      </c>
      <c r="B15" s="44" t="s">
        <v>9</v>
      </c>
      <c r="C15" s="290">
        <v>287483</v>
      </c>
      <c r="D15" s="290">
        <v>66187</v>
      </c>
      <c r="E15" s="290">
        <v>92085</v>
      </c>
      <c r="F15" s="290">
        <f t="shared" si="0"/>
        <v>129211</v>
      </c>
      <c r="G15" s="494">
        <v>282994</v>
      </c>
      <c r="H15" s="66">
        <f>45388+13384+110860</f>
        <v>169632</v>
      </c>
      <c r="I15" s="79">
        <f t="shared" si="1"/>
        <v>0.59941906895552555</v>
      </c>
      <c r="J15" s="26">
        <f>Assumptions!$C$62</f>
        <v>27296</v>
      </c>
      <c r="K15" s="26">
        <f t="shared" si="2"/>
        <v>1506671095.5183501</v>
      </c>
      <c r="L15" s="391">
        <f>Assumptions!$H$3</f>
        <v>1.1863330000000001</v>
      </c>
      <c r="M15" s="852">
        <f>Assumptions!$C$64</f>
        <v>3.6635404454865184E-2</v>
      </c>
      <c r="N15" s="1522">
        <v>138.80000000000001</v>
      </c>
      <c r="O15" s="458">
        <f t="shared" si="19"/>
        <v>6.0324963511137177</v>
      </c>
      <c r="P15" s="1047">
        <f t="shared" si="4"/>
        <v>9088987886.0429554</v>
      </c>
      <c r="Q15" s="475">
        <v>12.5</v>
      </c>
      <c r="R15" s="306">
        <f t="shared" si="5"/>
        <v>0.54327236591441974</v>
      </c>
      <c r="S15" s="373">
        <v>0.22</v>
      </c>
      <c r="T15" s="499">
        <f t="shared" si="12"/>
        <v>1.327149197245018</v>
      </c>
      <c r="U15" s="281">
        <f t="shared" si="13"/>
        <v>0.11951992050117234</v>
      </c>
      <c r="V15" s="281">
        <f t="shared" si="14"/>
        <v>1.4466691177461903</v>
      </c>
      <c r="W15" s="342">
        <f t="shared" si="6"/>
        <v>1999577334.9294503</v>
      </c>
      <c r="X15" s="1053">
        <f t="shared" si="7"/>
        <v>1.9899414836606102</v>
      </c>
      <c r="Y15" s="1047">
        <f t="shared" si="8"/>
        <v>2998187315.2043424</v>
      </c>
      <c r="Z15" s="535">
        <f t="shared" si="15"/>
        <v>0.66279228641559207</v>
      </c>
      <c r="AA15" s="366">
        <f t="shared" si="16"/>
        <v>998609980.27489221</v>
      </c>
      <c r="AB15" s="336">
        <f>-'OECD electricity subsidies'!D41</f>
        <v>0</v>
      </c>
      <c r="AC15" s="342">
        <f t="shared" si="9"/>
        <v>0</v>
      </c>
      <c r="AD15" s="849">
        <f t="shared" si="10"/>
        <v>998609980.27489221</v>
      </c>
      <c r="AE15" s="281">
        <f t="shared" si="11"/>
        <v>8.0224378347743279</v>
      </c>
      <c r="AF15" s="342">
        <f t="shared" si="17"/>
        <v>12087175201.247297</v>
      </c>
      <c r="AG15" s="1"/>
    </row>
    <row r="16" spans="1:33" x14ac:dyDescent="0.6">
      <c r="A16" s="46">
        <f t="shared" si="18"/>
        <v>12</v>
      </c>
      <c r="B16" s="44" t="s">
        <v>10</v>
      </c>
      <c r="C16" s="290">
        <v>6221</v>
      </c>
      <c r="D16" s="290">
        <v>900</v>
      </c>
      <c r="E16" s="290">
        <v>2000</v>
      </c>
      <c r="F16" s="290">
        <f t="shared" si="0"/>
        <v>3321</v>
      </c>
      <c r="G16" s="494">
        <v>2762</v>
      </c>
      <c r="H16" s="66">
        <v>834</v>
      </c>
      <c r="I16" s="79">
        <f t="shared" si="1"/>
        <v>0.30195510499637945</v>
      </c>
      <c r="J16" s="26">
        <f>Assumptions!$C$62</f>
        <v>27296</v>
      </c>
      <c r="K16" s="26">
        <f t="shared" si="2"/>
        <v>16484333.091962349</v>
      </c>
      <c r="L16" s="391">
        <f>Assumptions!$H$3</f>
        <v>1.1863330000000001</v>
      </c>
      <c r="M16" s="852">
        <f>Assumptions!$C$64</f>
        <v>3.6635404454865184E-2</v>
      </c>
      <c r="N16" s="1522">
        <v>125.8</v>
      </c>
      <c r="O16" s="458">
        <f t="shared" si="19"/>
        <v>5.4674930905627201</v>
      </c>
      <c r="P16" s="1047">
        <f t="shared" si="4"/>
        <v>90127977.282838538</v>
      </c>
      <c r="Q16" s="475">
        <v>0.5</v>
      </c>
      <c r="R16" s="306">
        <f t="shared" si="5"/>
        <v>2.1730894636576792E-2</v>
      </c>
      <c r="S16" s="373">
        <v>0.06</v>
      </c>
      <c r="T16" s="499">
        <f t="shared" si="12"/>
        <v>0.32804958543376322</v>
      </c>
      <c r="U16" s="281">
        <f t="shared" si="13"/>
        <v>1.3038536781946075E-3</v>
      </c>
      <c r="V16" s="281">
        <f t="shared" si="14"/>
        <v>0.32935343911195786</v>
      </c>
      <c r="W16" s="342">
        <f t="shared" si="6"/>
        <v>5407678.6369703123</v>
      </c>
      <c r="X16" s="1053">
        <f t="shared" si="7"/>
        <v>0.35108433374853465</v>
      </c>
      <c r="Y16" s="1047">
        <f t="shared" si="8"/>
        <v>5787391.1008805232</v>
      </c>
      <c r="Z16" s="535">
        <f t="shared" si="15"/>
        <v>2.3034748314771401E-2</v>
      </c>
      <c r="AA16" s="366">
        <f t="shared" si="16"/>
        <v>379712.46391021012</v>
      </c>
      <c r="AB16" s="336">
        <f>-'OECD electricity subsidies'!D49</f>
        <v>0</v>
      </c>
      <c r="AC16" s="342">
        <f t="shared" si="9"/>
        <v>0</v>
      </c>
      <c r="AD16" s="849">
        <f t="shared" si="10"/>
        <v>379712.46391021012</v>
      </c>
      <c r="AE16" s="281">
        <f t="shared" si="11"/>
        <v>5.8185774243112549</v>
      </c>
      <c r="AF16" s="342">
        <f t="shared" si="17"/>
        <v>95915368.383719072</v>
      </c>
      <c r="AG16" s="1"/>
    </row>
    <row r="17" spans="1:33" x14ac:dyDescent="0.6">
      <c r="A17" s="46">
        <f t="shared" si="18"/>
        <v>13</v>
      </c>
      <c r="B17" s="44" t="s">
        <v>11</v>
      </c>
      <c r="C17" s="290">
        <v>36193</v>
      </c>
      <c r="D17" s="290">
        <v>10839</v>
      </c>
      <c r="E17" s="290">
        <v>7937</v>
      </c>
      <c r="F17" s="290">
        <f t="shared" si="0"/>
        <v>17417</v>
      </c>
      <c r="G17" s="494">
        <v>30342</v>
      </c>
      <c r="H17" s="66">
        <f>5908+77+5108</f>
        <v>11093</v>
      </c>
      <c r="I17" s="79">
        <f t="shared" si="1"/>
        <v>0.36559883989189901</v>
      </c>
      <c r="J17" s="26">
        <f>Assumptions!$C$62</f>
        <v>27296</v>
      </c>
      <c r="K17" s="26">
        <f t="shared" si="2"/>
        <v>79206386.155691773</v>
      </c>
      <c r="L17" s="391">
        <f>Assumptions!$H$17</f>
        <v>3.8049999999999998E-3</v>
      </c>
      <c r="M17" s="852">
        <f>Assumptions!$C$64</f>
        <v>3.6635404454865184E-2</v>
      </c>
      <c r="N17" s="388">
        <v>27693</v>
      </c>
      <c r="O17" s="458">
        <f t="shared" si="19"/>
        <v>3.8603408924384524</v>
      </c>
      <c r="P17" s="1047">
        <f t="shared" si="4"/>
        <v>305763651.41908783</v>
      </c>
      <c r="Q17" s="1549">
        <v>310.5</v>
      </c>
      <c r="R17" s="306">
        <f t="shared" si="5"/>
        <v>4.3282990181711604E-2</v>
      </c>
      <c r="S17" s="373">
        <v>0.27</v>
      </c>
      <c r="T17" s="499">
        <f t="shared" si="12"/>
        <v>1.0422920409583822</v>
      </c>
      <c r="U17" s="281">
        <f t="shared" si="13"/>
        <v>1.1686407349062134E-2</v>
      </c>
      <c r="V17" s="281">
        <f t="shared" si="14"/>
        <v>1.0539784483074444</v>
      </c>
      <c r="W17" s="342">
        <f t="shared" si="6"/>
        <v>82556185.883153722</v>
      </c>
      <c r="X17" s="1053">
        <f t="shared" si="7"/>
        <v>1.0972614384891559</v>
      </c>
      <c r="Y17" s="1047">
        <f t="shared" si="8"/>
        <v>86910113.210721925</v>
      </c>
      <c r="Z17" s="535">
        <f t="shared" si="15"/>
        <v>5.4969397530773741E-2</v>
      </c>
      <c r="AA17" s="366">
        <f t="shared" si="16"/>
        <v>4353927.3275681948</v>
      </c>
      <c r="AB17" s="336">
        <f>-'OECD electricity subsidies'!D51</f>
        <v>0</v>
      </c>
      <c r="AC17" s="342">
        <f t="shared" si="9"/>
        <v>0</v>
      </c>
      <c r="AD17" s="849">
        <f t="shared" si="10"/>
        <v>4353927.3275681948</v>
      </c>
      <c r="AE17" s="281">
        <f t="shared" si="11"/>
        <v>4.9576023309276085</v>
      </c>
      <c r="AF17" s="342">
        <f t="shared" si="17"/>
        <v>392673764.6298098</v>
      </c>
      <c r="AG17" s="1"/>
    </row>
    <row r="18" spans="1:33" x14ac:dyDescent="0.6">
      <c r="A18" s="46">
        <f t="shared" si="18"/>
        <v>14</v>
      </c>
      <c r="B18" s="44" t="s">
        <v>12</v>
      </c>
      <c r="C18" s="290">
        <v>103112</v>
      </c>
      <c r="D18" s="290">
        <v>22682</v>
      </c>
      <c r="E18" s="290">
        <v>35752</v>
      </c>
      <c r="F18" s="290">
        <f t="shared" si="0"/>
        <v>44678</v>
      </c>
      <c r="G18" s="494">
        <v>110070</v>
      </c>
      <c r="H18" s="66">
        <f>42546+1431+46357</f>
        <v>90334</v>
      </c>
      <c r="I18" s="79">
        <f t="shared" si="1"/>
        <v>0.82069592077768694</v>
      </c>
      <c r="J18" s="26">
        <f>Assumptions!$C$62</f>
        <v>27296</v>
      </c>
      <c r="K18" s="26">
        <f t="shared" si="2"/>
        <v>800906145.19603896</v>
      </c>
      <c r="L18" s="391">
        <f>Assumptions!$H$3</f>
        <v>1.1863330000000001</v>
      </c>
      <c r="M18" s="852">
        <f>Assumptions!$C$64</f>
        <v>3.6635404454865184E-2</v>
      </c>
      <c r="N18" s="1522">
        <v>138</v>
      </c>
      <c r="O18" s="458">
        <f t="shared" si="19"/>
        <v>5.9977269196951948</v>
      </c>
      <c r="P18" s="1047">
        <f t="shared" si="4"/>
        <v>4803616347.1915913</v>
      </c>
      <c r="Q18" s="475">
        <v>0.5</v>
      </c>
      <c r="R18" s="306">
        <f t="shared" si="5"/>
        <v>2.1730894636576792E-2</v>
      </c>
      <c r="S18" s="373">
        <v>0.21</v>
      </c>
      <c r="T18" s="499">
        <f t="shared" si="12"/>
        <v>1.2595226531359909</v>
      </c>
      <c r="U18" s="281">
        <f t="shared" si="13"/>
        <v>4.5634878736811263E-3</v>
      </c>
      <c r="V18" s="281">
        <f t="shared" si="14"/>
        <v>1.264086141009672</v>
      </c>
      <c r="W18" s="342">
        <f t="shared" si="6"/>
        <v>1008759432.9102341</v>
      </c>
      <c r="X18" s="1053">
        <f t="shared" si="7"/>
        <v>1.2858170356462488</v>
      </c>
      <c r="Y18" s="1047">
        <f t="shared" si="8"/>
        <v>1029818765.4468349</v>
      </c>
      <c r="Z18" s="535">
        <f t="shared" si="15"/>
        <v>2.6294382510257917E-2</v>
      </c>
      <c r="AA18" s="366">
        <f t="shared" si="16"/>
        <v>21059332.536600813</v>
      </c>
      <c r="AB18" s="336">
        <f>-'OECD electricity subsidies'!D53</f>
        <v>0</v>
      </c>
      <c r="AC18" s="342">
        <f t="shared" si="9"/>
        <v>0</v>
      </c>
      <c r="AD18" s="849">
        <f t="shared" si="10"/>
        <v>21059332.536600813</v>
      </c>
      <c r="AE18" s="281">
        <f t="shared" si="11"/>
        <v>7.2835439553414441</v>
      </c>
      <c r="AF18" s="342">
        <f t="shared" si="17"/>
        <v>5833435112.6384268</v>
      </c>
      <c r="AG18" s="1"/>
    </row>
    <row r="19" spans="1:33" x14ac:dyDescent="0.6">
      <c r="A19" s="46">
        <f t="shared" si="18"/>
        <v>15</v>
      </c>
      <c r="B19" s="44" t="s">
        <v>13</v>
      </c>
      <c r="C19" s="290">
        <v>60813</v>
      </c>
      <c r="D19" s="290">
        <v>16874</v>
      </c>
      <c r="E19" s="290">
        <v>12385</v>
      </c>
      <c r="F19" s="290">
        <f t="shared" si="0"/>
        <v>31554</v>
      </c>
      <c r="G19" s="494">
        <v>65299</v>
      </c>
      <c r="H19" s="66">
        <f>5081+861+7783</f>
        <v>13725</v>
      </c>
      <c r="I19" s="79">
        <f t="shared" si="1"/>
        <v>0.2101869860181626</v>
      </c>
      <c r="J19" s="26">
        <f>Assumptions!$C$62</f>
        <v>27296</v>
      </c>
      <c r="K19" s="26">
        <f t="shared" si="2"/>
        <v>71056014.27280663</v>
      </c>
      <c r="L19" s="391">
        <f>Assumptions!$H$3</f>
        <v>1.1863330000000001</v>
      </c>
      <c r="M19" s="852">
        <f>Assumptions!$C$64</f>
        <v>3.6635404454865184E-2</v>
      </c>
      <c r="N19" s="1522">
        <v>126.1</v>
      </c>
      <c r="O19" s="458">
        <f t="shared" si="19"/>
        <v>5.480531627344666</v>
      </c>
      <c r="P19" s="1047">
        <f t="shared" si="4"/>
        <v>389424733.53517073</v>
      </c>
      <c r="Q19" s="475">
        <v>15</v>
      </c>
      <c r="R19" s="306">
        <f t="shared" si="5"/>
        <v>0.65192683909730376</v>
      </c>
      <c r="S19" s="373">
        <v>0.2</v>
      </c>
      <c r="T19" s="499">
        <f t="shared" si="12"/>
        <v>1.0961063254689332</v>
      </c>
      <c r="U19" s="281">
        <f t="shared" si="13"/>
        <v>0.13038536781946075</v>
      </c>
      <c r="V19" s="281">
        <f t="shared" si="14"/>
        <v>1.226491693288394</v>
      </c>
      <c r="W19" s="342">
        <f t="shared" si="6"/>
        <v>77884946.707034141</v>
      </c>
      <c r="X19" s="1053">
        <f t="shared" si="7"/>
        <v>1.8784185323856977</v>
      </c>
      <c r="Y19" s="1047">
        <f t="shared" si="8"/>
        <v>133472934.04750262</v>
      </c>
      <c r="Z19" s="535">
        <f t="shared" si="15"/>
        <v>0.78231220691676451</v>
      </c>
      <c r="AA19" s="366">
        <f t="shared" si="16"/>
        <v>55587987.340468474</v>
      </c>
      <c r="AB19" s="336">
        <f>-'OECD electricity subsidies'!D55</f>
        <v>0</v>
      </c>
      <c r="AC19" s="342">
        <f t="shared" si="9"/>
        <v>0</v>
      </c>
      <c r="AD19" s="849">
        <f t="shared" si="10"/>
        <v>55587987.340468474</v>
      </c>
      <c r="AE19" s="281">
        <f t="shared" si="11"/>
        <v>7.3589501597303641</v>
      </c>
      <c r="AF19" s="342">
        <f t="shared" si="17"/>
        <v>522897667.58267337</v>
      </c>
      <c r="AG19" s="1"/>
    </row>
    <row r="20" spans="1:33" x14ac:dyDescent="0.6">
      <c r="A20" s="46">
        <f t="shared" si="18"/>
        <v>16</v>
      </c>
      <c r="B20" s="44" t="s">
        <v>14</v>
      </c>
      <c r="C20" s="290">
        <v>127819</v>
      </c>
      <c r="D20" s="290">
        <v>28280</v>
      </c>
      <c r="E20" s="290">
        <v>45443</v>
      </c>
      <c r="F20" s="290">
        <f t="shared" si="0"/>
        <v>54096</v>
      </c>
      <c r="G20" s="494">
        <v>164944</v>
      </c>
      <c r="H20" s="66">
        <f>132962+2118+6387</f>
        <v>141467</v>
      </c>
      <c r="I20" s="79">
        <f t="shared" si="1"/>
        <v>0.85766684450480168</v>
      </c>
      <c r="J20" s="26">
        <f>Assumptions!$C$62</f>
        <v>27296</v>
      </c>
      <c r="K20" s="26">
        <f t="shared" si="2"/>
        <v>1063860355.7072461</v>
      </c>
      <c r="L20" s="391">
        <f>Assumptions!$H$18</f>
        <v>0.28262100000000001</v>
      </c>
      <c r="M20" s="852">
        <f>Assumptions!$C$64</f>
        <v>3.6635404454865184E-2</v>
      </c>
      <c r="N20" s="1523">
        <v>485.9</v>
      </c>
      <c r="O20" s="458">
        <f t="shared" si="19"/>
        <v>5.0309768427608441</v>
      </c>
      <c r="P20" s="1047">
        <f t="shared" si="4"/>
        <v>5352256813.4944696</v>
      </c>
      <c r="Q20" s="1550">
        <v>20</v>
      </c>
      <c r="R20" s="306">
        <f t="shared" si="5"/>
        <v>0.20707869284876906</v>
      </c>
      <c r="S20" s="373">
        <v>0.23</v>
      </c>
      <c r="T20" s="499">
        <f t="shared" si="12"/>
        <v>1.1571246738349943</v>
      </c>
      <c r="U20" s="281">
        <f t="shared" si="13"/>
        <v>4.7628099355216884E-2</v>
      </c>
      <c r="V20" s="281">
        <f t="shared" si="14"/>
        <v>1.2047527731902112</v>
      </c>
      <c r="W20" s="342">
        <f t="shared" si="6"/>
        <v>1231019067.1037281</v>
      </c>
      <c r="X20" s="1053">
        <f t="shared" si="7"/>
        <v>1.4118314660389804</v>
      </c>
      <c r="Y20" s="1047">
        <f t="shared" si="8"/>
        <v>1501991525.6589124</v>
      </c>
      <c r="Z20" s="535">
        <f t="shared" si="15"/>
        <v>0.25470679220398595</v>
      </c>
      <c r="AA20" s="366">
        <f t="shared" si="16"/>
        <v>270972458.55518413</v>
      </c>
      <c r="AB20" s="336">
        <f>-'OECD electricity subsidies'!D57</f>
        <v>0</v>
      </c>
      <c r="AC20" s="342">
        <f t="shared" si="9"/>
        <v>0</v>
      </c>
      <c r="AD20" s="849">
        <f t="shared" si="10"/>
        <v>270972458.55518413</v>
      </c>
      <c r="AE20" s="281">
        <f t="shared" si="11"/>
        <v>6.4428083087998234</v>
      </c>
      <c r="AF20" s="342">
        <f t="shared" si="17"/>
        <v>6854248339.1533804</v>
      </c>
      <c r="AG20" s="1"/>
    </row>
    <row r="21" spans="1:33" x14ac:dyDescent="0.6">
      <c r="A21" s="46">
        <f t="shared" si="18"/>
        <v>17</v>
      </c>
      <c r="B21" s="44" t="s">
        <v>15</v>
      </c>
      <c r="C21" s="290">
        <v>45812</v>
      </c>
      <c r="D21" s="290">
        <v>11974</v>
      </c>
      <c r="E21" s="290">
        <v>17193</v>
      </c>
      <c r="F21" s="290">
        <f t="shared" si="0"/>
        <v>16645</v>
      </c>
      <c r="G21" s="494">
        <v>52420</v>
      </c>
      <c r="H21" s="66">
        <f>14727+1312+10562</f>
        <v>26601</v>
      </c>
      <c r="I21" s="79">
        <f t="shared" si="1"/>
        <v>0.50745898512018317</v>
      </c>
      <c r="J21" s="26">
        <f>Assumptions!$C$62</f>
        <v>27296</v>
      </c>
      <c r="K21" s="26">
        <f t="shared" si="2"/>
        <v>238150566.67165208</v>
      </c>
      <c r="L21" s="391">
        <f>Assumptions!$H$3</f>
        <v>1.1863330000000001</v>
      </c>
      <c r="M21" s="852">
        <f>Assumptions!$C$64</f>
        <v>3.6635404454865184E-2</v>
      </c>
      <c r="N21" s="1522">
        <v>184.3</v>
      </c>
      <c r="O21" s="458">
        <f t="shared" si="19"/>
        <v>8.0100077630422053</v>
      </c>
      <c r="P21" s="1047">
        <f t="shared" si="4"/>
        <v>1907587887.8128335</v>
      </c>
      <c r="Q21" s="475">
        <v>1</v>
      </c>
      <c r="R21" s="306">
        <f t="shared" si="5"/>
        <v>4.3461789273153584E-2</v>
      </c>
      <c r="S21" s="373">
        <v>0.23</v>
      </c>
      <c r="T21" s="499">
        <f t="shared" si="12"/>
        <v>1.8423017854997072</v>
      </c>
      <c r="U21" s="281">
        <f t="shared" si="13"/>
        <v>9.9962115328253252E-3</v>
      </c>
      <c r="V21" s="281">
        <f t="shared" si="14"/>
        <v>1.8522979970325326</v>
      </c>
      <c r="W21" s="342">
        <f t="shared" si="6"/>
        <v>438745214.19695169</v>
      </c>
      <c r="X21" s="1053">
        <f t="shared" si="7"/>
        <v>1.8957597863056863</v>
      </c>
      <c r="Y21" s="1047">
        <f t="shared" si="8"/>
        <v>451476267.38202924</v>
      </c>
      <c r="Z21" s="535">
        <f t="shared" si="15"/>
        <v>5.3458000805978907E-2</v>
      </c>
      <c r="AA21" s="366">
        <f t="shared" si="16"/>
        <v>12731053.185077511</v>
      </c>
      <c r="AB21" s="336">
        <f>-'OECD electricity subsidies'!D59</f>
        <v>0</v>
      </c>
      <c r="AC21" s="342">
        <f t="shared" si="9"/>
        <v>0</v>
      </c>
      <c r="AD21" s="849">
        <f t="shared" si="10"/>
        <v>12731053.185077511</v>
      </c>
      <c r="AE21" s="281">
        <f t="shared" si="11"/>
        <v>9.9057675493478925</v>
      </c>
      <c r="AF21" s="342">
        <f t="shared" si="17"/>
        <v>2359064155.1948628</v>
      </c>
      <c r="AG21" s="1"/>
    </row>
    <row r="22" spans="1:33" x14ac:dyDescent="0.6">
      <c r="A22" s="46">
        <f t="shared" si="18"/>
        <v>18</v>
      </c>
      <c r="B22" s="44" t="s">
        <v>16</v>
      </c>
      <c r="C22" s="290">
        <v>12788</v>
      </c>
      <c r="D22" s="290">
        <v>3205</v>
      </c>
      <c r="E22" s="290">
        <v>3232</v>
      </c>
      <c r="F22" s="290">
        <f t="shared" si="0"/>
        <v>6351</v>
      </c>
      <c r="G22" s="494">
        <v>15100</v>
      </c>
      <c r="H22" s="66">
        <f>4385+17+404</f>
        <v>4806</v>
      </c>
      <c r="I22" s="79">
        <f t="shared" si="1"/>
        <v>0.31827814569536422</v>
      </c>
      <c r="J22" s="26">
        <f>Assumptions!$C$62</f>
        <v>27296</v>
      </c>
      <c r="K22" s="26">
        <f t="shared" si="2"/>
        <v>28078711.896158941</v>
      </c>
      <c r="L22" s="391">
        <f>Assumptions!$H$3</f>
        <v>1.1863330000000001</v>
      </c>
      <c r="M22" s="852">
        <f>Assumptions!$C$64</f>
        <v>3.6635404454865184E-2</v>
      </c>
      <c r="N22" s="1519">
        <v>112.3</v>
      </c>
      <c r="O22" s="458">
        <f t="shared" si="19"/>
        <v>4.8807589353751464</v>
      </c>
      <c r="P22" s="1047">
        <f t="shared" si="4"/>
        <v>137045423.98100218</v>
      </c>
      <c r="Q22" s="475">
        <v>3.05</v>
      </c>
      <c r="R22" s="306">
        <f t="shared" si="5"/>
        <v>0.13255845728311841</v>
      </c>
      <c r="S22" s="373">
        <v>0.22</v>
      </c>
      <c r="T22" s="499">
        <f t="shared" si="12"/>
        <v>1.0737669657825322</v>
      </c>
      <c r="U22" s="281">
        <f t="shared" si="13"/>
        <v>2.916286060228605E-2</v>
      </c>
      <c r="V22" s="281">
        <f t="shared" si="14"/>
        <v>1.1029298263848182</v>
      </c>
      <c r="W22" s="342">
        <f t="shared" si="6"/>
        <v>30149993.275820475</v>
      </c>
      <c r="X22" s="1053">
        <f t="shared" si="7"/>
        <v>1.2354882836679366</v>
      </c>
      <c r="Y22" s="1047">
        <f t="shared" si="8"/>
        <v>34690919.568191886</v>
      </c>
      <c r="Z22" s="535">
        <f t="shared" si="15"/>
        <v>0.16172131788540445</v>
      </c>
      <c r="AA22" s="366">
        <f t="shared" si="16"/>
        <v>4540926.2923714072</v>
      </c>
      <c r="AB22" s="336">
        <f>-'OECD electricity subsidies'!D61</f>
        <v>0</v>
      </c>
      <c r="AC22" s="342">
        <f t="shared" si="9"/>
        <v>0</v>
      </c>
      <c r="AD22" s="849">
        <f t="shared" si="10"/>
        <v>4540926.2923714072</v>
      </c>
      <c r="AE22" s="281">
        <f t="shared" si="11"/>
        <v>6.1162472190430828</v>
      </c>
      <c r="AF22" s="342">
        <f t="shared" si="17"/>
        <v>171736343.54919404</v>
      </c>
      <c r="AG22" s="1"/>
    </row>
    <row r="23" spans="1:33" x14ac:dyDescent="0.6">
      <c r="A23" s="46">
        <f t="shared" si="18"/>
        <v>19</v>
      </c>
      <c r="B23" s="44" t="s">
        <v>17</v>
      </c>
      <c r="C23" s="290">
        <v>24371</v>
      </c>
      <c r="D23" s="290">
        <v>5035</v>
      </c>
      <c r="E23" s="290">
        <v>6866</v>
      </c>
      <c r="F23" s="290">
        <f t="shared" si="0"/>
        <v>12470</v>
      </c>
      <c r="G23" s="494">
        <v>26903</v>
      </c>
      <c r="H23" s="66">
        <f>3332+384+1604</f>
        <v>5320</v>
      </c>
      <c r="I23" s="79">
        <f t="shared" si="1"/>
        <v>0.19774746310820354</v>
      </c>
      <c r="J23" s="26">
        <f>Assumptions!$C$62</f>
        <v>27296</v>
      </c>
      <c r="K23" s="26">
        <f t="shared" si="2"/>
        <v>37060709.494108461</v>
      </c>
      <c r="L23" s="391">
        <f>Assumptions!$H$3</f>
        <v>1.1863330000000001</v>
      </c>
      <c r="M23" s="852">
        <f>Assumptions!$C$64</f>
        <v>3.6635404454865184E-2</v>
      </c>
      <c r="N23" s="1519">
        <v>133</v>
      </c>
      <c r="O23" s="458">
        <f t="shared" si="19"/>
        <v>5.7804179733294268</v>
      </c>
      <c r="P23" s="1047">
        <f t="shared" si="4"/>
        <v>214226391.26408508</v>
      </c>
      <c r="Q23" s="475">
        <v>1.32</v>
      </c>
      <c r="R23" s="306">
        <f t="shared" si="5"/>
        <v>5.7369561840562723E-2</v>
      </c>
      <c r="S23" s="373">
        <v>0.2</v>
      </c>
      <c r="T23" s="499">
        <f t="shared" si="12"/>
        <v>1.1560835946658854</v>
      </c>
      <c r="U23" s="281">
        <f t="shared" si="13"/>
        <v>1.1473912368112545E-2</v>
      </c>
      <c r="V23" s="281">
        <f t="shared" si="14"/>
        <v>1.1675575070339979</v>
      </c>
      <c r="W23" s="342">
        <f t="shared" si="6"/>
        <v>42845278.25281702</v>
      </c>
      <c r="X23" s="1053">
        <f t="shared" si="7"/>
        <v>1.2249270688745606</v>
      </c>
      <c r="Y23" s="1047">
        <f t="shared" si="8"/>
        <v>45396666.251029879</v>
      </c>
      <c r="Z23" s="535">
        <f t="shared" si="15"/>
        <v>6.8843474208675273E-2</v>
      </c>
      <c r="AA23" s="366">
        <f t="shared" si="16"/>
        <v>2551387.9982128628</v>
      </c>
      <c r="AB23" s="336">
        <f>-'OECD electricity subsidies'!D63</f>
        <v>0</v>
      </c>
      <c r="AC23" s="342">
        <f t="shared" si="9"/>
        <v>0</v>
      </c>
      <c r="AD23" s="849">
        <f t="shared" si="10"/>
        <v>2551387.9982128628</v>
      </c>
      <c r="AE23" s="281">
        <f t="shared" si="11"/>
        <v>7.0053450422039871</v>
      </c>
      <c r="AF23" s="342">
        <f t="shared" si="17"/>
        <v>259623057.51511493</v>
      </c>
      <c r="AG23" s="1"/>
    </row>
    <row r="24" spans="1:33" x14ac:dyDescent="0.6">
      <c r="A24" s="46">
        <f t="shared" si="18"/>
        <v>20</v>
      </c>
      <c r="B24" s="44" t="s">
        <v>18</v>
      </c>
      <c r="C24" s="290">
        <v>78466</v>
      </c>
      <c r="D24" s="290">
        <v>20917</v>
      </c>
      <c r="E24" s="290">
        <v>17433</v>
      </c>
      <c r="F24" s="290">
        <f t="shared" si="0"/>
        <v>40116</v>
      </c>
      <c r="G24" s="494">
        <v>68598</v>
      </c>
      <c r="H24" s="66">
        <f>8787+212+5195</f>
        <v>14194</v>
      </c>
      <c r="I24" s="79">
        <f t="shared" si="1"/>
        <v>0.20691565351759528</v>
      </c>
      <c r="J24" s="26">
        <f>Assumptions!$C$62</f>
        <v>27296</v>
      </c>
      <c r="K24" s="26">
        <f t="shared" si="2"/>
        <v>98461055.40383102</v>
      </c>
      <c r="L24" s="391">
        <f>Assumptions!$H$3</f>
        <v>1.1863330000000001</v>
      </c>
      <c r="M24" s="852">
        <f>Assumptions!$C$64</f>
        <v>3.6635404454865184E-2</v>
      </c>
      <c r="N24" s="1519">
        <v>100.5</v>
      </c>
      <c r="O24" s="458">
        <f t="shared" si="19"/>
        <v>4.367909821951935</v>
      </c>
      <c r="P24" s="1047">
        <f t="shared" si="4"/>
        <v>430069010.97814715</v>
      </c>
      <c r="Q24" s="475">
        <v>7.03</v>
      </c>
      <c r="R24" s="306">
        <f t="shared" si="5"/>
        <v>0.30553637859026966</v>
      </c>
      <c r="S24" s="373">
        <v>0.24</v>
      </c>
      <c r="T24" s="499">
        <f t="shared" si="12"/>
        <v>1.0482983572684643</v>
      </c>
      <c r="U24" s="281">
        <f t="shared" si="13"/>
        <v>7.332873086166472E-2</v>
      </c>
      <c r="V24" s="281">
        <f t="shared" si="14"/>
        <v>1.1216270881301291</v>
      </c>
      <c r="W24" s="342">
        <f t="shared" si="6"/>
        <v>103216562.63475531</v>
      </c>
      <c r="X24" s="1053">
        <f t="shared" si="7"/>
        <v>1.4271634667203987</v>
      </c>
      <c r="Y24" s="1047">
        <f t="shared" si="8"/>
        <v>140520021.16708073</v>
      </c>
      <c r="Z24" s="535">
        <f t="shared" si="15"/>
        <v>0.37886510945193441</v>
      </c>
      <c r="AA24" s="366">
        <f t="shared" si="16"/>
        <v>37303458.532325417</v>
      </c>
      <c r="AB24" s="336">
        <f>-'OECD electricity subsidies'!D65</f>
        <v>0</v>
      </c>
      <c r="AC24" s="342">
        <f t="shared" si="9"/>
        <v>0</v>
      </c>
      <c r="AD24" s="849">
        <f t="shared" si="10"/>
        <v>37303458.532325417</v>
      </c>
      <c r="AE24" s="281">
        <f t="shared" si="11"/>
        <v>5.7950732886723335</v>
      </c>
      <c r="AF24" s="342">
        <f t="shared" si="17"/>
        <v>570589032.14522791</v>
      </c>
      <c r="AG24" s="1"/>
    </row>
    <row r="25" spans="1:33" x14ac:dyDescent="0.6">
      <c r="A25" s="46">
        <f t="shared" si="18"/>
        <v>21</v>
      </c>
      <c r="B25" s="44" t="s">
        <v>19</v>
      </c>
      <c r="C25" s="290">
        <v>124859</v>
      </c>
      <c r="D25" s="290">
        <v>42987</v>
      </c>
      <c r="E25" s="290">
        <v>27736</v>
      </c>
      <c r="F25" s="290">
        <f t="shared" si="0"/>
        <v>54136</v>
      </c>
      <c r="G25" s="494">
        <v>162058</v>
      </c>
      <c r="H25" s="66">
        <f>1261+252+425</f>
        <v>1938</v>
      </c>
      <c r="I25" s="79">
        <f t="shared" si="1"/>
        <v>1.1958681459724296E-2</v>
      </c>
      <c r="J25" s="26">
        <f>Assumptions!$C$62</f>
        <v>27296</v>
      </c>
      <c r="K25" s="26">
        <f t="shared" si="2"/>
        <v>9053700.7548408583</v>
      </c>
      <c r="L25" s="391">
        <f>Assumptions!$H$19</f>
        <v>0.119739</v>
      </c>
      <c r="M25" s="852">
        <f>Assumptions!$C$64</f>
        <v>3.6635404454865184E-2</v>
      </c>
      <c r="N25" s="1521">
        <v>863</v>
      </c>
      <c r="O25" s="458">
        <f t="shared" si="19"/>
        <v>3.7857106169402113</v>
      </c>
      <c r="P25" s="1047">
        <f t="shared" si="4"/>
        <v>34274691.070200644</v>
      </c>
      <c r="Q25" s="517">
        <v>5</v>
      </c>
      <c r="R25" s="306">
        <f t="shared" si="5"/>
        <v>2.1933433470105512E-2</v>
      </c>
      <c r="S25" s="373">
        <v>0.25</v>
      </c>
      <c r="T25" s="499">
        <f t="shared" si="12"/>
        <v>0.94642765423505282</v>
      </c>
      <c r="U25" s="281">
        <f t="shared" si="13"/>
        <v>5.4833583675263781E-3</v>
      </c>
      <c r="V25" s="281">
        <f t="shared" si="14"/>
        <v>0.95191101260257915</v>
      </c>
      <c r="W25" s="342">
        <f t="shared" si="6"/>
        <v>8568672.7675501611</v>
      </c>
      <c r="X25" s="1053">
        <f t="shared" si="7"/>
        <v>0.97384444607268472</v>
      </c>
      <c r="Y25" s="1047">
        <f t="shared" si="8"/>
        <v>8816896.1965058427</v>
      </c>
      <c r="Z25" s="535">
        <f t="shared" si="15"/>
        <v>2.741679183763189E-2</v>
      </c>
      <c r="AA25" s="366">
        <f t="shared" si="16"/>
        <v>248223.42895568252</v>
      </c>
      <c r="AB25" s="336">
        <f>-'OECD electricity subsidies'!D67</f>
        <v>0</v>
      </c>
      <c r="AC25" s="342">
        <f t="shared" si="9"/>
        <v>0</v>
      </c>
      <c r="AD25" s="849">
        <f t="shared" si="10"/>
        <v>248223.42895568252</v>
      </c>
      <c r="AE25" s="281">
        <f t="shared" si="11"/>
        <v>4.759555063012896</v>
      </c>
      <c r="AF25" s="342">
        <f t="shared" si="17"/>
        <v>43091587.266706482</v>
      </c>
      <c r="AG25" s="1"/>
    </row>
    <row r="26" spans="1:33" ht="15.9" thickBot="1" x14ac:dyDescent="0.65">
      <c r="A26" s="15">
        <f t="shared" si="18"/>
        <v>22</v>
      </c>
      <c r="B26" s="47" t="s">
        <v>20</v>
      </c>
      <c r="C26" s="291">
        <v>302850</v>
      </c>
      <c r="D26" s="291">
        <v>108157</v>
      </c>
      <c r="E26" s="291">
        <v>93680</v>
      </c>
      <c r="F26" s="291">
        <f t="shared" si="0"/>
        <v>101013</v>
      </c>
      <c r="G26" s="495">
        <v>339095</v>
      </c>
      <c r="H26" s="67">
        <f>76711+2133+100033</f>
        <v>178877</v>
      </c>
      <c r="I26" s="92">
        <f t="shared" si="1"/>
        <v>0.52751293885194417</v>
      </c>
      <c r="J26" s="38">
        <f>Assumptions!$C$62</f>
        <v>27296</v>
      </c>
      <c r="K26" s="38">
        <f t="shared" si="2"/>
        <v>1348897680.9996018</v>
      </c>
      <c r="L26" s="505">
        <f>Assumptions!$H$20</f>
        <v>1.337591</v>
      </c>
      <c r="M26" s="854">
        <f>Assumptions!$C$64</f>
        <v>3.6635404454865184E-2</v>
      </c>
      <c r="N26" s="1525">
        <v>147.6</v>
      </c>
      <c r="O26" s="371">
        <f t="shared" si="19"/>
        <v>7.2328704425556856</v>
      </c>
      <c r="P26" s="1048">
        <f t="shared" si="4"/>
        <v>9756402166.9339275</v>
      </c>
      <c r="Q26" s="518">
        <v>0</v>
      </c>
      <c r="R26" s="309">
        <f t="shared" si="5"/>
        <v>0</v>
      </c>
      <c r="S26" s="374">
        <v>0.05</v>
      </c>
      <c r="T26" s="500">
        <f t="shared" si="12"/>
        <v>0.36164352212778428</v>
      </c>
      <c r="U26" s="318">
        <f t="shared" si="13"/>
        <v>0</v>
      </c>
      <c r="V26" s="318">
        <f t="shared" si="14"/>
        <v>0.36164352212778428</v>
      </c>
      <c r="W26" s="344">
        <f t="shared" si="6"/>
        <v>487820108.34669644</v>
      </c>
      <c r="X26" s="1054">
        <f t="shared" si="7"/>
        <v>0.36164352212778428</v>
      </c>
      <c r="Y26" s="1048">
        <f t="shared" si="8"/>
        <v>487820108.34669644</v>
      </c>
      <c r="Z26" s="846">
        <f t="shared" si="15"/>
        <v>0</v>
      </c>
      <c r="AA26" s="368">
        <f t="shared" si="16"/>
        <v>0</v>
      </c>
      <c r="AB26" s="340">
        <f>-'OECD electricity subsidies'!D69</f>
        <v>0</v>
      </c>
      <c r="AC26" s="344">
        <f t="shared" si="9"/>
        <v>0</v>
      </c>
      <c r="AD26" s="851">
        <f t="shared" si="10"/>
        <v>0</v>
      </c>
      <c r="AE26" s="318">
        <f t="shared" si="11"/>
        <v>7.5945139646834701</v>
      </c>
      <c r="AF26" s="344">
        <f t="shared" si="17"/>
        <v>10244222275.280624</v>
      </c>
      <c r="AG26" s="1"/>
    </row>
    <row r="27" spans="1:33" ht="15.9" thickTop="1" x14ac:dyDescent="0.6">
      <c r="A27" s="48" t="s">
        <v>36</v>
      </c>
      <c r="B27" s="44"/>
      <c r="C27" s="290"/>
      <c r="D27" s="290"/>
      <c r="E27" s="290"/>
      <c r="F27" s="290"/>
      <c r="G27" s="494"/>
      <c r="H27" s="66"/>
      <c r="I27" s="79"/>
      <c r="J27" s="26"/>
      <c r="K27" s="26"/>
      <c r="L27" s="399"/>
      <c r="M27" s="852"/>
      <c r="N27" s="867"/>
      <c r="O27" s="458"/>
      <c r="P27" s="1047"/>
      <c r="Q27" s="519"/>
      <c r="R27" s="306"/>
      <c r="S27" s="322"/>
      <c r="T27" s="362"/>
      <c r="U27" s="320"/>
      <c r="V27" s="320"/>
      <c r="W27" s="847"/>
      <c r="X27" s="1053"/>
      <c r="Y27" s="1047"/>
      <c r="Z27" s="844"/>
      <c r="AA27" s="366">
        <f t="shared" si="16"/>
        <v>0</v>
      </c>
      <c r="AB27" s="336"/>
      <c r="AC27" s="342"/>
      <c r="AD27" s="849"/>
      <c r="AE27" s="320"/>
      <c r="AF27" s="342"/>
      <c r="AG27" s="1"/>
    </row>
    <row r="28" spans="1:33" x14ac:dyDescent="0.6">
      <c r="A28" s="61">
        <f>A26+1</f>
        <v>23</v>
      </c>
      <c r="B28" s="44" t="s">
        <v>38</v>
      </c>
      <c r="C28" s="290">
        <v>503065</v>
      </c>
      <c r="D28" s="290">
        <v>169016</v>
      </c>
      <c r="E28" s="290">
        <v>118122</v>
      </c>
      <c r="F28" s="290">
        <f t="shared" si="0"/>
        <v>215927</v>
      </c>
      <c r="G28" s="494">
        <v>670851</v>
      </c>
      <c r="H28" s="66">
        <f>65977+8148+67181</f>
        <v>141306</v>
      </c>
      <c r="I28" s="79">
        <f t="shared" si="1"/>
        <v>0.2106369372632671</v>
      </c>
      <c r="J28" s="26">
        <f>Assumptions!$C$62</f>
        <v>27296</v>
      </c>
      <c r="K28" s="26">
        <f t="shared" si="2"/>
        <v>679147853.65792406</v>
      </c>
      <c r="L28" s="399">
        <f>Assumptions!$H$4</f>
        <v>0.78824099999999997</v>
      </c>
      <c r="M28" s="852">
        <f>Assumptions!$C$64</f>
        <v>3.6635404454865184E-2</v>
      </c>
      <c r="N28" s="861"/>
      <c r="O28" s="458">
        <f>(AE28-R28)/(1+S28)</f>
        <v>3.9355945088762354</v>
      </c>
      <c r="P28" s="1047">
        <f t="shared" si="4"/>
        <v>2672850563.571207</v>
      </c>
      <c r="Q28" s="509"/>
      <c r="R28" s="306">
        <f t="shared" ref="R28:R34" si="20">Q28*M28*L28</f>
        <v>0</v>
      </c>
      <c r="S28" s="322">
        <v>0.05</v>
      </c>
      <c r="T28" s="362">
        <f t="shared" si="12"/>
        <v>0.19677972544381178</v>
      </c>
      <c r="U28" s="320">
        <f t="shared" si="13"/>
        <v>0</v>
      </c>
      <c r="V28" s="320">
        <f t="shared" si="14"/>
        <v>0.19677972544381178</v>
      </c>
      <c r="W28" s="847">
        <f t="shared" si="6"/>
        <v>133642528.17856036</v>
      </c>
      <c r="X28" s="1053">
        <f t="shared" si="7"/>
        <v>0.19677972544381178</v>
      </c>
      <c r="Y28" s="1047">
        <f t="shared" ref="Y28:Y34" si="21">X28*K28</f>
        <v>133642528.17856036</v>
      </c>
      <c r="Z28" s="844">
        <f t="shared" si="15"/>
        <v>0</v>
      </c>
      <c r="AA28" s="366">
        <f t="shared" si="16"/>
        <v>0</v>
      </c>
      <c r="AB28" s="336">
        <f>-'OECD electricity subsidies'!D71</f>
        <v>0</v>
      </c>
      <c r="AC28" s="342">
        <f t="shared" si="9"/>
        <v>0</v>
      </c>
      <c r="AD28" s="849">
        <f t="shared" ref="AD28:AD34" si="22">AA28+AC28</f>
        <v>0</v>
      </c>
      <c r="AE28" s="320">
        <f>0.1431*1000*M28*L28</f>
        <v>4.1323742343200474</v>
      </c>
      <c r="AF28" s="342">
        <f t="shared" si="17"/>
        <v>2806493091.7497673</v>
      </c>
      <c r="AG28" s="1"/>
    </row>
    <row r="29" spans="1:33" x14ac:dyDescent="0.6">
      <c r="A29" s="61">
        <f t="shared" ref="A29:A34" si="23">A28+1</f>
        <v>24</v>
      </c>
      <c r="B29" s="44" t="s">
        <v>39</v>
      </c>
      <c r="C29" s="290">
        <v>110768</v>
      </c>
      <c r="D29" s="290">
        <v>37288</v>
      </c>
      <c r="E29" s="290">
        <v>25543</v>
      </c>
      <c r="F29" s="290">
        <f t="shared" si="0"/>
        <v>47937</v>
      </c>
      <c r="G29" s="494">
        <v>145021</v>
      </c>
      <c r="H29" s="66">
        <f>151+29+2598</f>
        <v>2778</v>
      </c>
      <c r="I29" s="79">
        <f t="shared" si="1"/>
        <v>1.9155846394660083E-2</v>
      </c>
      <c r="J29" s="26">
        <f>Assumptions!$C$62</f>
        <v>27296</v>
      </c>
      <c r="K29" s="26">
        <f t="shared" si="2"/>
        <v>13355872.324587472</v>
      </c>
      <c r="L29" s="399">
        <f>Assumptions!$H$5</f>
        <v>0.12035</v>
      </c>
      <c r="M29" s="852">
        <f>Assumptions!$C$64</f>
        <v>3.6635404454865184E-2</v>
      </c>
      <c r="N29" s="868">
        <v>464</v>
      </c>
      <c r="O29" s="458">
        <f>L29*N29*M29</f>
        <v>2.0458089097303636</v>
      </c>
      <c r="P29" s="1047">
        <f t="shared" si="4"/>
        <v>27323562.598862231</v>
      </c>
      <c r="Q29" s="478">
        <v>136.5</v>
      </c>
      <c r="R29" s="306">
        <f t="shared" si="20"/>
        <v>0.60183818141852286</v>
      </c>
      <c r="S29" s="322">
        <v>0.25</v>
      </c>
      <c r="T29" s="362">
        <f t="shared" si="12"/>
        <v>0.51145222743259089</v>
      </c>
      <c r="U29" s="320">
        <f t="shared" si="13"/>
        <v>0.15045954535463071</v>
      </c>
      <c r="V29" s="320">
        <f t="shared" si="14"/>
        <v>0.66191177278722158</v>
      </c>
      <c r="W29" s="847">
        <f t="shared" si="6"/>
        <v>6830890.6497155577</v>
      </c>
      <c r="X29" s="1053">
        <f t="shared" si="7"/>
        <v>1.2637499542057444</v>
      </c>
      <c r="Y29" s="1047">
        <f t="shared" si="21"/>
        <v>16878483.038575187</v>
      </c>
      <c r="Z29" s="844">
        <f t="shared" si="15"/>
        <v>0.75229772677315354</v>
      </c>
      <c r="AA29" s="366">
        <f t="shared" si="16"/>
        <v>10047592.38885963</v>
      </c>
      <c r="AB29" s="336">
        <f>-'OECD electricity subsidies'!D78</f>
        <v>0</v>
      </c>
      <c r="AC29" s="342">
        <f t="shared" si="9"/>
        <v>0</v>
      </c>
      <c r="AD29" s="849">
        <f t="shared" si="22"/>
        <v>10047592.38885963</v>
      </c>
      <c r="AE29" s="281">
        <f>(O29+R29)*(1+S29)</f>
        <v>3.309558863936108</v>
      </c>
      <c r="AF29" s="342">
        <f t="shared" si="17"/>
        <v>44202045.637437418</v>
      </c>
      <c r="AG29" s="1"/>
    </row>
    <row r="30" spans="1:33" x14ac:dyDescent="0.6">
      <c r="A30" s="61">
        <f t="shared" si="23"/>
        <v>25</v>
      </c>
      <c r="B30" s="44" t="s">
        <v>40</v>
      </c>
      <c r="C30" s="290">
        <v>58239</v>
      </c>
      <c r="D30" s="290">
        <v>18761</v>
      </c>
      <c r="E30" s="290">
        <v>17367</v>
      </c>
      <c r="F30" s="290">
        <f t="shared" si="0"/>
        <v>22111</v>
      </c>
      <c r="G30" s="494">
        <v>67720</v>
      </c>
      <c r="H30" s="66">
        <f>45+662</f>
        <v>707</v>
      </c>
      <c r="I30" s="79">
        <f t="shared" si="1"/>
        <v>1.0440047253396338E-2</v>
      </c>
      <c r="J30" s="26">
        <f>Assumptions!$C$62</f>
        <v>27296</v>
      </c>
      <c r="K30" s="26">
        <f t="shared" si="2"/>
        <v>4949100.5585351447</v>
      </c>
      <c r="L30" s="399">
        <f>Assumptions!$H$6</f>
        <v>1.010632</v>
      </c>
      <c r="M30" s="852">
        <f>Assumptions!$C$64</f>
        <v>3.6635404454865184E-2</v>
      </c>
      <c r="N30" s="869">
        <v>172.5</v>
      </c>
      <c r="O30" s="458">
        <f>L30*N30*M30</f>
        <v>6.3867973329425567</v>
      </c>
      <c r="P30" s="1047">
        <f t="shared" si="4"/>
        <v>31608902.247716781</v>
      </c>
      <c r="Q30" s="520">
        <v>11</v>
      </c>
      <c r="R30" s="306">
        <f t="shared" si="20"/>
        <v>0.40727403282532243</v>
      </c>
      <c r="S30" s="322">
        <v>0.08</v>
      </c>
      <c r="T30" s="362">
        <f t="shared" si="12"/>
        <v>0.51094378663540452</v>
      </c>
      <c r="U30" s="320">
        <f t="shared" si="13"/>
        <v>3.2581922626025793E-2</v>
      </c>
      <c r="V30" s="320">
        <f t="shared" si="14"/>
        <v>0.54352570926143029</v>
      </c>
      <c r="W30" s="847">
        <f t="shared" si="6"/>
        <v>2528712.1798173422</v>
      </c>
      <c r="X30" s="1053">
        <f t="shared" si="7"/>
        <v>0.95079974208675266</v>
      </c>
      <c r="Y30" s="1047">
        <f t="shared" si="21"/>
        <v>4705603.5346166193</v>
      </c>
      <c r="Z30" s="844">
        <f t="shared" si="15"/>
        <v>0.4398559554513482</v>
      </c>
      <c r="AA30" s="366">
        <f t="shared" si="16"/>
        <v>2176891.3547992771</v>
      </c>
      <c r="AB30" s="336">
        <f>-'OECD electricity subsidies'!D80</f>
        <v>0</v>
      </c>
      <c r="AC30" s="342">
        <f t="shared" si="9"/>
        <v>0</v>
      </c>
      <c r="AD30" s="849">
        <f t="shared" si="22"/>
        <v>2176891.3547992771</v>
      </c>
      <c r="AE30" s="281">
        <f>(O30+R30)*(1+S30)</f>
        <v>7.3375970750293096</v>
      </c>
      <c r="AF30" s="342">
        <f t="shared" si="17"/>
        <v>36314505.782333396</v>
      </c>
      <c r="AG30" s="1"/>
    </row>
    <row r="31" spans="1:33" x14ac:dyDescent="0.6">
      <c r="A31" s="61">
        <f t="shared" si="23"/>
        <v>26</v>
      </c>
      <c r="B31" s="44" t="s">
        <v>31</v>
      </c>
      <c r="C31" s="290">
        <v>949234</v>
      </c>
      <c r="D31" s="290">
        <v>267638</v>
      </c>
      <c r="E31" s="290">
        <v>326740</v>
      </c>
      <c r="F31" s="290">
        <f t="shared" si="0"/>
        <v>354856</v>
      </c>
      <c r="G31" s="494">
        <v>1041343</v>
      </c>
      <c r="H31" s="66">
        <f>343219+102524+409833</f>
        <v>855576</v>
      </c>
      <c r="I31" s="79">
        <f t="shared" si="1"/>
        <v>0.82160825011547589</v>
      </c>
      <c r="J31" s="26">
        <f>Assumptions!$C$62</f>
        <v>27296</v>
      </c>
      <c r="K31" s="26">
        <f t="shared" si="2"/>
        <v>7327673425.1279745</v>
      </c>
      <c r="L31" s="399">
        <f>Assumptions!$H$7</f>
        <v>8.829E-3</v>
      </c>
      <c r="M31" s="852">
        <f>Assumptions!$C$64</f>
        <v>3.6635404454865184E-2</v>
      </c>
      <c r="N31" s="870">
        <v>25078</v>
      </c>
      <c r="O31" s="458">
        <f>L31*N31*M31</f>
        <v>8.1115790592028141</v>
      </c>
      <c r="P31" s="1047">
        <f t="shared" si="4"/>
        <v>59439002307.945038</v>
      </c>
      <c r="Q31" s="521">
        <v>375</v>
      </c>
      <c r="R31" s="306">
        <f t="shared" si="20"/>
        <v>0.12129524472450176</v>
      </c>
      <c r="S31" s="322">
        <v>0.05</v>
      </c>
      <c r="T31" s="362">
        <f t="shared" si="12"/>
        <v>0.40557895296014074</v>
      </c>
      <c r="U31" s="320">
        <f t="shared" si="13"/>
        <v>6.0647622362250886E-3</v>
      </c>
      <c r="V31" s="320">
        <f t="shared" si="14"/>
        <v>0.41164371519636583</v>
      </c>
      <c r="W31" s="847">
        <f t="shared" si="6"/>
        <v>2971950115.3972521</v>
      </c>
      <c r="X31" s="1053">
        <f t="shared" si="7"/>
        <v>0.53293895992086759</v>
      </c>
      <c r="Y31" s="1047">
        <f t="shared" si="21"/>
        <v>3905202653.8274841</v>
      </c>
      <c r="Z31" s="844">
        <f t="shared" si="15"/>
        <v>0.12736000696072686</v>
      </c>
      <c r="AA31" s="366">
        <f t="shared" si="16"/>
        <v>933252538.43023205</v>
      </c>
      <c r="AB31" s="336">
        <f>-'OECD electricity subsidies'!D82</f>
        <v>0</v>
      </c>
      <c r="AC31" s="342">
        <f t="shared" si="9"/>
        <v>0</v>
      </c>
      <c r="AD31" s="849">
        <f t="shared" si="22"/>
        <v>933252538.43023205</v>
      </c>
      <c r="AE31" s="281">
        <f>(O31+R31)*(1+S31)</f>
        <v>8.6445180191236819</v>
      </c>
      <c r="AF31" s="342">
        <f t="shared" si="17"/>
        <v>63344204961.772522</v>
      </c>
      <c r="AG31" s="1"/>
    </row>
    <row r="32" spans="1:33" x14ac:dyDescent="0.6">
      <c r="A32" s="61">
        <f t="shared" si="23"/>
        <v>27</v>
      </c>
      <c r="B32" s="44" t="s">
        <v>47</v>
      </c>
      <c r="C32" s="290">
        <v>495311</v>
      </c>
      <c r="D32" s="290">
        <v>63802</v>
      </c>
      <c r="E32" s="290">
        <v>152278</v>
      </c>
      <c r="F32" s="290">
        <f t="shared" si="0"/>
        <v>279231</v>
      </c>
      <c r="G32" s="494">
        <v>552876</v>
      </c>
      <c r="H32" s="66">
        <f>236586+12518+122856</f>
        <v>371960</v>
      </c>
      <c r="I32" s="79">
        <f t="shared" si="1"/>
        <v>0.67277291833973618</v>
      </c>
      <c r="J32" s="26">
        <f>Assumptions!$C$62</f>
        <v>27296</v>
      </c>
      <c r="K32" s="26">
        <f t="shared" si="2"/>
        <v>2796434650.6711812</v>
      </c>
      <c r="L32" s="399">
        <f>Assumptions!$H$8</f>
        <v>9.3000000000000005E-4</v>
      </c>
      <c r="M32" s="852">
        <f>Assumptions!$C$64</f>
        <v>3.6635404454865184E-2</v>
      </c>
      <c r="N32" s="871">
        <f>O32/M32/L32</f>
        <v>97272.727272727279</v>
      </c>
      <c r="O32" s="458">
        <f>AE32/(1+S32)</f>
        <v>3.3141719066396678</v>
      </c>
      <c r="P32" s="1047">
        <f t="shared" si="4"/>
        <v>9267865158.0081425</v>
      </c>
      <c r="Q32" s="522"/>
      <c r="R32" s="306">
        <f t="shared" si="20"/>
        <v>0</v>
      </c>
      <c r="S32" s="322">
        <v>0.1</v>
      </c>
      <c r="T32" s="362">
        <f t="shared" si="12"/>
        <v>0.3314171906639668</v>
      </c>
      <c r="U32" s="320">
        <f t="shared" si="13"/>
        <v>0</v>
      </c>
      <c r="V32" s="320">
        <f t="shared" si="14"/>
        <v>0.3314171906639668</v>
      </c>
      <c r="W32" s="847">
        <f t="shared" si="6"/>
        <v>926786515.80081427</v>
      </c>
      <c r="X32" s="1053">
        <f t="shared" si="7"/>
        <v>0.3314171906639668</v>
      </c>
      <c r="Y32" s="1047">
        <f t="shared" si="21"/>
        <v>926786515.80081427</v>
      </c>
      <c r="Z32" s="844">
        <f t="shared" si="15"/>
        <v>0</v>
      </c>
      <c r="AA32" s="366">
        <f t="shared" si="16"/>
        <v>0</v>
      </c>
      <c r="AB32" s="336">
        <f>-'OECD electricity subsidies'!D84</f>
        <v>0</v>
      </c>
      <c r="AC32" s="342">
        <f t="shared" si="9"/>
        <v>0</v>
      </c>
      <c r="AD32" s="849">
        <f t="shared" si="22"/>
        <v>0</v>
      </c>
      <c r="AE32" s="320">
        <f>107000*M32*L32</f>
        <v>3.6455890973036347</v>
      </c>
      <c r="AF32" s="342">
        <f t="shared" si="17"/>
        <v>10194651673.808956</v>
      </c>
      <c r="AG32" s="1"/>
    </row>
    <row r="33" spans="1:33" x14ac:dyDescent="0.6">
      <c r="A33" s="61">
        <f t="shared" si="23"/>
        <v>28</v>
      </c>
      <c r="B33" s="44" t="s">
        <v>32</v>
      </c>
      <c r="C33" s="290">
        <v>211318</v>
      </c>
      <c r="D33" s="290">
        <v>59273</v>
      </c>
      <c r="E33" s="290">
        <v>67126</v>
      </c>
      <c r="F33" s="290">
        <f t="shared" si="0"/>
        <v>84919</v>
      </c>
      <c r="G33" s="494">
        <v>252360</v>
      </c>
      <c r="H33" s="66">
        <f>158610+6799+52462</f>
        <v>217871</v>
      </c>
      <c r="I33" s="79">
        <f t="shared" si="1"/>
        <v>0.86333412585195757</v>
      </c>
      <c r="J33" s="26">
        <f>Assumptions!$C$62</f>
        <v>27296</v>
      </c>
      <c r="K33" s="26">
        <f t="shared" si="2"/>
        <v>1581862337.6557934</v>
      </c>
      <c r="L33" s="399">
        <f>Assumptions!$H$9</f>
        <v>0.77382200000000001</v>
      </c>
      <c r="M33" s="852">
        <f>Assumptions!$C$64</f>
        <v>3.6635404454865184E-2</v>
      </c>
      <c r="N33" s="861"/>
      <c r="O33" s="458">
        <f>AE33/(1+S33)-R33</f>
        <v>5.6956284637109666</v>
      </c>
      <c r="P33" s="1047">
        <f t="shared" si="4"/>
        <v>9009700156.0247059</v>
      </c>
      <c r="Q33" s="509"/>
      <c r="R33" s="306">
        <f t="shared" si="20"/>
        <v>0</v>
      </c>
      <c r="S33" s="322">
        <v>0.1</v>
      </c>
      <c r="T33" s="362">
        <f t="shared" si="12"/>
        <v>0.56956284637109666</v>
      </c>
      <c r="U33" s="320">
        <f t="shared" si="13"/>
        <v>0</v>
      </c>
      <c r="V33" s="320">
        <f t="shared" si="14"/>
        <v>0.56956284637109666</v>
      </c>
      <c r="W33" s="847">
        <f t="shared" si="6"/>
        <v>900970015.60247052</v>
      </c>
      <c r="X33" s="1053">
        <f t="shared" si="7"/>
        <v>0.56956284637109666</v>
      </c>
      <c r="Y33" s="1047">
        <f t="shared" si="21"/>
        <v>900970015.60247052</v>
      </c>
      <c r="Z33" s="844">
        <f t="shared" si="15"/>
        <v>0</v>
      </c>
      <c r="AA33" s="366">
        <f t="shared" si="16"/>
        <v>0</v>
      </c>
      <c r="AB33" s="336">
        <f>-'OECD electricity subsidies'!D86</f>
        <v>-245288032.5</v>
      </c>
      <c r="AC33" s="342">
        <f t="shared" si="9"/>
        <v>-189809275.88521501</v>
      </c>
      <c r="AD33" s="849">
        <f t="shared" si="22"/>
        <v>-189809275.88521501</v>
      </c>
      <c r="AE33" s="320">
        <f>0.221*1000*M33*L33</f>
        <v>6.2651913100820638</v>
      </c>
      <c r="AF33" s="342">
        <f t="shared" si="17"/>
        <v>9720860895.7419605</v>
      </c>
      <c r="AG33" s="1"/>
    </row>
    <row r="34" spans="1:33" ht="15.9" thickBot="1" x14ac:dyDescent="0.65">
      <c r="A34" s="62">
        <f t="shared" si="23"/>
        <v>29</v>
      </c>
      <c r="B34" s="47" t="s">
        <v>33</v>
      </c>
      <c r="C34" s="291">
        <v>39134</v>
      </c>
      <c r="D34" s="291">
        <v>12550</v>
      </c>
      <c r="E34" s="291">
        <v>9512</v>
      </c>
      <c r="F34" s="291">
        <f t="shared" si="0"/>
        <v>17072</v>
      </c>
      <c r="G34" s="495">
        <v>44205</v>
      </c>
      <c r="H34" s="67">
        <f>1880+1+6867</f>
        <v>8748</v>
      </c>
      <c r="I34" s="92">
        <f t="shared" si="1"/>
        <v>0.19789616559212758</v>
      </c>
      <c r="J34" s="38">
        <f>Assumptions!$C$62</f>
        <v>27296</v>
      </c>
      <c r="K34" s="38">
        <f t="shared" si="2"/>
        <v>51381671.776857816</v>
      </c>
      <c r="L34" s="417">
        <f>Assumptions!$H$10</f>
        <v>0.70460400000000001</v>
      </c>
      <c r="M34" s="854">
        <f>Assumptions!$C$64</f>
        <v>3.6635404454865184E-2</v>
      </c>
      <c r="N34" s="872">
        <v>247.5</v>
      </c>
      <c r="O34" s="371">
        <f>L34*N34*M34</f>
        <v>6.3888294988276675</v>
      </c>
      <c r="P34" s="1048">
        <f t="shared" si="4"/>
        <v>328268740.34707022</v>
      </c>
      <c r="Q34" s="477"/>
      <c r="R34" s="309">
        <f t="shared" si="20"/>
        <v>0</v>
      </c>
      <c r="S34" s="359">
        <v>0.15</v>
      </c>
      <c r="T34" s="365">
        <f t="shared" si="12"/>
        <v>0.95832442482415003</v>
      </c>
      <c r="U34" s="321">
        <f t="shared" si="13"/>
        <v>0</v>
      </c>
      <c r="V34" s="321">
        <f t="shared" si="14"/>
        <v>0.95832442482415003</v>
      </c>
      <c r="W34" s="848">
        <f t="shared" si="6"/>
        <v>49240311.05206053</v>
      </c>
      <c r="X34" s="1054">
        <f t="shared" si="7"/>
        <v>0.95832442482415003</v>
      </c>
      <c r="Y34" s="1048">
        <f t="shared" si="21"/>
        <v>49240311.05206053</v>
      </c>
      <c r="Z34" s="617">
        <f t="shared" si="15"/>
        <v>0</v>
      </c>
      <c r="AA34" s="368">
        <f t="shared" si="16"/>
        <v>0</v>
      </c>
      <c r="AB34" s="340">
        <f>-'OECD electricity subsidies'!D113</f>
        <v>0</v>
      </c>
      <c r="AC34" s="344">
        <f t="shared" si="9"/>
        <v>0</v>
      </c>
      <c r="AD34" s="851">
        <f t="shared" si="22"/>
        <v>0</v>
      </c>
      <c r="AE34" s="321">
        <f>(O34+R34)*(1+S34)</f>
        <v>7.3471539236518169</v>
      </c>
      <c r="AF34" s="344">
        <f t="shared" si="17"/>
        <v>377509051.3991307</v>
      </c>
      <c r="AG34" s="1"/>
    </row>
    <row r="35" spans="1:33" ht="15.9" thickTop="1" x14ac:dyDescent="0.6">
      <c r="A35" s="49" t="s">
        <v>78</v>
      </c>
      <c r="B35" s="50"/>
      <c r="C35" s="290"/>
      <c r="D35" s="290"/>
      <c r="E35" s="290"/>
      <c r="F35" s="290"/>
      <c r="G35" s="494"/>
      <c r="H35" s="66"/>
      <c r="I35" s="79"/>
      <c r="J35" s="26"/>
      <c r="K35" s="26"/>
      <c r="L35" s="391"/>
      <c r="M35" s="852">
        <f>Assumptions!$C$64</f>
        <v>3.6635404454865184E-2</v>
      </c>
      <c r="N35" s="873"/>
      <c r="O35" s="863"/>
      <c r="P35" s="1047"/>
      <c r="Q35" s="523"/>
      <c r="R35" s="306"/>
      <c r="S35" s="322"/>
      <c r="T35" s="362"/>
      <c r="U35" s="320"/>
      <c r="V35" s="320"/>
      <c r="W35" s="847">
        <f t="shared" si="6"/>
        <v>0</v>
      </c>
      <c r="X35" s="1053"/>
      <c r="Y35" s="1047"/>
      <c r="Z35" s="844"/>
      <c r="AA35" s="366">
        <f t="shared" si="16"/>
        <v>0</v>
      </c>
      <c r="AB35" s="336"/>
      <c r="AC35" s="342"/>
      <c r="AD35" s="849"/>
      <c r="AE35" s="320"/>
      <c r="AF35" s="342"/>
      <c r="AG35" s="1"/>
    </row>
    <row r="36" spans="1:33" x14ac:dyDescent="0.6">
      <c r="A36" s="61">
        <f>A34+1</f>
        <v>30</v>
      </c>
      <c r="B36" s="50" t="s">
        <v>46</v>
      </c>
      <c r="C36" s="290">
        <v>4876755</v>
      </c>
      <c r="D36" s="290">
        <v>756521</v>
      </c>
      <c r="E36" s="290">
        <v>304692</v>
      </c>
      <c r="F36" s="290">
        <f t="shared" si="0"/>
        <v>3815542</v>
      </c>
      <c r="G36" s="494">
        <v>5859958</v>
      </c>
      <c r="H36" s="66">
        <f>4108994+9679+145346</f>
        <v>4264019</v>
      </c>
      <c r="I36" s="79">
        <f t="shared" si="1"/>
        <v>0.72765350877941448</v>
      </c>
      <c r="J36" s="26">
        <f>Assumptions!$C$62</f>
        <v>27296</v>
      </c>
      <c r="K36" s="66">
        <f t="shared" si="2"/>
        <v>6051801698.2769861</v>
      </c>
      <c r="L36" s="399">
        <f>Assumptions!$H$11</f>
        <v>0.152529</v>
      </c>
      <c r="M36" s="852">
        <f>Assumptions!$C$64</f>
        <v>3.6635404454865184E-2</v>
      </c>
      <c r="N36" s="874"/>
      <c r="O36" s="666">
        <f t="shared" ref="O36:O39" si="24">AE36/(1+S36)-R36</f>
        <v>5.1655920281359906</v>
      </c>
      <c r="P36" s="1047">
        <f t="shared" si="4"/>
        <v>31261138608.47945</v>
      </c>
      <c r="Q36" s="523"/>
      <c r="R36" s="306">
        <f>Q36*M36*L36</f>
        <v>0</v>
      </c>
      <c r="S36" s="322"/>
      <c r="T36" s="362">
        <f t="shared" si="12"/>
        <v>0</v>
      </c>
      <c r="U36" s="320">
        <f t="shared" si="13"/>
        <v>0</v>
      </c>
      <c r="V36" s="320">
        <f t="shared" si="14"/>
        <v>0</v>
      </c>
      <c r="W36" s="847">
        <f t="shared" si="6"/>
        <v>0</v>
      </c>
      <c r="X36" s="1053">
        <f t="shared" si="7"/>
        <v>0</v>
      </c>
      <c r="Y36" s="1047">
        <f>X36*K36</f>
        <v>0</v>
      </c>
      <c r="Z36" s="844">
        <f t="shared" si="15"/>
        <v>0</v>
      </c>
      <c r="AA36" s="366">
        <f t="shared" si="16"/>
        <v>0</v>
      </c>
      <c r="AB36" s="336">
        <f>-'OECD electricity subsidies'!D115</f>
        <v>0</v>
      </c>
      <c r="AC36" s="342">
        <f t="shared" si="9"/>
        <v>0</v>
      </c>
      <c r="AD36" s="849">
        <f>AA36+AC36</f>
        <v>0</v>
      </c>
      <c r="AE36" s="320">
        <f>0.141*1000*M36</f>
        <v>5.1655920281359906</v>
      </c>
      <c r="AF36" s="342">
        <f t="shared" si="17"/>
        <v>31261138608.47945</v>
      </c>
      <c r="AG36" s="1"/>
    </row>
    <row r="37" spans="1:33" x14ac:dyDescent="0.6">
      <c r="A37" s="46">
        <f>A36+1</f>
        <v>31</v>
      </c>
      <c r="B37" s="50" t="s">
        <v>49</v>
      </c>
      <c r="C37" s="290">
        <v>1026946</v>
      </c>
      <c r="D37" s="290">
        <v>247004</v>
      </c>
      <c r="E37" s="290">
        <v>93127</v>
      </c>
      <c r="F37" s="290">
        <f t="shared" si="0"/>
        <v>686815</v>
      </c>
      <c r="G37" s="494">
        <v>1383004</v>
      </c>
      <c r="H37" s="66">
        <f>1041532+22951+68088</f>
        <v>1132571</v>
      </c>
      <c r="I37" s="79">
        <f t="shared" si="1"/>
        <v>0.81892098649027767</v>
      </c>
      <c r="J37" s="26">
        <f>Assumptions!$C$62</f>
        <v>27296</v>
      </c>
      <c r="K37" s="66">
        <f t="shared" si="2"/>
        <v>2081692718.9335909</v>
      </c>
      <c r="L37" s="399">
        <f>Assumptions!$H$12</f>
        <v>1.5587E-2</v>
      </c>
      <c r="M37" s="852">
        <f>Assumptions!$C$64</f>
        <v>3.6635404454865184E-2</v>
      </c>
      <c r="N37" s="873"/>
      <c r="O37" s="666">
        <f t="shared" si="24"/>
        <v>6.8508206330597892</v>
      </c>
      <c r="P37" s="1047">
        <f t="shared" si="4"/>
        <v>14261303430.560577</v>
      </c>
      <c r="Q37" s="523"/>
      <c r="R37" s="306">
        <f>Q37*M37*L37</f>
        <v>0</v>
      </c>
      <c r="S37" s="322"/>
      <c r="T37" s="362">
        <f t="shared" si="12"/>
        <v>0</v>
      </c>
      <c r="U37" s="320">
        <f t="shared" si="13"/>
        <v>0</v>
      </c>
      <c r="V37" s="320">
        <f t="shared" si="14"/>
        <v>0</v>
      </c>
      <c r="W37" s="847">
        <f t="shared" si="6"/>
        <v>0</v>
      </c>
      <c r="X37" s="1053">
        <f t="shared" si="7"/>
        <v>0</v>
      </c>
      <c r="Y37" s="1047">
        <f>X37*K37</f>
        <v>0</v>
      </c>
      <c r="Z37" s="844">
        <f t="shared" si="15"/>
        <v>0</v>
      </c>
      <c r="AA37" s="366">
        <f t="shared" si="16"/>
        <v>0</v>
      </c>
      <c r="AB37" s="336">
        <f>-'OECD electricity subsidies'!D117</f>
        <v>0</v>
      </c>
      <c r="AC37" s="342">
        <f t="shared" si="9"/>
        <v>0</v>
      </c>
      <c r="AD37" s="849">
        <f>AA37+AC37</f>
        <v>0</v>
      </c>
      <c r="AE37" s="320">
        <f>0.187*1000*M37</f>
        <v>6.8508206330597892</v>
      </c>
      <c r="AF37" s="342">
        <f t="shared" si="17"/>
        <v>14261303430.560577</v>
      </c>
      <c r="AG37" s="1"/>
    </row>
    <row r="38" spans="1:33" x14ac:dyDescent="0.6">
      <c r="A38" s="46">
        <f>A37+1</f>
        <v>32</v>
      </c>
      <c r="B38" s="44" t="s">
        <v>50</v>
      </c>
      <c r="C38" s="290">
        <v>491650</v>
      </c>
      <c r="D38" s="290">
        <v>131315</v>
      </c>
      <c r="E38" s="290">
        <v>134084</v>
      </c>
      <c r="F38" s="290">
        <f t="shared" si="0"/>
        <v>226251</v>
      </c>
      <c r="G38" s="494">
        <v>581652</v>
      </c>
      <c r="H38" s="66">
        <f>278468+29340+79490</f>
        <v>387298</v>
      </c>
      <c r="I38" s="79">
        <f t="shared" si="1"/>
        <v>0.66585862336929991</v>
      </c>
      <c r="J38" s="26">
        <f>Assumptions!$C$62</f>
        <v>27296</v>
      </c>
      <c r="K38" s="66">
        <f t="shared" si="2"/>
        <v>2437013839.05406</v>
      </c>
      <c r="L38" s="399">
        <f>Assumptions!$H$13</f>
        <v>0.30204900000000001</v>
      </c>
      <c r="M38" s="852">
        <f>Assumptions!$C$64</f>
        <v>3.6635404454865184E-2</v>
      </c>
      <c r="N38" s="875"/>
      <c r="O38" s="458">
        <f t="shared" si="24"/>
        <v>5.249853458382181</v>
      </c>
      <c r="P38" s="1047">
        <f t="shared" si="4"/>
        <v>12793965531.083193</v>
      </c>
      <c r="Q38" s="524"/>
      <c r="R38" s="306">
        <f>Q38*M38*L38</f>
        <v>0</v>
      </c>
      <c r="S38" s="322"/>
      <c r="T38" s="362">
        <f t="shared" si="12"/>
        <v>0</v>
      </c>
      <c r="U38" s="320">
        <f t="shared" si="13"/>
        <v>0</v>
      </c>
      <c r="V38" s="320">
        <f t="shared" si="14"/>
        <v>0</v>
      </c>
      <c r="W38" s="847">
        <f t="shared" si="6"/>
        <v>0</v>
      </c>
      <c r="X38" s="1053">
        <f t="shared" si="7"/>
        <v>0</v>
      </c>
      <c r="Y38" s="1047">
        <f>X38*K38</f>
        <v>0</v>
      </c>
      <c r="Z38" s="844">
        <f t="shared" si="15"/>
        <v>0</v>
      </c>
      <c r="AA38" s="366">
        <f t="shared" si="16"/>
        <v>0</v>
      </c>
      <c r="AB38" s="336">
        <f>-'OECD electricity subsidies'!D119</f>
        <v>0</v>
      </c>
      <c r="AC38" s="342">
        <f t="shared" si="9"/>
        <v>0</v>
      </c>
      <c r="AD38" s="849">
        <f>AA38+AC38</f>
        <v>0</v>
      </c>
      <c r="AE38" s="320">
        <f>0.1433*1000*M38</f>
        <v>5.249853458382181</v>
      </c>
      <c r="AF38" s="342">
        <f t="shared" si="17"/>
        <v>12793965531.083193</v>
      </c>
      <c r="AG38" s="1"/>
    </row>
    <row r="39" spans="1:33" ht="15.9" thickBot="1" x14ac:dyDescent="0.65">
      <c r="A39" s="15">
        <f>A38+1</f>
        <v>33</v>
      </c>
      <c r="B39" s="47" t="s">
        <v>51</v>
      </c>
      <c r="C39" s="291">
        <v>726318</v>
      </c>
      <c r="D39" s="291">
        <v>146538</v>
      </c>
      <c r="E39" s="291">
        <v>152172</v>
      </c>
      <c r="F39" s="291">
        <f t="shared" si="0"/>
        <v>427608</v>
      </c>
      <c r="G39" s="495">
        <v>1067544</v>
      </c>
      <c r="H39" s="67">
        <f>158550+10102+529749</f>
        <v>698401</v>
      </c>
      <c r="I39" s="92">
        <f t="shared" si="1"/>
        <v>0.65421284743298636</v>
      </c>
      <c r="J39" s="38">
        <f>Assumptions!$C$62</f>
        <v>27296</v>
      </c>
      <c r="K39" s="67">
        <f t="shared" si="2"/>
        <v>2717395342.0446482</v>
      </c>
      <c r="L39" s="417">
        <f>Assumptions!$H$14</f>
        <v>1.7344999999999999E-2</v>
      </c>
      <c r="M39" s="854">
        <f>Assumptions!$C$64</f>
        <v>3.6635404454865184E-2</v>
      </c>
      <c r="N39" s="876"/>
      <c r="O39" s="371">
        <f t="shared" si="24"/>
        <v>3.5083056808472595</v>
      </c>
      <c r="P39" s="1048">
        <f t="shared" si="4"/>
        <v>9533453515.6031208</v>
      </c>
      <c r="Q39" s="525"/>
      <c r="R39" s="309">
        <f>Q39*M39*L39</f>
        <v>0</v>
      </c>
      <c r="S39" s="359">
        <v>0.18</v>
      </c>
      <c r="T39" s="365">
        <f t="shared" si="12"/>
        <v>0.63149502255250667</v>
      </c>
      <c r="U39" s="321">
        <f t="shared" si="13"/>
        <v>0</v>
      </c>
      <c r="V39" s="321">
        <f t="shared" si="14"/>
        <v>0.63149502255250667</v>
      </c>
      <c r="W39" s="848">
        <f t="shared" si="6"/>
        <v>1716021632.8085616</v>
      </c>
      <c r="X39" s="1054">
        <f t="shared" si="7"/>
        <v>0.63149502255250667</v>
      </c>
      <c r="Y39" s="1048">
        <f>X39*K39</f>
        <v>1716021632.8085616</v>
      </c>
      <c r="Z39" s="617">
        <f t="shared" si="15"/>
        <v>0</v>
      </c>
      <c r="AA39" s="368">
        <f t="shared" si="16"/>
        <v>0</v>
      </c>
      <c r="AB39" s="340">
        <f>-'OECD electricity subsidies'!D121</f>
        <v>0</v>
      </c>
      <c r="AC39" s="344">
        <f t="shared" si="9"/>
        <v>0</v>
      </c>
      <c r="AD39" s="851">
        <f>AA39+AC39</f>
        <v>0</v>
      </c>
      <c r="AE39" s="321">
        <f>0.113*1000*M39</f>
        <v>4.1398007033997661</v>
      </c>
      <c r="AF39" s="344">
        <f t="shared" si="17"/>
        <v>11249475148.411682</v>
      </c>
      <c r="AG39" s="1"/>
    </row>
    <row r="40" spans="1:33" ht="15.9" thickTop="1" x14ac:dyDescent="0.6">
      <c r="A40" s="1527" t="s">
        <v>52</v>
      </c>
      <c r="B40" s="44"/>
      <c r="C40" s="290"/>
      <c r="D40" s="290"/>
      <c r="E40" s="290"/>
      <c r="F40" s="985"/>
      <c r="G40" s="1001"/>
      <c r="H40" s="1002"/>
      <c r="I40" s="93"/>
      <c r="J40" s="26"/>
      <c r="K40" s="66"/>
      <c r="L40" s="391"/>
      <c r="M40" s="852"/>
      <c r="N40" s="875"/>
      <c r="O40" s="458"/>
      <c r="P40" s="1047"/>
      <c r="Q40" s="393"/>
      <c r="R40" s="394"/>
      <c r="S40" s="322"/>
      <c r="T40" s="329"/>
      <c r="U40" s="320"/>
      <c r="V40" s="320"/>
      <c r="W40" s="314"/>
      <c r="X40" s="1046"/>
      <c r="Y40" s="1047"/>
      <c r="Z40" s="395"/>
      <c r="AA40" s="396"/>
      <c r="AB40" s="542"/>
      <c r="AC40" s="543"/>
      <c r="AD40" s="663"/>
      <c r="AE40" s="571"/>
      <c r="AF40" s="548"/>
      <c r="AG40" s="1"/>
    </row>
    <row r="41" spans="1:33" s="85" customFormat="1" x14ac:dyDescent="0.6">
      <c r="A41" s="61">
        <f>A39+1</f>
        <v>34</v>
      </c>
      <c r="B41" s="86" t="s">
        <v>48</v>
      </c>
      <c r="C41" s="290">
        <v>257450</v>
      </c>
      <c r="D41" s="290">
        <v>55986</v>
      </c>
      <c r="E41" s="290">
        <v>23779</v>
      </c>
      <c r="F41" s="348">
        <f t="shared" si="0"/>
        <v>177685</v>
      </c>
      <c r="G41" s="1003">
        <v>311138</v>
      </c>
      <c r="H41" s="66">
        <f>33808+31577+186251</f>
        <v>251636</v>
      </c>
      <c r="I41" s="94">
        <f t="shared" si="1"/>
        <v>0.80876010001992682</v>
      </c>
      <c r="J41" s="66">
        <f>Assumptions!$C$62</f>
        <v>27296</v>
      </c>
      <c r="K41" s="66">
        <f t="shared" si="2"/>
        <v>524943199.19593233</v>
      </c>
      <c r="L41" s="1020">
        <f>Assumptions!$H$25</f>
        <v>5.0333999999999997E-2</v>
      </c>
      <c r="M41" s="855">
        <f>Assumptions!$C$64</f>
        <v>3.6635404454865184E-2</v>
      </c>
      <c r="N41" s="1440">
        <v>1008</v>
      </c>
      <c r="O41" s="458">
        <f>N41*M41*L41</f>
        <v>1.8587584994138335</v>
      </c>
      <c r="P41" s="1047">
        <f t="shared" si="4"/>
        <v>975742633.21492827</v>
      </c>
      <c r="Q41" s="393"/>
      <c r="R41" s="394"/>
      <c r="S41" s="322">
        <f>Gasoline!K41</f>
        <v>0.16</v>
      </c>
      <c r="T41" s="329">
        <f>S41*O41</f>
        <v>0.29740135990621336</v>
      </c>
      <c r="U41" s="320"/>
      <c r="V41" s="320">
        <f>U41+T41</f>
        <v>0.29740135990621336</v>
      </c>
      <c r="W41" s="314">
        <f>T41*K41</f>
        <v>156118821.31438851</v>
      </c>
      <c r="X41" s="1053">
        <f t="shared" si="7"/>
        <v>0.29740135990621336</v>
      </c>
      <c r="Y41" s="1047">
        <f t="shared" ref="Y41:Y65" si="25">X41*J41</f>
        <v>8117.8675199999998</v>
      </c>
      <c r="Z41" s="395"/>
      <c r="AA41" s="396">
        <f t="shared" ref="AA41:AA57" si="26">K41*V41</f>
        <v>156118821.31438851</v>
      </c>
      <c r="AB41" s="1007"/>
      <c r="AC41" s="847"/>
      <c r="AD41" s="607"/>
      <c r="AE41" s="281">
        <f>(O41+R41)*(1+S41)</f>
        <v>2.1561598593200468</v>
      </c>
      <c r="AF41" s="847">
        <f t="shared" si="17"/>
        <v>1131861454.5293167</v>
      </c>
    </row>
    <row r="42" spans="1:33" s="85" customFormat="1" x14ac:dyDescent="0.6">
      <c r="A42" s="61">
        <f>A41+1</f>
        <v>35</v>
      </c>
      <c r="B42" s="86" t="s">
        <v>53</v>
      </c>
      <c r="C42" s="290">
        <v>50153</v>
      </c>
      <c r="D42" s="290">
        <v>19672</v>
      </c>
      <c r="E42" s="290">
        <v>0</v>
      </c>
      <c r="F42" s="348">
        <f t="shared" si="0"/>
        <v>30481</v>
      </c>
      <c r="G42" s="1003">
        <v>68798</v>
      </c>
      <c r="H42" s="66">
        <f>908+67668</f>
        <v>68576</v>
      </c>
      <c r="I42" s="94">
        <f t="shared" si="1"/>
        <v>0.99677316201052357</v>
      </c>
      <c r="J42" s="66">
        <f>Assumptions!$C$62</f>
        <v>27296</v>
      </c>
      <c r="K42" s="66">
        <f t="shared" si="2"/>
        <v>0</v>
      </c>
      <c r="L42" s="1005"/>
      <c r="M42" s="855">
        <f>Assumptions!$C$64</f>
        <v>3.6635404454865184E-2</v>
      </c>
      <c r="N42" s="877"/>
      <c r="O42" s="458">
        <f t="shared" ref="O42:O65" si="27">AE42/(1+S42)-R42</f>
        <v>1.0257913247362251</v>
      </c>
      <c r="P42" s="1047">
        <f t="shared" si="4"/>
        <v>0</v>
      </c>
      <c r="Q42" s="393"/>
      <c r="R42" s="394"/>
      <c r="S42" s="322">
        <f>Gasoline!K42</f>
        <v>0</v>
      </c>
      <c r="T42" s="329">
        <f>S42*O42</f>
        <v>0</v>
      </c>
      <c r="U42" s="320"/>
      <c r="V42" s="320">
        <f>U42+T42</f>
        <v>0</v>
      </c>
      <c r="W42" s="314">
        <f t="shared" ref="W42:W65" si="28">T42*K42</f>
        <v>0</v>
      </c>
      <c r="X42" s="1046"/>
      <c r="Y42" s="1047">
        <f t="shared" si="25"/>
        <v>0</v>
      </c>
      <c r="Z42" s="395"/>
      <c r="AA42" s="394">
        <f t="shared" si="26"/>
        <v>0</v>
      </c>
      <c r="AB42" s="1007"/>
      <c r="AC42" s="847"/>
      <c r="AD42" s="607"/>
      <c r="AE42" s="363">
        <f>0.028*1000*M42</f>
        <v>1.0257913247362251</v>
      </c>
      <c r="AF42" s="847">
        <f t="shared" si="17"/>
        <v>0</v>
      </c>
    </row>
    <row r="43" spans="1:33" s="85" customFormat="1" x14ac:dyDescent="0.6">
      <c r="A43" s="61">
        <f t="shared" ref="A43:A65" si="29">A42+1</f>
        <v>36</v>
      </c>
      <c r="B43" s="86" t="s">
        <v>54</v>
      </c>
      <c r="C43" s="290">
        <v>8423</v>
      </c>
      <c r="D43" s="290">
        <v>5583</v>
      </c>
      <c r="E43" s="290">
        <v>0</v>
      </c>
      <c r="F43" s="348">
        <f t="shared" si="0"/>
        <v>2840</v>
      </c>
      <c r="G43" s="1003">
        <v>9764</v>
      </c>
      <c r="H43" s="66">
        <v>4572</v>
      </c>
      <c r="I43" s="94">
        <f t="shared" si="1"/>
        <v>0.46825071691929537</v>
      </c>
      <c r="J43" s="66">
        <f>Assumptions!$C$62</f>
        <v>27296</v>
      </c>
      <c r="K43" s="66">
        <f t="shared" si="2"/>
        <v>0</v>
      </c>
      <c r="L43" s="1005"/>
      <c r="M43" s="855">
        <f>Assumptions!$C$64</f>
        <v>3.6635404454865184E-2</v>
      </c>
      <c r="N43" s="877"/>
      <c r="O43" s="458">
        <f t="shared" si="27"/>
        <v>2.06257327080891</v>
      </c>
      <c r="P43" s="1047">
        <f t="shared" si="4"/>
        <v>0</v>
      </c>
      <c r="Q43" s="393"/>
      <c r="R43" s="394"/>
      <c r="S43" s="322">
        <f>Gasoline!K43</f>
        <v>0</v>
      </c>
      <c r="T43" s="329">
        <f t="shared" ref="T43:T65" si="30">S43*O43</f>
        <v>0</v>
      </c>
      <c r="U43" s="320"/>
      <c r="V43" s="320">
        <f t="shared" ref="V43:V65" si="31">U43+T43</f>
        <v>0</v>
      </c>
      <c r="W43" s="314">
        <f t="shared" si="28"/>
        <v>0</v>
      </c>
      <c r="X43" s="1046"/>
      <c r="Y43" s="1047">
        <f t="shared" si="25"/>
        <v>0</v>
      </c>
      <c r="Z43" s="395"/>
      <c r="AA43" s="396">
        <f t="shared" si="26"/>
        <v>0</v>
      </c>
      <c r="AB43" s="1007"/>
      <c r="AC43" s="847"/>
      <c r="AD43" s="607"/>
      <c r="AE43" s="363">
        <f>0.0563*1000*M43</f>
        <v>2.06257327080891</v>
      </c>
      <c r="AF43" s="847">
        <f t="shared" si="17"/>
        <v>0</v>
      </c>
    </row>
    <row r="44" spans="1:33" s="85" customFormat="1" x14ac:dyDescent="0.6">
      <c r="A44" s="61">
        <f t="shared" si="29"/>
        <v>37</v>
      </c>
      <c r="B44" s="86" t="s">
        <v>55</v>
      </c>
      <c r="C44" s="290">
        <v>17619</v>
      </c>
      <c r="D44" s="290">
        <v>7938</v>
      </c>
      <c r="E44" s="290">
        <v>5133</v>
      </c>
      <c r="F44" s="348">
        <f t="shared" si="0"/>
        <v>4548</v>
      </c>
      <c r="G44" s="1003">
        <v>24688</v>
      </c>
      <c r="H44" s="66">
        <f>1607+21252</f>
        <v>22859</v>
      </c>
      <c r="I44" s="94">
        <f t="shared" si="1"/>
        <v>0.92591542449773168</v>
      </c>
      <c r="J44" s="66">
        <f>Assumptions!$C$62</f>
        <v>27296</v>
      </c>
      <c r="K44" s="66">
        <f t="shared" si="2"/>
        <v>129730350.8632534</v>
      </c>
      <c r="L44" s="1005"/>
      <c r="M44" s="855">
        <f>Assumptions!$C$64</f>
        <v>3.6635404454865184E-2</v>
      </c>
      <c r="N44" s="877"/>
      <c r="O44" s="458">
        <f t="shared" si="27"/>
        <v>2.5754689331770222</v>
      </c>
      <c r="P44" s="1047">
        <f t="shared" si="4"/>
        <v>334116488.33846402</v>
      </c>
      <c r="Q44" s="393"/>
      <c r="R44" s="394"/>
      <c r="S44" s="322">
        <f>Gasoline!K44</f>
        <v>0</v>
      </c>
      <c r="T44" s="329">
        <f t="shared" si="30"/>
        <v>0</v>
      </c>
      <c r="U44" s="320"/>
      <c r="V44" s="320">
        <f t="shared" si="31"/>
        <v>0</v>
      </c>
      <c r="W44" s="314">
        <f t="shared" si="28"/>
        <v>0</v>
      </c>
      <c r="X44" s="1046"/>
      <c r="Y44" s="1047">
        <f t="shared" si="25"/>
        <v>0</v>
      </c>
      <c r="Z44" s="395"/>
      <c r="AA44" s="396">
        <f t="shared" si="26"/>
        <v>0</v>
      </c>
      <c r="AB44" s="1007"/>
      <c r="AC44" s="847"/>
      <c r="AD44" s="607"/>
      <c r="AE44" s="363">
        <f>0.0703*1000*M44</f>
        <v>2.5754689331770222</v>
      </c>
      <c r="AF44" s="847">
        <f t="shared" si="17"/>
        <v>334116488.33846402</v>
      </c>
    </row>
    <row r="45" spans="1:33" s="85" customFormat="1" x14ac:dyDescent="0.6">
      <c r="A45" s="61">
        <f t="shared" si="29"/>
        <v>38</v>
      </c>
      <c r="B45" s="86" t="s">
        <v>56</v>
      </c>
      <c r="C45" s="290">
        <v>27814</v>
      </c>
      <c r="D45" s="290">
        <v>7626</v>
      </c>
      <c r="E45" s="290">
        <v>6141</v>
      </c>
      <c r="F45" s="348">
        <f t="shared" si="0"/>
        <v>14047</v>
      </c>
      <c r="G45" s="1003">
        <v>28484</v>
      </c>
      <c r="H45" s="66">
        <f>9+28475</f>
        <v>28484</v>
      </c>
      <c r="I45" s="94">
        <f t="shared" si="1"/>
        <v>1</v>
      </c>
      <c r="J45" s="66">
        <f>Assumptions!$C$62</f>
        <v>27296</v>
      </c>
      <c r="K45" s="66">
        <f t="shared" si="2"/>
        <v>167624736</v>
      </c>
      <c r="L45" s="1005"/>
      <c r="M45" s="855">
        <f>Assumptions!$C$64</f>
        <v>3.6635404454865184E-2</v>
      </c>
      <c r="N45" s="877"/>
      <c r="O45" s="458">
        <f t="shared" si="27"/>
        <v>1.6852286049237986</v>
      </c>
      <c r="P45" s="1047">
        <f t="shared" si="4"/>
        <v>282486000.00000006</v>
      </c>
      <c r="Q45" s="393"/>
      <c r="R45" s="394"/>
      <c r="S45" s="322">
        <f>Gasoline!K45</f>
        <v>0</v>
      </c>
      <c r="T45" s="329">
        <f t="shared" si="30"/>
        <v>0</v>
      </c>
      <c r="U45" s="320"/>
      <c r="V45" s="320">
        <f t="shared" si="31"/>
        <v>0</v>
      </c>
      <c r="W45" s="314">
        <f t="shared" si="28"/>
        <v>0</v>
      </c>
      <c r="X45" s="1046"/>
      <c r="Y45" s="1047">
        <f t="shared" si="25"/>
        <v>0</v>
      </c>
      <c r="Z45" s="395"/>
      <c r="AA45" s="396">
        <f t="shared" si="26"/>
        <v>0</v>
      </c>
      <c r="AB45" s="1007"/>
      <c r="AC45" s="847"/>
      <c r="AD45" s="607"/>
      <c r="AE45" s="363">
        <f>0.046*1000*M45</f>
        <v>1.6852286049237986</v>
      </c>
      <c r="AF45" s="847">
        <f t="shared" si="17"/>
        <v>282486000.00000006</v>
      </c>
    </row>
    <row r="46" spans="1:33" s="85" customFormat="1" x14ac:dyDescent="0.6">
      <c r="A46" s="61">
        <f t="shared" si="29"/>
        <v>39</v>
      </c>
      <c r="B46" s="86" t="s">
        <v>57</v>
      </c>
      <c r="C46" s="290">
        <v>3391</v>
      </c>
      <c r="D46" s="290">
        <v>1368</v>
      </c>
      <c r="E46" s="290">
        <v>1834</v>
      </c>
      <c r="F46" s="348">
        <f t="shared" si="0"/>
        <v>189</v>
      </c>
      <c r="G46" s="1003">
        <v>4200</v>
      </c>
      <c r="H46" s="66">
        <f>42+4156</f>
        <v>4198</v>
      </c>
      <c r="I46" s="94">
        <f t="shared" si="1"/>
        <v>0.99952380952380948</v>
      </c>
      <c r="J46" s="66">
        <f>Assumptions!$C$62</f>
        <v>27296</v>
      </c>
      <c r="K46" s="66">
        <f t="shared" si="2"/>
        <v>50037025.493333332</v>
      </c>
      <c r="L46" s="1005"/>
      <c r="M46" s="855">
        <f>Assumptions!$C$64</f>
        <v>3.6635404454865184E-2</v>
      </c>
      <c r="N46" s="877"/>
      <c r="O46" s="458">
        <f t="shared" si="27"/>
        <v>2.0772274325908562</v>
      </c>
      <c r="P46" s="1047">
        <f t="shared" si="4"/>
        <v>103938282.00000001</v>
      </c>
      <c r="Q46" s="393"/>
      <c r="R46" s="394"/>
      <c r="S46" s="322">
        <f>Gasoline!K46</f>
        <v>0</v>
      </c>
      <c r="T46" s="329">
        <f t="shared" si="30"/>
        <v>0</v>
      </c>
      <c r="U46" s="320"/>
      <c r="V46" s="320">
        <f t="shared" si="31"/>
        <v>0</v>
      </c>
      <c r="W46" s="314">
        <f t="shared" si="28"/>
        <v>0</v>
      </c>
      <c r="X46" s="1046"/>
      <c r="Y46" s="1047">
        <f t="shared" si="25"/>
        <v>0</v>
      </c>
      <c r="Z46" s="395"/>
      <c r="AA46" s="396">
        <f t="shared" si="26"/>
        <v>0</v>
      </c>
      <c r="AB46" s="1007"/>
      <c r="AC46" s="847"/>
      <c r="AD46" s="607"/>
      <c r="AE46" s="363">
        <f>0.0567*1000*M46</f>
        <v>2.0772274325908562</v>
      </c>
      <c r="AF46" s="847">
        <f t="shared" si="17"/>
        <v>103938282.00000001</v>
      </c>
    </row>
    <row r="47" spans="1:33" s="85" customFormat="1" x14ac:dyDescent="0.6">
      <c r="A47" s="61">
        <f t="shared" si="29"/>
        <v>40</v>
      </c>
      <c r="B47" s="86" t="s">
        <v>58</v>
      </c>
      <c r="C47" s="290">
        <v>22867</v>
      </c>
      <c r="D47" s="290">
        <v>6906</v>
      </c>
      <c r="E47" s="290">
        <v>5059</v>
      </c>
      <c r="F47" s="348">
        <f t="shared" si="0"/>
        <v>10902</v>
      </c>
      <c r="G47" s="1003">
        <v>25830</v>
      </c>
      <c r="H47" s="66">
        <f>8919+3272</f>
        <v>12191</v>
      </c>
      <c r="I47" s="94">
        <f t="shared" si="1"/>
        <v>0.47197057684862564</v>
      </c>
      <c r="J47" s="66">
        <f>Assumptions!$C$62</f>
        <v>27296</v>
      </c>
      <c r="K47" s="66">
        <f t="shared" si="2"/>
        <v>65174635.951374374</v>
      </c>
      <c r="L47" s="1005"/>
      <c r="M47" s="855">
        <f>Assumptions!$C$64</f>
        <v>3.6635404454865184E-2</v>
      </c>
      <c r="N47" s="877"/>
      <c r="O47" s="458">
        <f t="shared" si="27"/>
        <v>3.4803634232121925</v>
      </c>
      <c r="P47" s="1047">
        <f t="shared" si="4"/>
        <v>226831419.08633375</v>
      </c>
      <c r="Q47" s="393"/>
      <c r="R47" s="394"/>
      <c r="S47" s="322">
        <f>Gasoline!K47</f>
        <v>0</v>
      </c>
      <c r="T47" s="329">
        <f t="shared" si="30"/>
        <v>0</v>
      </c>
      <c r="U47" s="320"/>
      <c r="V47" s="320">
        <f t="shared" si="31"/>
        <v>0</v>
      </c>
      <c r="W47" s="314">
        <f t="shared" si="28"/>
        <v>0</v>
      </c>
      <c r="X47" s="1046"/>
      <c r="Y47" s="1047">
        <f t="shared" si="25"/>
        <v>0</v>
      </c>
      <c r="Z47" s="395"/>
      <c r="AA47" s="403">
        <f t="shared" si="26"/>
        <v>0</v>
      </c>
      <c r="AB47" s="1007"/>
      <c r="AC47" s="847"/>
      <c r="AD47" s="607"/>
      <c r="AE47" s="363">
        <f>0.095*1000*M47</f>
        <v>3.4803634232121925</v>
      </c>
      <c r="AF47" s="847">
        <f t="shared" si="17"/>
        <v>226831419.08633375</v>
      </c>
    </row>
    <row r="48" spans="1:33" s="85" customFormat="1" x14ac:dyDescent="0.6">
      <c r="A48" s="61">
        <f t="shared" si="29"/>
        <v>41</v>
      </c>
      <c r="B48" s="86" t="s">
        <v>59</v>
      </c>
      <c r="C48" s="290">
        <v>154205</v>
      </c>
      <c r="D48" s="290">
        <v>67238</v>
      </c>
      <c r="E48" s="290">
        <v>40170</v>
      </c>
      <c r="F48" s="348">
        <f t="shared" si="0"/>
        <v>46797</v>
      </c>
      <c r="G48" s="1003">
        <v>181977</v>
      </c>
      <c r="H48" s="66">
        <f>38237+128710</f>
        <v>166947</v>
      </c>
      <c r="I48" s="94">
        <f t="shared" si="1"/>
        <v>0.91740714485896568</v>
      </c>
      <c r="J48" s="66">
        <f>Assumptions!$C$62</f>
        <v>27296</v>
      </c>
      <c r="K48" s="66">
        <f t="shared" si="2"/>
        <v>1005918879.7652451</v>
      </c>
      <c r="L48" s="1025">
        <f>Assumptions!$H$26</f>
        <v>0.13106999999999999</v>
      </c>
      <c r="M48" s="855">
        <f>Assumptions!$C$64</f>
        <v>3.6635404454865184E-2</v>
      </c>
      <c r="N48" s="877"/>
      <c r="O48" s="458">
        <f t="shared" si="27"/>
        <v>4.0555392731535758</v>
      </c>
      <c r="P48" s="1047">
        <f t="shared" si="4"/>
        <v>4079543522.4946012</v>
      </c>
      <c r="Q48" s="393"/>
      <c r="R48" s="394"/>
      <c r="S48" s="322">
        <f>Gasoline!K48</f>
        <v>0</v>
      </c>
      <c r="T48" s="329">
        <f t="shared" si="30"/>
        <v>0</v>
      </c>
      <c r="U48" s="320"/>
      <c r="V48" s="320">
        <f t="shared" si="31"/>
        <v>0</v>
      </c>
      <c r="W48" s="314">
        <f t="shared" si="28"/>
        <v>0</v>
      </c>
      <c r="X48" s="1046"/>
      <c r="Y48" s="1047">
        <f t="shared" si="25"/>
        <v>0</v>
      </c>
      <c r="Z48" s="395"/>
      <c r="AA48" s="396">
        <f t="shared" si="26"/>
        <v>0</v>
      </c>
      <c r="AB48" s="1007"/>
      <c r="AC48" s="847"/>
      <c r="AD48" s="607"/>
      <c r="AE48" s="363">
        <f>0.1107*1000*M48</f>
        <v>4.0555392731535758</v>
      </c>
      <c r="AF48" s="847">
        <f t="shared" si="17"/>
        <v>4079543522.4946012</v>
      </c>
    </row>
    <row r="49" spans="1:32" s="85" customFormat="1" x14ac:dyDescent="0.6">
      <c r="A49" s="61">
        <f t="shared" si="29"/>
        <v>42</v>
      </c>
      <c r="B49" s="86" t="s">
        <v>60</v>
      </c>
      <c r="C49" s="290">
        <v>1852</v>
      </c>
      <c r="D49" s="290">
        <v>963</v>
      </c>
      <c r="E49" s="290">
        <v>279</v>
      </c>
      <c r="F49" s="348">
        <f t="shared" si="0"/>
        <v>610</v>
      </c>
      <c r="G49" s="1003">
        <v>2126</v>
      </c>
      <c r="H49" s="66">
        <f>217+989</f>
        <v>1206</v>
      </c>
      <c r="I49" s="94">
        <f t="shared" si="1"/>
        <v>0.56726246472248354</v>
      </c>
      <c r="J49" s="66">
        <f>Assumptions!$C$62</f>
        <v>27296</v>
      </c>
      <c r="K49" s="66">
        <f t="shared" si="2"/>
        <v>4320034.9501411095</v>
      </c>
      <c r="L49" s="1005"/>
      <c r="M49" s="855">
        <f>Assumptions!$C$64</f>
        <v>3.6635404454865184E-2</v>
      </c>
      <c r="N49" s="877"/>
      <c r="O49" s="458">
        <f t="shared" si="27"/>
        <v>8.0597889800703406</v>
      </c>
      <c r="P49" s="1047">
        <f t="shared" si="4"/>
        <v>34818570.084666036</v>
      </c>
      <c r="Q49" s="393"/>
      <c r="R49" s="394"/>
      <c r="S49" s="322">
        <f>Gasoline!K49</f>
        <v>0</v>
      </c>
      <c r="T49" s="329">
        <f t="shared" si="30"/>
        <v>0</v>
      </c>
      <c r="U49" s="320"/>
      <c r="V49" s="320">
        <f t="shared" si="31"/>
        <v>0</v>
      </c>
      <c r="W49" s="314">
        <f t="shared" si="28"/>
        <v>0</v>
      </c>
      <c r="X49" s="1046"/>
      <c r="Y49" s="1047">
        <f t="shared" si="25"/>
        <v>0</v>
      </c>
      <c r="Z49" s="395"/>
      <c r="AA49" s="396">
        <f t="shared" si="26"/>
        <v>0</v>
      </c>
      <c r="AB49" s="1007"/>
      <c r="AC49" s="847"/>
      <c r="AD49" s="607"/>
      <c r="AE49" s="363">
        <f>0.22*1000*M49</f>
        <v>8.0597889800703406</v>
      </c>
      <c r="AF49" s="847">
        <f t="shared" si="17"/>
        <v>34818570.084666036</v>
      </c>
    </row>
    <row r="50" spans="1:32" s="85" customFormat="1" x14ac:dyDescent="0.6">
      <c r="A50" s="61">
        <f t="shared" si="29"/>
        <v>43</v>
      </c>
      <c r="B50" s="86" t="s">
        <v>61</v>
      </c>
      <c r="C50" s="290">
        <v>202848</v>
      </c>
      <c r="D50" s="290">
        <v>86054</v>
      </c>
      <c r="E50" s="290">
        <v>50085</v>
      </c>
      <c r="F50" s="348">
        <f t="shared" si="0"/>
        <v>66709</v>
      </c>
      <c r="G50" s="1003">
        <v>233984</v>
      </c>
      <c r="H50" s="66">
        <f>130508+19650+58894</f>
        <v>209052</v>
      </c>
      <c r="I50" s="94">
        <f t="shared" si="1"/>
        <v>0.89344570568927795</v>
      </c>
      <c r="J50" s="66">
        <f>Assumptions!$C$62</f>
        <v>27296</v>
      </c>
      <c r="K50" s="66">
        <f t="shared" si="2"/>
        <v>1221447636.1132386</v>
      </c>
      <c r="L50" s="1026">
        <f>Assumptions!$H$23</f>
        <v>7.3999999999999996E-5</v>
      </c>
      <c r="M50" s="855">
        <f>Assumptions!$C$64</f>
        <v>3.6635404454865184E-2</v>
      </c>
      <c r="N50" s="877"/>
      <c r="O50" s="458">
        <f t="shared" si="27"/>
        <v>4.7516119577960145</v>
      </c>
      <c r="P50" s="1047">
        <f t="shared" si="4"/>
        <v>5803845193.5773392</v>
      </c>
      <c r="Q50" s="393"/>
      <c r="R50" s="394"/>
      <c r="S50" s="322">
        <f>Gasoline!K50</f>
        <v>0</v>
      </c>
      <c r="T50" s="329">
        <f t="shared" si="30"/>
        <v>0</v>
      </c>
      <c r="U50" s="320"/>
      <c r="V50" s="320">
        <f t="shared" si="31"/>
        <v>0</v>
      </c>
      <c r="W50" s="314">
        <f t="shared" si="28"/>
        <v>0</v>
      </c>
      <c r="X50" s="1046"/>
      <c r="Y50" s="1047">
        <f t="shared" si="25"/>
        <v>0</v>
      </c>
      <c r="Z50" s="395"/>
      <c r="AA50" s="396">
        <f t="shared" si="26"/>
        <v>0</v>
      </c>
      <c r="AB50" s="1007"/>
      <c r="AC50" s="847"/>
      <c r="AD50" s="607"/>
      <c r="AE50" s="363">
        <f>0.1297*1000*M50</f>
        <v>4.7516119577960145</v>
      </c>
      <c r="AF50" s="847">
        <f t="shared" si="17"/>
        <v>5803845193.5773392</v>
      </c>
    </row>
    <row r="51" spans="1:32" s="85" customFormat="1" x14ac:dyDescent="0.6">
      <c r="A51" s="61">
        <f t="shared" si="29"/>
        <v>44</v>
      </c>
      <c r="B51" s="86" t="s">
        <v>62</v>
      </c>
      <c r="C51" s="290">
        <v>35585</v>
      </c>
      <c r="D51" s="290">
        <v>16602</v>
      </c>
      <c r="E51" s="290">
        <v>2528</v>
      </c>
      <c r="F51" s="348">
        <f t="shared" si="0"/>
        <v>16455</v>
      </c>
      <c r="G51" s="1003">
        <v>68922</v>
      </c>
      <c r="H51" s="66">
        <f>49521+16829</f>
        <v>66350</v>
      </c>
      <c r="I51" s="94">
        <f t="shared" si="1"/>
        <v>0.96268245262760799</v>
      </c>
      <c r="J51" s="66">
        <f>Assumptions!$C$62</f>
        <v>27296</v>
      </c>
      <c r="K51" s="66">
        <f t="shared" si="2"/>
        <v>66429217.21366182</v>
      </c>
      <c r="L51" s="1005"/>
      <c r="M51" s="855">
        <f>Assumptions!$C$64</f>
        <v>3.6635404454865184E-2</v>
      </c>
      <c r="N51" s="877"/>
      <c r="O51" s="458">
        <f t="shared" si="27"/>
        <v>3.6745310668229778</v>
      </c>
      <c r="P51" s="1047">
        <f t="shared" si="4"/>
        <v>244096222.39633209</v>
      </c>
      <c r="Q51" s="393"/>
      <c r="R51" s="394"/>
      <c r="S51" s="322">
        <f>Gasoline!K51</f>
        <v>0</v>
      </c>
      <c r="T51" s="329">
        <f t="shared" si="30"/>
        <v>0</v>
      </c>
      <c r="U51" s="320"/>
      <c r="V51" s="320">
        <f t="shared" si="31"/>
        <v>0</v>
      </c>
      <c r="W51" s="314">
        <f t="shared" si="28"/>
        <v>0</v>
      </c>
      <c r="X51" s="1046"/>
      <c r="Y51" s="1047">
        <f t="shared" si="25"/>
        <v>0</v>
      </c>
      <c r="Z51" s="395"/>
      <c r="AA51" s="396">
        <f t="shared" si="26"/>
        <v>0</v>
      </c>
      <c r="AB51" s="1007"/>
      <c r="AC51" s="847"/>
      <c r="AD51" s="607"/>
      <c r="AE51" s="363">
        <f>0.1003*1000*M51</f>
        <v>3.6745310668229778</v>
      </c>
      <c r="AF51" s="847">
        <f t="shared" si="17"/>
        <v>244096222.39633209</v>
      </c>
    </row>
    <row r="52" spans="1:32" s="85" customFormat="1" x14ac:dyDescent="0.6">
      <c r="A52" s="61">
        <f t="shared" si="29"/>
        <v>45</v>
      </c>
      <c r="B52" s="86" t="s">
        <v>63</v>
      </c>
      <c r="C52" s="290">
        <v>211077</v>
      </c>
      <c r="D52" s="290">
        <v>76104</v>
      </c>
      <c r="E52" s="290">
        <v>38875</v>
      </c>
      <c r="F52" s="348">
        <f t="shared" si="0"/>
        <v>96098</v>
      </c>
      <c r="G52" s="1003">
        <v>280633</v>
      </c>
      <c r="H52" s="66">
        <f>462+40483+222448</f>
        <v>263393</v>
      </c>
      <c r="I52" s="94">
        <f t="shared" si="1"/>
        <v>0.93856745286548626</v>
      </c>
      <c r="J52" s="66">
        <f>Assumptions!$C$62</f>
        <v>27296</v>
      </c>
      <c r="K52" s="66">
        <f t="shared" si="2"/>
        <v>995943958.3940593</v>
      </c>
      <c r="L52" s="1025">
        <f>Assumptions!H27</f>
        <v>2.8E-5</v>
      </c>
      <c r="M52" s="855">
        <f>Assumptions!$C$64</f>
        <v>3.6635404454865184E-2</v>
      </c>
      <c r="N52" s="877"/>
      <c r="O52" s="458">
        <f t="shared" si="27"/>
        <v>2.9674677608440798</v>
      </c>
      <c r="P52" s="1047">
        <f t="shared" si="4"/>
        <v>2955431588.1418085</v>
      </c>
      <c r="Q52" s="393"/>
      <c r="R52" s="394"/>
      <c r="S52" s="322">
        <f>Gasoline!K52</f>
        <v>0</v>
      </c>
      <c r="T52" s="329">
        <f t="shared" si="30"/>
        <v>0</v>
      </c>
      <c r="U52" s="320"/>
      <c r="V52" s="320">
        <f t="shared" si="31"/>
        <v>0</v>
      </c>
      <c r="W52" s="314">
        <f t="shared" si="28"/>
        <v>0</v>
      </c>
      <c r="X52" s="1046"/>
      <c r="Y52" s="1047">
        <f t="shared" si="25"/>
        <v>0</v>
      </c>
      <c r="Z52" s="395"/>
      <c r="AA52" s="396">
        <f t="shared" si="26"/>
        <v>0</v>
      </c>
      <c r="AB52" s="1007"/>
      <c r="AC52" s="847"/>
      <c r="AD52" s="607"/>
      <c r="AE52" s="363">
        <f>0.081*1000*M52</f>
        <v>2.9674677608440798</v>
      </c>
      <c r="AF52" s="847">
        <f t="shared" si="17"/>
        <v>2955431588.1418085</v>
      </c>
    </row>
    <row r="53" spans="1:32" s="85" customFormat="1" x14ac:dyDescent="0.6">
      <c r="A53" s="61">
        <f t="shared" si="29"/>
        <v>46</v>
      </c>
      <c r="B53" s="86" t="s">
        <v>64</v>
      </c>
      <c r="C53" s="290">
        <v>68198</v>
      </c>
      <c r="D53" s="290">
        <v>12067</v>
      </c>
      <c r="E53" s="290">
        <v>6648</v>
      </c>
      <c r="F53" s="348">
        <f t="shared" si="0"/>
        <v>49483</v>
      </c>
      <c r="G53" s="1003">
        <v>106468</v>
      </c>
      <c r="H53" s="66">
        <f>76198+1239+19583</f>
        <v>97020</v>
      </c>
      <c r="I53" s="94">
        <f t="shared" si="1"/>
        <v>0.91125972123079235</v>
      </c>
      <c r="J53" s="66">
        <f>Assumptions!$C$62</f>
        <v>27296</v>
      </c>
      <c r="K53" s="66">
        <f t="shared" si="2"/>
        <v>165360659.09155804</v>
      </c>
      <c r="L53" s="1005"/>
      <c r="M53" s="855">
        <f>Assumptions!$C$64</f>
        <v>3.6635404454865184E-2</v>
      </c>
      <c r="N53" s="877"/>
      <c r="O53" s="458">
        <f t="shared" si="27"/>
        <v>3.5060082063305975</v>
      </c>
      <c r="P53" s="1047">
        <f t="shared" si="4"/>
        <v>579755827.77923882</v>
      </c>
      <c r="Q53" s="393"/>
      <c r="R53" s="394"/>
      <c r="S53" s="322">
        <f>Gasoline!K53</f>
        <v>0</v>
      </c>
      <c r="T53" s="329">
        <f t="shared" si="30"/>
        <v>0</v>
      </c>
      <c r="U53" s="320"/>
      <c r="V53" s="320">
        <f t="shared" si="31"/>
        <v>0</v>
      </c>
      <c r="W53" s="314">
        <f t="shared" si="28"/>
        <v>0</v>
      </c>
      <c r="X53" s="1046"/>
      <c r="Y53" s="1047">
        <f t="shared" si="25"/>
        <v>0</v>
      </c>
      <c r="Z53" s="395"/>
      <c r="AA53" s="396">
        <f t="shared" si="26"/>
        <v>0</v>
      </c>
      <c r="AB53" s="1007"/>
      <c r="AC53" s="847"/>
      <c r="AD53" s="607"/>
      <c r="AE53" s="363">
        <f>0.0957*1000*M53</f>
        <v>3.5060082063305975</v>
      </c>
      <c r="AF53" s="847">
        <f t="shared" si="17"/>
        <v>579755827.77923882</v>
      </c>
    </row>
    <row r="54" spans="1:32" s="85" customFormat="1" x14ac:dyDescent="0.6">
      <c r="A54" s="61">
        <f t="shared" si="29"/>
        <v>47</v>
      </c>
      <c r="B54" s="86" t="s">
        <v>65</v>
      </c>
      <c r="C54" s="290">
        <v>43296</v>
      </c>
      <c r="D54" s="290">
        <v>27932</v>
      </c>
      <c r="E54" s="290">
        <v>15364</v>
      </c>
      <c r="F54" s="348">
        <f t="shared" si="0"/>
        <v>0</v>
      </c>
      <c r="G54" s="1003">
        <v>67918</v>
      </c>
      <c r="H54" s="66">
        <f>43183+24735</f>
        <v>67918</v>
      </c>
      <c r="I54" s="94">
        <f t="shared" si="1"/>
        <v>1</v>
      </c>
      <c r="J54" s="66">
        <f>Assumptions!$C$62</f>
        <v>27296</v>
      </c>
      <c r="K54" s="66">
        <f t="shared" si="2"/>
        <v>419375744</v>
      </c>
      <c r="L54" s="1005"/>
      <c r="M54" s="855">
        <f>Assumptions!$C$64</f>
        <v>3.6635404454865184E-2</v>
      </c>
      <c r="N54" s="877"/>
      <c r="O54" s="458">
        <f t="shared" si="27"/>
        <v>0.26743845252051585</v>
      </c>
      <c r="P54" s="1047">
        <f t="shared" si="4"/>
        <v>112157200.00000001</v>
      </c>
      <c r="Q54" s="393"/>
      <c r="R54" s="394"/>
      <c r="S54" s="322">
        <f>Gasoline!K54</f>
        <v>0</v>
      </c>
      <c r="T54" s="329">
        <f t="shared" si="30"/>
        <v>0</v>
      </c>
      <c r="U54" s="320"/>
      <c r="V54" s="320">
        <f t="shared" si="31"/>
        <v>0</v>
      </c>
      <c r="W54" s="314">
        <f t="shared" si="28"/>
        <v>0</v>
      </c>
      <c r="X54" s="1046"/>
      <c r="Y54" s="1047">
        <f t="shared" si="25"/>
        <v>0</v>
      </c>
      <c r="Z54" s="395"/>
      <c r="AA54" s="396">
        <f t="shared" si="26"/>
        <v>0</v>
      </c>
      <c r="AB54" s="1007"/>
      <c r="AC54" s="1010"/>
      <c r="AD54" s="616"/>
      <c r="AE54" s="363">
        <f>0.0073*1000*M54</f>
        <v>0.26743845252051585</v>
      </c>
      <c r="AF54" s="847">
        <f t="shared" si="17"/>
        <v>112157200.00000001</v>
      </c>
    </row>
    <row r="55" spans="1:32" s="85" customFormat="1" x14ac:dyDescent="0.6">
      <c r="A55" s="61">
        <f t="shared" si="29"/>
        <v>48</v>
      </c>
      <c r="B55" s="86" t="s">
        <v>66</v>
      </c>
      <c r="C55" s="290">
        <v>9780</v>
      </c>
      <c r="D55" s="290">
        <v>3851</v>
      </c>
      <c r="E55" s="290">
        <v>3319</v>
      </c>
      <c r="F55" s="348">
        <f t="shared" si="0"/>
        <v>2610</v>
      </c>
      <c r="G55" s="1003">
        <v>37713</v>
      </c>
      <c r="H55" s="66">
        <f>17461+20252</f>
        <v>37713</v>
      </c>
      <c r="I55" s="94">
        <f t="shared" si="1"/>
        <v>1</v>
      </c>
      <c r="J55" s="66">
        <f>Assumptions!$C$62</f>
        <v>27296</v>
      </c>
      <c r="K55" s="66">
        <f t="shared" si="2"/>
        <v>90595424</v>
      </c>
      <c r="L55" s="1005"/>
      <c r="M55" s="855">
        <f>Assumptions!$C$64</f>
        <v>3.6635404454865184E-2</v>
      </c>
      <c r="N55" s="877"/>
      <c r="O55" s="458">
        <f t="shared" si="27"/>
        <v>6.1803927315357559</v>
      </c>
      <c r="P55" s="1047">
        <f t="shared" si="4"/>
        <v>559915300</v>
      </c>
      <c r="Q55" s="393"/>
      <c r="R55" s="394"/>
      <c r="S55" s="322">
        <f>Gasoline!K55</f>
        <v>0</v>
      </c>
      <c r="T55" s="329">
        <f t="shared" si="30"/>
        <v>0</v>
      </c>
      <c r="U55" s="320"/>
      <c r="V55" s="320">
        <f t="shared" si="31"/>
        <v>0</v>
      </c>
      <c r="W55" s="314">
        <f t="shared" si="28"/>
        <v>0</v>
      </c>
      <c r="X55" s="1046"/>
      <c r="Y55" s="1047">
        <f t="shared" si="25"/>
        <v>0</v>
      </c>
      <c r="Z55" s="395"/>
      <c r="AA55" s="396">
        <f t="shared" si="26"/>
        <v>0</v>
      </c>
      <c r="AB55" s="1007"/>
      <c r="AC55" s="1010"/>
      <c r="AD55" s="616"/>
      <c r="AE55" s="363">
        <f>0.1687*1000*M55</f>
        <v>6.1803927315357559</v>
      </c>
      <c r="AF55" s="847">
        <f t="shared" si="17"/>
        <v>559915300</v>
      </c>
    </row>
    <row r="56" spans="1:32" s="85" customFormat="1" x14ac:dyDescent="0.6">
      <c r="A56" s="61">
        <f t="shared" si="29"/>
        <v>49</v>
      </c>
      <c r="B56" s="86" t="s">
        <v>67</v>
      </c>
      <c r="C56" s="290">
        <v>132552</v>
      </c>
      <c r="D56" s="290">
        <v>28738</v>
      </c>
      <c r="E56" s="290">
        <v>28738</v>
      </c>
      <c r="F56" s="348">
        <f t="shared" si="0"/>
        <v>75076</v>
      </c>
      <c r="G56" s="1003">
        <v>150123</v>
      </c>
      <c r="H56" s="66">
        <f>63474+1739+69962</f>
        <v>135175</v>
      </c>
      <c r="I56" s="94">
        <f t="shared" si="1"/>
        <v>0.90042831544799928</v>
      </c>
      <c r="J56" s="66">
        <f>Assumptions!$C$62</f>
        <v>27296</v>
      </c>
      <c r="K56" s="66">
        <f t="shared" si="2"/>
        <v>706325187.73539031</v>
      </c>
      <c r="L56" s="1005">
        <f>Assumptions!$H$28</f>
        <v>0.244814</v>
      </c>
      <c r="M56" s="855">
        <f>Assumptions!$C$64</f>
        <v>3.6635404454865184E-2</v>
      </c>
      <c r="N56" s="877"/>
      <c r="O56" s="458">
        <f t="shared" si="27"/>
        <v>5.6784876905041033</v>
      </c>
      <c r="P56" s="1047">
        <f t="shared" si="4"/>
        <v>4010858884.0484138</v>
      </c>
      <c r="Q56" s="393"/>
      <c r="R56" s="394"/>
      <c r="S56" s="322">
        <f>Gasoline!K56</f>
        <v>0</v>
      </c>
      <c r="T56" s="329">
        <f t="shared" si="30"/>
        <v>0</v>
      </c>
      <c r="U56" s="320"/>
      <c r="V56" s="320">
        <f t="shared" si="31"/>
        <v>0</v>
      </c>
      <c r="W56" s="314">
        <f t="shared" si="28"/>
        <v>0</v>
      </c>
      <c r="X56" s="1046"/>
      <c r="Y56" s="1047">
        <f t="shared" si="25"/>
        <v>0</v>
      </c>
      <c r="Z56" s="395"/>
      <c r="AA56" s="396">
        <f t="shared" si="26"/>
        <v>0</v>
      </c>
      <c r="AB56" s="1007"/>
      <c r="AC56" s="1010"/>
      <c r="AD56" s="616"/>
      <c r="AE56" s="363">
        <f>0.155*1000*M56</f>
        <v>5.6784876905041033</v>
      </c>
      <c r="AF56" s="847">
        <f t="shared" si="17"/>
        <v>4010858884.0484138</v>
      </c>
    </row>
    <row r="57" spans="1:32" s="85" customFormat="1" x14ac:dyDescent="0.6">
      <c r="A57" s="61">
        <f t="shared" si="29"/>
        <v>50</v>
      </c>
      <c r="B57" s="86" t="s">
        <v>68</v>
      </c>
      <c r="C57" s="290">
        <v>25089</v>
      </c>
      <c r="D57" s="290">
        <v>14376</v>
      </c>
      <c r="E57" s="290">
        <v>6548</v>
      </c>
      <c r="F57" s="348">
        <f t="shared" si="0"/>
        <v>4165</v>
      </c>
      <c r="G57" s="1003">
        <v>31426</v>
      </c>
      <c r="H57" s="66">
        <v>25708</v>
      </c>
      <c r="I57" s="94">
        <f t="shared" si="1"/>
        <v>0.81804874944313621</v>
      </c>
      <c r="J57" s="66">
        <f>Assumptions!$C$62</f>
        <v>27296</v>
      </c>
      <c r="K57" s="66">
        <f t="shared" si="2"/>
        <v>146213295.33710939</v>
      </c>
      <c r="L57" s="1005"/>
      <c r="M57" s="855">
        <f>Assumptions!$C$64</f>
        <v>3.6635404454865184E-2</v>
      </c>
      <c r="N57" s="877"/>
      <c r="O57" s="458">
        <f t="shared" si="27"/>
        <v>7.2648007033997661</v>
      </c>
      <c r="P57" s="1047">
        <f t="shared" si="4"/>
        <v>1062210450.81143</v>
      </c>
      <c r="Q57" s="393"/>
      <c r="R57" s="394"/>
      <c r="S57" s="322">
        <f>Gasoline!K57</f>
        <v>0</v>
      </c>
      <c r="T57" s="329">
        <f t="shared" si="30"/>
        <v>0</v>
      </c>
      <c r="U57" s="320"/>
      <c r="V57" s="320">
        <f t="shared" si="31"/>
        <v>0</v>
      </c>
      <c r="W57" s="314">
        <f t="shared" si="28"/>
        <v>0</v>
      </c>
      <c r="X57" s="1046"/>
      <c r="Y57" s="1047">
        <f t="shared" si="25"/>
        <v>0</v>
      </c>
      <c r="Z57" s="395"/>
      <c r="AA57" s="396">
        <f t="shared" si="26"/>
        <v>0</v>
      </c>
      <c r="AB57" s="1007"/>
      <c r="AC57" s="1010"/>
      <c r="AD57" s="616"/>
      <c r="AE57" s="363">
        <f>0.1983*1000*M57</f>
        <v>7.2648007033997661</v>
      </c>
      <c r="AF57" s="847">
        <f t="shared" si="17"/>
        <v>1062210450.81143</v>
      </c>
    </row>
    <row r="58" spans="1:32" s="85" customFormat="1" x14ac:dyDescent="0.6">
      <c r="A58" s="61">
        <f t="shared" si="29"/>
        <v>51</v>
      </c>
      <c r="B58" s="86" t="s">
        <v>695</v>
      </c>
      <c r="C58" s="290">
        <v>28912</v>
      </c>
      <c r="D58" s="290">
        <v>13757</v>
      </c>
      <c r="E58" s="290">
        <v>10052</v>
      </c>
      <c r="F58" s="348">
        <f t="shared" si="0"/>
        <v>5103</v>
      </c>
      <c r="G58" s="1003">
        <v>32758</v>
      </c>
      <c r="H58" s="66">
        <f>863+31895</f>
        <v>32758</v>
      </c>
      <c r="I58" s="94">
        <f t="shared" si="1"/>
        <v>1</v>
      </c>
      <c r="J58" s="66">
        <f>Assumptions!$C$62</f>
        <v>27296</v>
      </c>
      <c r="K58" s="66">
        <f t="shared" si="2"/>
        <v>274379392</v>
      </c>
      <c r="L58" s="1005"/>
      <c r="M58" s="855">
        <f>Assumptions!$C$64</f>
        <v>3.6635404454865184E-2</v>
      </c>
      <c r="N58" s="877"/>
      <c r="O58" s="458">
        <f t="shared" si="27"/>
        <v>2.0149472450175852</v>
      </c>
      <c r="P58" s="1047">
        <f t="shared" si="4"/>
        <v>552860000</v>
      </c>
      <c r="Q58" s="393"/>
      <c r="R58" s="394"/>
      <c r="S58" s="322">
        <f>Gasoline!K58</f>
        <v>0</v>
      </c>
      <c r="T58" s="329">
        <f t="shared" si="30"/>
        <v>0</v>
      </c>
      <c r="U58" s="320"/>
      <c r="V58" s="320">
        <f t="shared" si="31"/>
        <v>0</v>
      </c>
      <c r="W58" s="314">
        <f t="shared" si="28"/>
        <v>0</v>
      </c>
      <c r="X58" s="1046"/>
      <c r="Y58" s="1047">
        <f t="shared" si="25"/>
        <v>0</v>
      </c>
      <c r="Z58" s="395"/>
      <c r="AA58" s="396"/>
      <c r="AB58" s="1007"/>
      <c r="AC58" s="1010"/>
      <c r="AD58" s="616"/>
      <c r="AE58" s="363">
        <f>0.055*1000*M58</f>
        <v>2.0149472450175852</v>
      </c>
      <c r="AF58" s="847">
        <f t="shared" si="17"/>
        <v>552860000</v>
      </c>
    </row>
    <row r="59" spans="1:32" s="85" customFormat="1" x14ac:dyDescent="0.6">
      <c r="A59" s="61">
        <f t="shared" si="29"/>
        <v>52</v>
      </c>
      <c r="B59" s="86" t="s">
        <v>69</v>
      </c>
      <c r="C59" s="290">
        <v>36378</v>
      </c>
      <c r="D59" s="290">
        <v>15137</v>
      </c>
      <c r="E59" s="290">
        <v>6262</v>
      </c>
      <c r="F59" s="348">
        <f t="shared" si="0"/>
        <v>14979</v>
      </c>
      <c r="G59" s="1003">
        <v>41499</v>
      </c>
      <c r="H59" s="66">
        <v>41499</v>
      </c>
      <c r="I59" s="94">
        <f t="shared" si="1"/>
        <v>1</v>
      </c>
      <c r="J59" s="66">
        <f>Assumptions!$C$62</f>
        <v>27296</v>
      </c>
      <c r="K59" s="66">
        <f t="shared" si="2"/>
        <v>170927552</v>
      </c>
      <c r="L59" s="1005"/>
      <c r="M59" s="855">
        <f>Assumptions!$C$64</f>
        <v>3.6635404454865184E-2</v>
      </c>
      <c r="N59" s="877"/>
      <c r="O59" s="458">
        <f t="shared" si="27"/>
        <v>1.4177901524032825</v>
      </c>
      <c r="P59" s="1047">
        <f t="shared" si="4"/>
        <v>242339400</v>
      </c>
      <c r="Q59" s="393"/>
      <c r="R59" s="394"/>
      <c r="S59" s="322">
        <f>Gasoline!K59</f>
        <v>0</v>
      </c>
      <c r="T59" s="329">
        <f t="shared" si="30"/>
        <v>0</v>
      </c>
      <c r="U59" s="320"/>
      <c r="V59" s="320">
        <f t="shared" si="31"/>
        <v>0</v>
      </c>
      <c r="W59" s="314">
        <f t="shared" si="28"/>
        <v>0</v>
      </c>
      <c r="X59" s="1046"/>
      <c r="Y59" s="1047">
        <f t="shared" si="25"/>
        <v>0</v>
      </c>
      <c r="Z59" s="395"/>
      <c r="AA59" s="396">
        <f t="shared" ref="AA59:AA65" si="32">K59*V59</f>
        <v>0</v>
      </c>
      <c r="AB59" s="1007"/>
      <c r="AC59" s="1010"/>
      <c r="AD59" s="616"/>
      <c r="AE59" s="363">
        <f>0.0387*1000*M59</f>
        <v>1.4177901524032825</v>
      </c>
      <c r="AF59" s="847">
        <f t="shared" si="17"/>
        <v>242339400</v>
      </c>
    </row>
    <row r="60" spans="1:32" s="85" customFormat="1" x14ac:dyDescent="0.6">
      <c r="A60" s="61">
        <f t="shared" si="29"/>
        <v>53</v>
      </c>
      <c r="B60" s="86" t="s">
        <v>70</v>
      </c>
      <c r="C60" s="290">
        <v>292765</v>
      </c>
      <c r="D60" s="290">
        <v>144513</v>
      </c>
      <c r="E60" s="290">
        <v>98243</v>
      </c>
      <c r="F60" s="348">
        <f t="shared" si="0"/>
        <v>50009</v>
      </c>
      <c r="G60" s="1003">
        <v>338336</v>
      </c>
      <c r="H60" s="66">
        <f>149531+188804</f>
        <v>338335</v>
      </c>
      <c r="I60" s="94">
        <f t="shared" si="1"/>
        <v>0.99999704435827108</v>
      </c>
      <c r="J60" s="66">
        <f>Assumptions!$C$62</f>
        <v>27296</v>
      </c>
      <c r="K60" s="66">
        <f t="shared" si="2"/>
        <v>2681633002.0301714</v>
      </c>
      <c r="L60" s="1025">
        <f>Assumptions!$H$24</f>
        <v>0.26666699999999999</v>
      </c>
      <c r="M60" s="855">
        <f>Assumptions!$C$64</f>
        <v>3.6635404454865184E-2</v>
      </c>
      <c r="N60" s="877"/>
      <c r="O60" s="458">
        <f t="shared" si="27"/>
        <v>2.5168522860492382</v>
      </c>
      <c r="P60" s="1047">
        <f t="shared" si="4"/>
        <v>6749274151.5047178</v>
      </c>
      <c r="Q60" s="393"/>
      <c r="R60" s="394"/>
      <c r="S60" s="322">
        <f>Gasoline!K60</f>
        <v>0</v>
      </c>
      <c r="T60" s="329">
        <f t="shared" si="30"/>
        <v>0</v>
      </c>
      <c r="U60" s="320"/>
      <c r="V60" s="320">
        <f t="shared" si="31"/>
        <v>0</v>
      </c>
      <c r="W60" s="314">
        <f t="shared" si="28"/>
        <v>0</v>
      </c>
      <c r="X60" s="1046"/>
      <c r="Y60" s="1047">
        <f t="shared" si="25"/>
        <v>0</v>
      </c>
      <c r="Z60" s="395"/>
      <c r="AA60" s="396">
        <f t="shared" si="32"/>
        <v>0</v>
      </c>
      <c r="AB60" s="1007"/>
      <c r="AC60" s="1010"/>
      <c r="AD60" s="616"/>
      <c r="AE60" s="363">
        <f>0.0687*1000*M60</f>
        <v>2.5168522860492382</v>
      </c>
      <c r="AF60" s="847">
        <f t="shared" si="17"/>
        <v>6749274151.5047178</v>
      </c>
    </row>
    <row r="61" spans="1:32" s="85" customFormat="1" x14ac:dyDescent="0.6">
      <c r="A61" s="61">
        <f t="shared" si="29"/>
        <v>54</v>
      </c>
      <c r="B61" s="86" t="s">
        <v>71</v>
      </c>
      <c r="C61" s="290">
        <v>9703</v>
      </c>
      <c r="D61" s="290">
        <v>2780</v>
      </c>
      <c r="E61" s="290">
        <v>1057</v>
      </c>
      <c r="F61" s="348">
        <f t="shared" si="0"/>
        <v>5866</v>
      </c>
      <c r="G61" s="1003">
        <v>10300</v>
      </c>
      <c r="H61" s="66">
        <f>24+10276</f>
        <v>10300</v>
      </c>
      <c r="I61" s="94">
        <f t="shared" si="1"/>
        <v>1</v>
      </c>
      <c r="J61" s="66">
        <f>Assumptions!$C$62</f>
        <v>27296</v>
      </c>
      <c r="K61" s="66">
        <f t="shared" si="2"/>
        <v>28851872</v>
      </c>
      <c r="L61" s="1005"/>
      <c r="M61" s="855">
        <f>Assumptions!$C$64</f>
        <v>3.6635404454865184E-2</v>
      </c>
      <c r="N61" s="877"/>
      <c r="O61" s="458">
        <f t="shared" si="27"/>
        <v>2.6377491207502932</v>
      </c>
      <c r="P61" s="1047">
        <f t="shared" si="4"/>
        <v>76104000</v>
      </c>
      <c r="Q61" s="393"/>
      <c r="R61" s="394"/>
      <c r="S61" s="322">
        <f>Gasoline!K61</f>
        <v>0</v>
      </c>
      <c r="T61" s="329">
        <f t="shared" si="30"/>
        <v>0</v>
      </c>
      <c r="U61" s="320"/>
      <c r="V61" s="320">
        <f t="shared" si="31"/>
        <v>0</v>
      </c>
      <c r="W61" s="314">
        <f t="shared" si="28"/>
        <v>0</v>
      </c>
      <c r="X61" s="1046"/>
      <c r="Y61" s="1047">
        <f t="shared" si="25"/>
        <v>0</v>
      </c>
      <c r="Z61" s="395"/>
      <c r="AA61" s="396">
        <f t="shared" si="32"/>
        <v>0</v>
      </c>
      <c r="AB61" s="1007"/>
      <c r="AC61" s="1010"/>
      <c r="AD61" s="616"/>
      <c r="AE61" s="363">
        <f>0.072*1000*M61</f>
        <v>2.6377491207502932</v>
      </c>
      <c r="AF61" s="847">
        <f t="shared" si="17"/>
        <v>76104000</v>
      </c>
    </row>
    <row r="62" spans="1:32" s="85" customFormat="1" x14ac:dyDescent="0.6">
      <c r="A62" s="61">
        <f t="shared" si="29"/>
        <v>55</v>
      </c>
      <c r="B62" s="86" t="s">
        <v>72</v>
      </c>
      <c r="C62" s="290">
        <v>12473</v>
      </c>
      <c r="D62" s="290">
        <v>2622</v>
      </c>
      <c r="E62" s="290">
        <v>0</v>
      </c>
      <c r="F62" s="348">
        <f t="shared" si="0"/>
        <v>9851</v>
      </c>
      <c r="G62" s="1003">
        <v>22534</v>
      </c>
      <c r="H62" s="66">
        <v>22534</v>
      </c>
      <c r="I62" s="94">
        <f t="shared" si="1"/>
        <v>1</v>
      </c>
      <c r="J62" s="66">
        <f>Assumptions!$C$62</f>
        <v>27296</v>
      </c>
      <c r="K62" s="66">
        <f t="shared" si="2"/>
        <v>0</v>
      </c>
      <c r="L62" s="1005"/>
      <c r="M62" s="855">
        <f>Assumptions!$C$64</f>
        <v>3.6635404454865184E-2</v>
      </c>
      <c r="N62" s="877"/>
      <c r="O62" s="458">
        <f t="shared" si="27"/>
        <v>5.0007327080890969</v>
      </c>
      <c r="P62" s="1047">
        <f t="shared" si="4"/>
        <v>0</v>
      </c>
      <c r="Q62" s="393"/>
      <c r="R62" s="394"/>
      <c r="S62" s="322">
        <f>Gasoline!K62</f>
        <v>0</v>
      </c>
      <c r="T62" s="329">
        <f t="shared" si="30"/>
        <v>0</v>
      </c>
      <c r="U62" s="320"/>
      <c r="V62" s="320">
        <f t="shared" si="31"/>
        <v>0</v>
      </c>
      <c r="W62" s="314">
        <f t="shared" si="28"/>
        <v>0</v>
      </c>
      <c r="X62" s="1046"/>
      <c r="Y62" s="1047">
        <f t="shared" si="25"/>
        <v>0</v>
      </c>
      <c r="Z62" s="395"/>
      <c r="AA62" s="396">
        <f t="shared" si="32"/>
        <v>0</v>
      </c>
      <c r="AB62" s="1007"/>
      <c r="AC62" s="1010"/>
      <c r="AD62" s="616"/>
      <c r="AE62" s="1043">
        <f>Assumptions!$C$100</f>
        <v>5.0007327080890969</v>
      </c>
      <c r="AF62" s="847">
        <f t="shared" si="17"/>
        <v>0</v>
      </c>
    </row>
    <row r="63" spans="1:32" s="85" customFormat="1" x14ac:dyDescent="0.6">
      <c r="A63" s="61">
        <f t="shared" si="29"/>
        <v>56</v>
      </c>
      <c r="B63" s="86" t="s">
        <v>73</v>
      </c>
      <c r="C63" s="290">
        <v>111076</v>
      </c>
      <c r="D63" s="290">
        <v>38008</v>
      </c>
      <c r="E63" s="290">
        <v>37160</v>
      </c>
      <c r="F63" s="348">
        <f t="shared" si="0"/>
        <v>35908</v>
      </c>
      <c r="G63" s="1003">
        <v>127366</v>
      </c>
      <c r="H63" s="66">
        <f>1582+125488</f>
        <v>127070</v>
      </c>
      <c r="I63" s="94">
        <f t="shared" si="1"/>
        <v>0.99767598888243325</v>
      </c>
      <c r="J63" s="66">
        <f>Assumptions!$C$62</f>
        <v>27296</v>
      </c>
      <c r="K63" s="66">
        <f t="shared" si="2"/>
        <v>1011962070.5305967</v>
      </c>
      <c r="L63" s="1025">
        <f>Assumptions!$H$29</f>
        <v>0.27229399999999998</v>
      </c>
      <c r="M63" s="855">
        <f>Assumptions!$C$64</f>
        <v>3.6635404454865184E-2</v>
      </c>
      <c r="N63" s="877"/>
      <c r="O63" s="458">
        <f t="shared" si="27"/>
        <v>4.2130715123094964</v>
      </c>
      <c r="P63" s="1047">
        <f t="shared" si="4"/>
        <v>4263468570.8901906</v>
      </c>
      <c r="Q63" s="393"/>
      <c r="R63" s="394"/>
      <c r="S63" s="322">
        <f>Gasoline!K63</f>
        <v>0</v>
      </c>
      <c r="T63" s="329">
        <f t="shared" si="30"/>
        <v>0</v>
      </c>
      <c r="U63" s="320"/>
      <c r="V63" s="320">
        <f t="shared" si="31"/>
        <v>0</v>
      </c>
      <c r="W63" s="314">
        <f t="shared" si="28"/>
        <v>0</v>
      </c>
      <c r="X63" s="1046"/>
      <c r="Y63" s="1047">
        <f t="shared" si="25"/>
        <v>0</v>
      </c>
      <c r="Z63" s="395"/>
      <c r="AA63" s="396">
        <f t="shared" si="32"/>
        <v>0</v>
      </c>
      <c r="AB63" s="1007"/>
      <c r="AC63" s="1010"/>
      <c r="AD63" s="616"/>
      <c r="AE63" s="363">
        <f>0.115*1000*M63</f>
        <v>4.2130715123094964</v>
      </c>
      <c r="AF63" s="847">
        <f t="shared" si="17"/>
        <v>4263468570.8901906</v>
      </c>
    </row>
    <row r="64" spans="1:32" s="85" customFormat="1" x14ac:dyDescent="0.6">
      <c r="A64" s="61">
        <f t="shared" si="29"/>
        <v>57</v>
      </c>
      <c r="B64" s="86" t="s">
        <v>74</v>
      </c>
      <c r="C64" s="290">
        <v>46472</v>
      </c>
      <c r="D64" s="290">
        <v>8418</v>
      </c>
      <c r="E64" s="290">
        <v>3600</v>
      </c>
      <c r="F64" s="348">
        <f>C64-D64-E64</f>
        <v>34454</v>
      </c>
      <c r="G64" s="1003">
        <v>57280</v>
      </c>
      <c r="H64" s="66">
        <f>2340+147+42963</f>
        <v>45450</v>
      </c>
      <c r="I64" s="94">
        <f>H64/G64</f>
        <v>0.79347067039106145</v>
      </c>
      <c r="J64" s="66">
        <f>Assumptions!$C$62</f>
        <v>27296</v>
      </c>
      <c r="K64" s="66">
        <f t="shared" si="2"/>
        <v>77970871.508379892</v>
      </c>
      <c r="L64" s="1005"/>
      <c r="M64" s="855">
        <f>Assumptions!$C$64</f>
        <v>3.6635404454865184E-2</v>
      </c>
      <c r="N64" s="877"/>
      <c r="O64" s="458">
        <f t="shared" si="27"/>
        <v>2.3336752637749125</v>
      </c>
      <c r="P64" s="1047">
        <f t="shared" si="4"/>
        <v>181958694.13407826</v>
      </c>
      <c r="Q64" s="393"/>
      <c r="R64" s="394"/>
      <c r="S64" s="322">
        <f>Gasoline!K64</f>
        <v>0</v>
      </c>
      <c r="T64" s="329">
        <f t="shared" si="30"/>
        <v>0</v>
      </c>
      <c r="U64" s="320"/>
      <c r="V64" s="320">
        <f t="shared" si="31"/>
        <v>0</v>
      </c>
      <c r="W64" s="314">
        <f t="shared" si="28"/>
        <v>0</v>
      </c>
      <c r="X64" s="1046"/>
      <c r="Y64" s="1047">
        <f t="shared" si="25"/>
        <v>0</v>
      </c>
      <c r="Z64" s="395"/>
      <c r="AA64" s="396">
        <f t="shared" si="32"/>
        <v>0</v>
      </c>
      <c r="AB64" s="1007"/>
      <c r="AC64" s="1010"/>
      <c r="AD64" s="616"/>
      <c r="AE64" s="363">
        <f>0.0637*1000*M64</f>
        <v>2.3336752637749125</v>
      </c>
      <c r="AF64" s="847">
        <f t="shared" si="17"/>
        <v>181958694.13407826</v>
      </c>
    </row>
    <row r="65" spans="1:33" s="85" customFormat="1" x14ac:dyDescent="0.6">
      <c r="A65" s="63">
        <f t="shared" si="29"/>
        <v>58</v>
      </c>
      <c r="B65" s="90" t="s">
        <v>75</v>
      </c>
      <c r="C65" s="292">
        <v>71762</v>
      </c>
      <c r="D65" s="292">
        <v>22593</v>
      </c>
      <c r="E65" s="292">
        <v>17502</v>
      </c>
      <c r="F65" s="350">
        <f>C65-D65-E65</f>
        <v>31667</v>
      </c>
      <c r="G65" s="1004">
        <v>117950</v>
      </c>
      <c r="H65" s="75">
        <f>19856+22835</f>
        <v>42691</v>
      </c>
      <c r="I65" s="228">
        <f>H65/G65</f>
        <v>0.36194150063586267</v>
      </c>
      <c r="J65" s="75">
        <f>Assumptions!$C$62</f>
        <v>27296</v>
      </c>
      <c r="K65" s="75">
        <f t="shared" si="2"/>
        <v>172911975.13414159</v>
      </c>
      <c r="L65" s="1012"/>
      <c r="M65" s="856">
        <f>Assumptions!$C$64</f>
        <v>3.6635404454865184E-2</v>
      </c>
      <c r="N65" s="878"/>
      <c r="O65" s="1548">
        <f t="shared" si="27"/>
        <v>5.0007327080890969</v>
      </c>
      <c r="P65" s="1050">
        <f t="shared" si="4"/>
        <v>864686569.67359042</v>
      </c>
      <c r="Q65" s="819"/>
      <c r="R65" s="858"/>
      <c r="S65" s="1022">
        <f>Gasoline!K65</f>
        <v>0</v>
      </c>
      <c r="T65" s="335">
        <f t="shared" si="30"/>
        <v>0</v>
      </c>
      <c r="U65" s="1014"/>
      <c r="V65" s="1014">
        <f t="shared" si="31"/>
        <v>0</v>
      </c>
      <c r="W65" s="328">
        <f t="shared" si="28"/>
        <v>0</v>
      </c>
      <c r="X65" s="1049"/>
      <c r="Y65" s="1050">
        <f t="shared" si="25"/>
        <v>0</v>
      </c>
      <c r="Z65" s="1015"/>
      <c r="AA65" s="409">
        <f t="shared" si="32"/>
        <v>0</v>
      </c>
      <c r="AB65" s="1016"/>
      <c r="AC65" s="1017"/>
      <c r="AD65" s="1000"/>
      <c r="AE65" s="1528">
        <f>Assumptions!$C$100</f>
        <v>5.0007327080890969</v>
      </c>
      <c r="AF65" s="1019">
        <f t="shared" si="17"/>
        <v>864686569.67359042</v>
      </c>
    </row>
    <row r="66" spans="1:33" s="85" customFormat="1" x14ac:dyDescent="0.6">
      <c r="A66" s="60"/>
      <c r="B66" s="85" t="s">
        <v>42</v>
      </c>
      <c r="C66" s="21">
        <f>SUM(C4:C65)</f>
        <v>17783386</v>
      </c>
      <c r="D66" s="21">
        <f t="shared" ref="D66:H66" si="33">SUM(D4:D65)</f>
        <v>4747929</v>
      </c>
      <c r="E66" s="21">
        <f t="shared" si="33"/>
        <v>3972563</v>
      </c>
      <c r="F66" s="21">
        <f t="shared" si="33"/>
        <v>9062894</v>
      </c>
      <c r="G66" s="21">
        <f t="shared" si="33"/>
        <v>21452020</v>
      </c>
      <c r="H66" s="21">
        <f t="shared" si="33"/>
        <v>14404086</v>
      </c>
      <c r="I66" s="230"/>
      <c r="J66" s="21"/>
      <c r="K66" s="21">
        <f>SUM(K4:K65)</f>
        <v>70432933131.103104</v>
      </c>
      <c r="L66" s="1009"/>
      <c r="M66" s="812"/>
      <c r="N66" s="416"/>
      <c r="O66" s="526"/>
      <c r="P66" s="414"/>
      <c r="Q66" s="416"/>
      <c r="R66" s="526"/>
      <c r="S66" s="360"/>
      <c r="T66" s="331"/>
      <c r="U66" s="506"/>
      <c r="V66" s="506"/>
      <c r="W66" s="70"/>
      <c r="X66" s="414"/>
      <c r="Y66" s="414"/>
      <c r="Z66" s="506"/>
      <c r="AA66" s="70"/>
      <c r="AB66" s="70"/>
      <c r="AC66" s="70"/>
      <c r="AD66" s="415"/>
      <c r="AE66" s="506"/>
      <c r="AF66" s="70"/>
    </row>
    <row r="67" spans="1:33" x14ac:dyDescent="0.6">
      <c r="B67" s="1" t="s">
        <v>596</v>
      </c>
      <c r="C67" s="21">
        <v>20200362</v>
      </c>
      <c r="D67" s="21">
        <v>5465703</v>
      </c>
      <c r="E67" s="21">
        <v>4492158</v>
      </c>
      <c r="F67" s="21">
        <f>C67-D67-E67</f>
        <v>10242501</v>
      </c>
      <c r="G67" s="88">
        <v>24344520</v>
      </c>
      <c r="H67" s="21">
        <f>9538300+989865+5543363</f>
        <v>16071528</v>
      </c>
      <c r="I67" s="229">
        <f>H67/G67</f>
        <v>0.66017025597547208</v>
      </c>
      <c r="K67" s="28"/>
      <c r="L67" s="398"/>
      <c r="N67" s="416"/>
      <c r="O67" s="526"/>
      <c r="P67" s="414"/>
      <c r="R67" s="526"/>
      <c r="X67" s="414"/>
      <c r="Y67" s="414"/>
      <c r="AF67" s="1"/>
      <c r="AG67" s="1"/>
    </row>
    <row r="68" spans="1:33" x14ac:dyDescent="0.6">
      <c r="C68" s="360">
        <f>C66/C67</f>
        <v>0.88034986699743301</v>
      </c>
      <c r="D68" s="360">
        <f t="shared" ref="D68:H68" si="34">D66/D67</f>
        <v>0.86867672831838827</v>
      </c>
      <c r="E68" s="360">
        <f t="shared" si="34"/>
        <v>0.88433287520162918</v>
      </c>
      <c r="F68" s="360">
        <f t="shared" si="34"/>
        <v>0.88483213230831026</v>
      </c>
      <c r="G68" s="360">
        <f t="shared" si="34"/>
        <v>0.8811847594448361</v>
      </c>
      <c r="H68" s="360">
        <f t="shared" si="34"/>
        <v>0.89624869520807227</v>
      </c>
      <c r="L68" s="70"/>
      <c r="N68" s="416"/>
      <c r="O68" s="526"/>
      <c r="P68" s="414"/>
      <c r="R68" s="526"/>
      <c r="X68" s="414"/>
      <c r="Y68" s="414"/>
      <c r="AF68" s="1"/>
      <c r="AG68" s="1"/>
    </row>
    <row r="69" spans="1:33" x14ac:dyDescent="0.6">
      <c r="L69" s="70"/>
      <c r="N69" s="416"/>
      <c r="O69" s="526"/>
      <c r="P69" s="414"/>
      <c r="R69" s="526"/>
      <c r="X69" s="414"/>
      <c r="Y69" s="414"/>
      <c r="AF69" s="1"/>
      <c r="AG69" s="1"/>
    </row>
    <row r="70" spans="1:33" x14ac:dyDescent="0.6">
      <c r="K70" s="239"/>
      <c r="L70" s="70"/>
      <c r="N70" s="416"/>
      <c r="O70" s="526"/>
      <c r="P70" s="414"/>
      <c r="R70" s="526"/>
      <c r="X70" s="414"/>
      <c r="Y70" s="414"/>
      <c r="AF70" s="1"/>
      <c r="AG70" s="1"/>
    </row>
    <row r="71" spans="1:33" x14ac:dyDescent="0.6">
      <c r="K71" s="226"/>
      <c r="L71" s="70"/>
      <c r="N71" s="416"/>
      <c r="O71" s="526"/>
      <c r="P71" s="414"/>
      <c r="R71" s="526"/>
      <c r="X71" s="414"/>
      <c r="Y71" s="414"/>
      <c r="AF71" s="1"/>
      <c r="AG71" s="1"/>
    </row>
    <row r="72" spans="1:33" x14ac:dyDescent="0.6">
      <c r="L72" s="398"/>
      <c r="N72" s="416"/>
      <c r="O72" s="526"/>
      <c r="P72" s="414"/>
      <c r="R72" s="526"/>
      <c r="X72" s="414"/>
      <c r="Y72" s="414"/>
      <c r="AF72" s="1"/>
      <c r="AG72" s="1"/>
    </row>
    <row r="73" spans="1:33" x14ac:dyDescent="0.6">
      <c r="A73" s="1"/>
      <c r="G73" s="85"/>
      <c r="K73" s="1"/>
      <c r="L73" s="398"/>
      <c r="M73" s="91"/>
      <c r="N73" s="416"/>
      <c r="O73" s="526"/>
      <c r="P73" s="414"/>
      <c r="R73" s="526"/>
      <c r="S73" s="1"/>
      <c r="T73" s="10"/>
      <c r="X73" s="414"/>
      <c r="Y73" s="414"/>
      <c r="AA73" s="85"/>
      <c r="AB73" s="1"/>
      <c r="AC73" s="1"/>
      <c r="AD73" s="83"/>
      <c r="AF73" s="1"/>
      <c r="AG73" s="1"/>
    </row>
    <row r="74" spans="1:33" x14ac:dyDescent="0.6">
      <c r="A74" s="1"/>
      <c r="G74" s="85"/>
      <c r="K74" s="1"/>
      <c r="L74" s="398"/>
      <c r="N74" s="416"/>
      <c r="O74" s="526"/>
      <c r="P74" s="414"/>
      <c r="R74" s="526"/>
      <c r="X74" s="414"/>
      <c r="Y74" s="414"/>
      <c r="AA74" s="85"/>
      <c r="AB74" s="1"/>
      <c r="AC74" s="1"/>
      <c r="AD74" s="83"/>
      <c r="AF74" s="1"/>
      <c r="AG74" s="1"/>
    </row>
    <row r="75" spans="1:33" x14ac:dyDescent="0.6">
      <c r="A75" s="1"/>
      <c r="G75" s="85"/>
      <c r="K75" s="1"/>
      <c r="L75" s="398"/>
      <c r="N75" s="416"/>
      <c r="O75" s="526"/>
      <c r="P75" s="414"/>
      <c r="R75" s="526"/>
      <c r="X75" s="414"/>
      <c r="Y75" s="414"/>
      <c r="AA75" s="85"/>
      <c r="AB75" s="1"/>
      <c r="AC75" s="1"/>
      <c r="AD75" s="83"/>
      <c r="AF75" s="1"/>
      <c r="AG75" s="1"/>
    </row>
    <row r="76" spans="1:33" x14ac:dyDescent="0.6">
      <c r="L76" s="398"/>
      <c r="N76" s="416"/>
      <c r="O76" s="526"/>
      <c r="P76" s="414"/>
      <c r="R76" s="526"/>
      <c r="X76" s="414"/>
      <c r="Y76" s="414"/>
      <c r="AF76" s="1"/>
      <c r="AG76" s="1"/>
    </row>
    <row r="77" spans="1:33" x14ac:dyDescent="0.6">
      <c r="A77" s="1"/>
      <c r="G77" s="85"/>
      <c r="K77" s="1"/>
      <c r="L77" s="398"/>
      <c r="N77" s="416"/>
      <c r="O77" s="526"/>
      <c r="P77" s="414"/>
      <c r="R77" s="526"/>
      <c r="X77" s="414"/>
      <c r="Y77" s="414"/>
      <c r="AA77" s="85"/>
      <c r="AB77" s="1"/>
      <c r="AC77" s="1"/>
      <c r="AD77" s="83"/>
      <c r="AF77" s="1"/>
      <c r="AG77" s="1"/>
    </row>
    <row r="78" spans="1:33" x14ac:dyDescent="0.6">
      <c r="A78" s="1"/>
      <c r="G78" s="85"/>
      <c r="K78" s="1"/>
      <c r="P78" s="414"/>
      <c r="X78" s="414"/>
      <c r="Y78" s="414"/>
      <c r="AA78" s="85"/>
      <c r="AB78" s="1"/>
      <c r="AC78" s="1"/>
      <c r="AD78" s="83"/>
      <c r="AF78" s="1"/>
      <c r="AG78" s="1"/>
    </row>
    <row r="79" spans="1:33" x14ac:dyDescent="0.6">
      <c r="A79" s="1"/>
      <c r="G79" s="85"/>
      <c r="K79" s="1"/>
      <c r="P79" s="414"/>
      <c r="X79" s="414"/>
      <c r="Y79" s="414"/>
      <c r="AA79" s="85"/>
      <c r="AB79" s="1"/>
      <c r="AC79" s="1"/>
      <c r="AD79" s="83"/>
      <c r="AF79" s="1"/>
      <c r="AG79" s="1"/>
    </row>
    <row r="80" spans="1:33" x14ac:dyDescent="0.6">
      <c r="A80" s="1"/>
      <c r="G80" s="85"/>
      <c r="K80" s="1"/>
      <c r="AA80" s="85"/>
      <c r="AB80" s="1"/>
      <c r="AC80" s="1"/>
      <c r="AD80" s="83"/>
      <c r="AF80" s="1"/>
      <c r="AG80" s="1"/>
    </row>
    <row r="81" spans="1:33" x14ac:dyDescent="0.6">
      <c r="A81" s="1"/>
      <c r="G81" s="85"/>
      <c r="K81" s="1"/>
      <c r="AA81" s="85"/>
      <c r="AB81" s="1"/>
      <c r="AC81" s="1"/>
      <c r="AD81" s="83"/>
      <c r="AF81" s="1"/>
      <c r="AG81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W13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" defaultRowHeight="15.6" x14ac:dyDescent="0.6"/>
  <cols>
    <col min="2" max="2" width="20.59765625" customWidth="1"/>
    <col min="3" max="3" width="28.5" bestFit="1" customWidth="1"/>
    <col min="4" max="4" width="12.5" style="231" customWidth="1"/>
    <col min="5" max="5" width="11" style="231" bestFit="1" customWidth="1"/>
    <col min="6" max="6" width="8.5" style="534" customWidth="1"/>
    <col min="7" max="7" width="14.09765625" style="888" bestFit="1" customWidth="1"/>
    <col min="8" max="8" width="15.09765625" style="888" bestFit="1" customWidth="1"/>
    <col min="9" max="9" width="10" style="919" bestFit="1" customWidth="1"/>
    <col min="10" max="10" width="10" style="1543" bestFit="1" customWidth="1"/>
    <col min="11" max="11" width="11.34765625" style="1543" bestFit="1" customWidth="1"/>
    <col min="12" max="12" width="10.34765625" style="1543" bestFit="1" customWidth="1"/>
    <col min="13" max="13" width="10" style="1543" bestFit="1" customWidth="1"/>
    <col min="14" max="14" width="10" style="1543" customWidth="1"/>
    <col min="15" max="15" width="7.34765625" style="1543" bestFit="1" customWidth="1"/>
    <col min="16" max="16" width="9.59765625" style="506" bestFit="1" customWidth="1"/>
    <col min="17" max="17" width="11.59765625" style="1542" bestFit="1" customWidth="1"/>
    <col min="18" max="20" width="16" style="70" bestFit="1" customWidth="1"/>
    <col min="21" max="21" width="16" style="85" bestFit="1" customWidth="1"/>
    <col min="22" max="22" width="14" style="241" customWidth="1"/>
    <col min="23" max="23" width="13.5" style="241" customWidth="1"/>
  </cols>
  <sheetData>
    <row r="1" spans="1:23" s="1" customFormat="1" x14ac:dyDescent="0.6">
      <c r="A1" s="78" t="s">
        <v>610</v>
      </c>
      <c r="B1" s="85"/>
      <c r="C1" s="85"/>
      <c r="D1" s="174"/>
      <c r="E1" s="174"/>
      <c r="F1" s="360"/>
      <c r="G1" s="501"/>
      <c r="H1" s="64"/>
      <c r="I1" s="915"/>
      <c r="J1" s="506"/>
      <c r="K1" s="508" t="s">
        <v>396</v>
      </c>
      <c r="L1" s="506" t="s">
        <v>397</v>
      </c>
      <c r="M1" s="506"/>
      <c r="N1" s="506"/>
      <c r="O1" s="508" t="s">
        <v>396</v>
      </c>
      <c r="P1" s="506" t="s">
        <v>397</v>
      </c>
      <c r="Q1" s="1538"/>
      <c r="R1" s="70"/>
      <c r="S1" s="70"/>
      <c r="T1" s="70"/>
      <c r="U1" s="85"/>
      <c r="V1" s="17"/>
      <c r="W1" s="17"/>
    </row>
    <row r="2" spans="1:23" s="2" customFormat="1" x14ac:dyDescent="0.6">
      <c r="B2" s="60"/>
      <c r="C2" s="60"/>
      <c r="D2" s="533" t="s">
        <v>197</v>
      </c>
      <c r="E2" s="533" t="s">
        <v>100</v>
      </c>
      <c r="F2" s="1338" t="s">
        <v>189</v>
      </c>
      <c r="G2" s="887" t="s">
        <v>24</v>
      </c>
      <c r="H2" s="887" t="s">
        <v>24</v>
      </c>
      <c r="I2" s="915" t="s">
        <v>402</v>
      </c>
      <c r="J2" s="508" t="s">
        <v>402</v>
      </c>
      <c r="K2" s="508" t="s">
        <v>190</v>
      </c>
      <c r="L2" s="508" t="s">
        <v>190</v>
      </c>
      <c r="M2" s="508" t="s">
        <v>402</v>
      </c>
      <c r="N2" s="508" t="s">
        <v>79</v>
      </c>
      <c r="O2" s="508" t="s">
        <v>190</v>
      </c>
      <c r="P2" s="508" t="s">
        <v>190</v>
      </c>
      <c r="Q2" s="1538" t="s">
        <v>79</v>
      </c>
      <c r="R2" s="114" t="s">
        <v>193</v>
      </c>
      <c r="S2" s="114" t="s">
        <v>396</v>
      </c>
      <c r="T2" s="114" t="s">
        <v>397</v>
      </c>
      <c r="U2" s="60" t="s">
        <v>398</v>
      </c>
      <c r="V2" s="18"/>
      <c r="W2" s="18"/>
    </row>
    <row r="3" spans="1:23" s="2" customFormat="1" x14ac:dyDescent="0.6">
      <c r="B3" s="60"/>
      <c r="C3" s="60" t="s">
        <v>197</v>
      </c>
      <c r="D3" s="533" t="s">
        <v>79</v>
      </c>
      <c r="E3" s="533" t="s">
        <v>1648</v>
      </c>
      <c r="F3" s="1338" t="s">
        <v>79</v>
      </c>
      <c r="G3" s="64" t="s">
        <v>854</v>
      </c>
      <c r="H3" s="64" t="s">
        <v>848</v>
      </c>
      <c r="I3" s="915" t="s">
        <v>851</v>
      </c>
      <c r="J3" s="508" t="s">
        <v>503</v>
      </c>
      <c r="K3" s="508" t="s">
        <v>503</v>
      </c>
      <c r="L3" s="508" t="s">
        <v>503</v>
      </c>
      <c r="M3" s="508" t="s">
        <v>846</v>
      </c>
      <c r="N3" s="508" t="s">
        <v>846</v>
      </c>
      <c r="O3" s="508" t="s">
        <v>846</v>
      </c>
      <c r="P3" s="508" t="s">
        <v>846</v>
      </c>
      <c r="Q3" s="1538" t="s">
        <v>846</v>
      </c>
      <c r="R3" s="114" t="s">
        <v>192</v>
      </c>
      <c r="S3" s="114" t="s">
        <v>192</v>
      </c>
      <c r="T3" s="114" t="s">
        <v>192</v>
      </c>
      <c r="U3" s="60" t="s">
        <v>198</v>
      </c>
      <c r="V3" s="18"/>
      <c r="W3" s="18"/>
    </row>
    <row r="4" spans="1:23" s="1" customFormat="1" x14ac:dyDescent="0.6">
      <c r="A4" s="60">
        <v>1</v>
      </c>
      <c r="B4" s="85" t="s">
        <v>178</v>
      </c>
      <c r="C4" s="85" t="s">
        <v>1647</v>
      </c>
      <c r="D4" s="1529">
        <v>0.04</v>
      </c>
      <c r="E4" s="1529"/>
      <c r="F4" s="1529">
        <v>8.9099999999999999E-2</v>
      </c>
      <c r="G4" s="956">
        <v>23437831</v>
      </c>
      <c r="H4" s="897">
        <f>G4*Assumptions!$C$59/Assumptions!$C$8</f>
        <v>639759034.97599995</v>
      </c>
      <c r="I4" s="920">
        <v>10.83</v>
      </c>
      <c r="J4" s="506">
        <f>I4/100*1000000/Assumptions!$C$58</f>
        <v>31.740914419695198</v>
      </c>
      <c r="K4" s="506">
        <f t="shared" ref="K4:K35" si="0">J4/(1+D4)</f>
        <v>30.520110018937689</v>
      </c>
      <c r="L4" s="1422">
        <f t="shared" ref="L4:L35" si="1">K4*(1+F4)</f>
        <v>33.239451821625039</v>
      </c>
      <c r="M4" s="931">
        <f>J4*Assumptions!$C$8/1000000</f>
        <v>3.9676143024618997</v>
      </c>
      <c r="N4" s="1664">
        <f>M4-O4</f>
        <v>0.15260055009468854</v>
      </c>
      <c r="O4" s="931">
        <f>K4*Assumptions!$C$8/1000000</f>
        <v>3.8150137523672112</v>
      </c>
      <c r="P4" s="932">
        <f>L4*Assumptions!$C$8/1000000</f>
        <v>4.1549314777031299</v>
      </c>
      <c r="Q4" s="1539">
        <f>M4-O4</f>
        <v>0.15260055009468854</v>
      </c>
      <c r="R4" s="70">
        <f>M4*H4</f>
        <v>2538317097.3000002</v>
      </c>
      <c r="S4" s="70">
        <f>O4*H4</f>
        <v>2440689516.6346154</v>
      </c>
      <c r="T4" s="70">
        <f>P4*H4</f>
        <v>2658154952.5667601</v>
      </c>
      <c r="U4" s="70">
        <f t="shared" ref="U4:U54" si="2">R4-T4</f>
        <v>-119837855.26675987</v>
      </c>
      <c r="V4" s="17">
        <f>IF(U4&gt;0,U4,0)</f>
        <v>0</v>
      </c>
      <c r="W4" s="17">
        <f>IF(U4&lt;0,U4,0)</f>
        <v>-119837855.26675987</v>
      </c>
    </row>
    <row r="5" spans="1:23" s="1" customFormat="1" x14ac:dyDescent="0.6">
      <c r="A5" s="60">
        <f t="shared" ref="A5:A54" si="3">A4+1</f>
        <v>2</v>
      </c>
      <c r="B5" s="85" t="s">
        <v>188</v>
      </c>
      <c r="C5" s="85" t="s">
        <v>1649</v>
      </c>
      <c r="D5" s="1529">
        <v>2.9999999999999997E-4</v>
      </c>
      <c r="E5" s="1529"/>
      <c r="F5" s="1529">
        <v>1.7600000000000001E-2</v>
      </c>
      <c r="G5" s="956">
        <v>2763491</v>
      </c>
      <c r="H5" s="897">
        <f>G5*Assumptions!$C$59/Assumptions!$C$8</f>
        <v>75432250.335999995</v>
      </c>
      <c r="I5" s="920">
        <v>17.440000000000001</v>
      </c>
      <c r="J5" s="506">
        <f>I5/100*1000000/Assumptions!$C$58</f>
        <v>51.113716295427899</v>
      </c>
      <c r="K5" s="506">
        <f t="shared" si="0"/>
        <v>51.098386779394083</v>
      </c>
      <c r="L5" s="1422">
        <f t="shared" si="1"/>
        <v>51.997718386711419</v>
      </c>
      <c r="M5" s="931">
        <f>J5*Assumptions!$C$8/1000000</f>
        <v>6.3892145369284874</v>
      </c>
      <c r="N5" s="1664">
        <f t="shared" ref="N5:N54" si="4">M5-O5</f>
        <v>1.9161895042270061E-3</v>
      </c>
      <c r="O5" s="931">
        <f>K5*Assumptions!$C$8/1000000</f>
        <v>6.3872983474242604</v>
      </c>
      <c r="P5" s="932">
        <f>L5*Assumptions!$C$8/1000000</f>
        <v>6.4997147983389274</v>
      </c>
      <c r="Q5" s="1539">
        <f t="shared" ref="Q5:Q54" si="5">M5-O5</f>
        <v>1.9161895042270061E-3</v>
      </c>
      <c r="R5" s="70">
        <f t="shared" ref="R5:R54" si="6">M5*H5</f>
        <v>481952830.39999998</v>
      </c>
      <c r="S5" s="70">
        <f t="shared" ref="S5:S54" si="7">O5*H5</f>
        <v>481808287.9136259</v>
      </c>
      <c r="T5" s="70">
        <f t="shared" ref="T5:T54" si="8">P5*H5</f>
        <v>490288113.78090572</v>
      </c>
      <c r="U5" s="70">
        <f t="shared" si="2"/>
        <v>-8335283.3809057474</v>
      </c>
      <c r="V5" s="17">
        <f t="shared" ref="V5:V53" si="9">IF(U5&gt;0,U5,0)</f>
        <v>0</v>
      </c>
      <c r="W5" s="17">
        <f t="shared" ref="W5:W53" si="10">IF(U5&lt;0,U5,0)</f>
        <v>-8335283.3809057474</v>
      </c>
    </row>
    <row r="6" spans="1:23" s="1" customFormat="1" x14ac:dyDescent="0.6">
      <c r="A6" s="60">
        <f t="shared" si="3"/>
        <v>3</v>
      </c>
      <c r="B6" s="85" t="s">
        <v>181</v>
      </c>
      <c r="C6" s="85" t="s">
        <v>1650</v>
      </c>
      <c r="D6" s="1529">
        <v>0.11600000000000001</v>
      </c>
      <c r="E6" s="1529"/>
      <c r="F6" s="1529">
        <v>8.1699999999999995E-2</v>
      </c>
      <c r="G6" s="956">
        <v>29284431</v>
      </c>
      <c r="H6" s="897">
        <f>G6*Assumptions!$C$59/Assumptions!$C$8</f>
        <v>799347828.57599998</v>
      </c>
      <c r="I6" s="920">
        <v>10.39</v>
      </c>
      <c r="J6" s="506">
        <f>I6/100*1000000/Assumptions!$C$58</f>
        <v>30.45134818288394</v>
      </c>
      <c r="K6" s="506">
        <f t="shared" si="0"/>
        <v>27.286154285738295</v>
      </c>
      <c r="L6" s="1422">
        <f t="shared" si="1"/>
        <v>29.515433090883118</v>
      </c>
      <c r="M6" s="931">
        <f>J6*Assumptions!$C$8/1000000</f>
        <v>3.8064185228604925</v>
      </c>
      <c r="N6" s="1664">
        <f t="shared" si="4"/>
        <v>0.39564923714320566</v>
      </c>
      <c r="O6" s="931">
        <f>K6*Assumptions!$C$8/1000000</f>
        <v>3.4107692857172869</v>
      </c>
      <c r="P6" s="932">
        <f>L6*Assumptions!$C$8/1000000</f>
        <v>3.6894291363603897</v>
      </c>
      <c r="Q6" s="1539">
        <f t="shared" si="5"/>
        <v>0.39564923714320566</v>
      </c>
      <c r="R6" s="70">
        <f t="shared" si="6"/>
        <v>3042652380.9000001</v>
      </c>
      <c r="S6" s="70">
        <f t="shared" si="7"/>
        <v>2726391022.3118277</v>
      </c>
      <c r="T6" s="70">
        <f t="shared" si="8"/>
        <v>2949137168.8347044</v>
      </c>
      <c r="U6" s="70">
        <f t="shared" si="2"/>
        <v>93515212.065295696</v>
      </c>
      <c r="V6" s="17">
        <f t="shared" si="9"/>
        <v>93515212.065295696</v>
      </c>
      <c r="W6" s="17">
        <f t="shared" si="10"/>
        <v>0</v>
      </c>
    </row>
    <row r="7" spans="1:23" s="1" customFormat="1" x14ac:dyDescent="0.6">
      <c r="A7" s="60">
        <f t="shared" si="3"/>
        <v>4</v>
      </c>
      <c r="B7" s="85" t="s">
        <v>176</v>
      </c>
      <c r="C7" s="85" t="s">
        <v>1526</v>
      </c>
      <c r="D7" s="1529">
        <f>F7+0.0425</f>
        <v>0.1351</v>
      </c>
      <c r="E7" s="1529"/>
      <c r="F7" s="1529">
        <v>9.2600000000000002E-2</v>
      </c>
      <c r="G7" s="956">
        <v>12153236</v>
      </c>
      <c r="H7" s="897">
        <f>G7*Assumptions!$C$59/Assumptions!$C$8</f>
        <v>331734729.85600001</v>
      </c>
      <c r="I7" s="920">
        <v>8.32</v>
      </c>
      <c r="J7" s="506">
        <f>I7/100*1000000/Assumptions!$C$58</f>
        <v>24.384525205158265</v>
      </c>
      <c r="K7" s="506">
        <f t="shared" si="0"/>
        <v>21.482270465296683</v>
      </c>
      <c r="L7" s="1422">
        <f t="shared" si="1"/>
        <v>23.471528710383154</v>
      </c>
      <c r="M7" s="931">
        <f>J7*Assumptions!$C$8/1000000</f>
        <v>3.0480656506447832</v>
      </c>
      <c r="N7" s="1664">
        <f t="shared" si="4"/>
        <v>0.36278184248269785</v>
      </c>
      <c r="O7" s="931">
        <f>K7*Assumptions!$C$8/1000000</f>
        <v>2.6852838081620853</v>
      </c>
      <c r="P7" s="932">
        <f>L7*Assumptions!$C$8/1000000</f>
        <v>2.9339410887978943</v>
      </c>
      <c r="Q7" s="1540">
        <f t="shared" si="5"/>
        <v>0.36278184248269785</v>
      </c>
      <c r="R7" s="70">
        <f t="shared" si="6"/>
        <v>1011149235.2</v>
      </c>
      <c r="S7" s="70">
        <f t="shared" si="7"/>
        <v>890801898.68734038</v>
      </c>
      <c r="T7" s="70">
        <f t="shared" si="8"/>
        <v>973290154.50578797</v>
      </c>
      <c r="U7" s="70">
        <f t="shared" si="2"/>
        <v>37859080.694212079</v>
      </c>
      <c r="V7" s="17">
        <f t="shared" si="9"/>
        <v>37859080.694212079</v>
      </c>
      <c r="W7" s="17">
        <f t="shared" si="10"/>
        <v>0</v>
      </c>
    </row>
    <row r="8" spans="1:23" s="1" customFormat="1" x14ac:dyDescent="0.6">
      <c r="A8" s="60">
        <f t="shared" si="3"/>
        <v>5</v>
      </c>
      <c r="B8" s="85" t="s">
        <v>142</v>
      </c>
      <c r="C8" s="85" t="s">
        <v>1651</v>
      </c>
      <c r="D8" s="1529">
        <v>0.12</v>
      </c>
      <c r="E8" s="1530"/>
      <c r="F8" s="1529">
        <v>8.4400000000000003E-2</v>
      </c>
      <c r="G8" s="956">
        <v>118384093</v>
      </c>
      <c r="H8" s="897">
        <f>G8*Assumptions!$C$59/Assumptions!$C$8</f>
        <v>3231412202.5279999</v>
      </c>
      <c r="I8" s="920">
        <v>15.73</v>
      </c>
      <c r="J8" s="506">
        <f>I8/100*1000000/Assumptions!$C$58</f>
        <v>46.101992966002342</v>
      </c>
      <c r="K8" s="506">
        <f t="shared" si="0"/>
        <v>41.162493719644942</v>
      </c>
      <c r="L8" s="1422">
        <f t="shared" si="1"/>
        <v>44.636608189582979</v>
      </c>
      <c r="M8" s="931">
        <f>J8*Assumptions!$C$8/1000000</f>
        <v>5.7627491207502928</v>
      </c>
      <c r="N8" s="1664">
        <f t="shared" si="4"/>
        <v>0.61743740579467499</v>
      </c>
      <c r="O8" s="931">
        <f>K8*Assumptions!$C$8/1000000</f>
        <v>5.1453117149556178</v>
      </c>
      <c r="P8" s="932">
        <f>L8*Assumptions!$C$8/1000000</f>
        <v>5.5795760236978724</v>
      </c>
      <c r="Q8" s="1540">
        <f t="shared" si="5"/>
        <v>0.61743740579467499</v>
      </c>
      <c r="R8" s="70">
        <f t="shared" si="6"/>
        <v>18621817828.899998</v>
      </c>
      <c r="S8" s="70">
        <f t="shared" si="7"/>
        <v>16626623061.517853</v>
      </c>
      <c r="T8" s="70">
        <f t="shared" si="8"/>
        <v>18029910047.909962</v>
      </c>
      <c r="U8" s="70">
        <f t="shared" si="2"/>
        <v>591907780.99003601</v>
      </c>
      <c r="V8" s="17">
        <f t="shared" si="9"/>
        <v>591907780.99003601</v>
      </c>
      <c r="W8" s="17">
        <f t="shared" si="10"/>
        <v>0</v>
      </c>
    </row>
    <row r="9" spans="1:23" s="1" customFormat="1" x14ac:dyDescent="0.6">
      <c r="A9" s="60">
        <f t="shared" si="3"/>
        <v>6</v>
      </c>
      <c r="B9" s="85" t="s">
        <v>175</v>
      </c>
      <c r="C9" s="85" t="s">
        <v>1652</v>
      </c>
      <c r="D9" s="1529">
        <f>F9+0.03</f>
        <v>0.10439999999999999</v>
      </c>
      <c r="E9" s="1529"/>
      <c r="F9" s="1529">
        <v>7.4399999999999994E-2</v>
      </c>
      <c r="G9" s="956">
        <v>20408085</v>
      </c>
      <c r="H9" s="897">
        <f>G9*Assumptions!$C$59/Assumptions!$C$8</f>
        <v>557059088.15999997</v>
      </c>
      <c r="I9" s="920">
        <v>9.8800000000000008</v>
      </c>
      <c r="J9" s="506">
        <f>I9/100*1000000/Assumptions!$C$58</f>
        <v>28.956623681125443</v>
      </c>
      <c r="K9" s="506">
        <f t="shared" si="0"/>
        <v>26.219326042308442</v>
      </c>
      <c r="L9" s="1422">
        <f t="shared" si="1"/>
        <v>28.170043899856189</v>
      </c>
      <c r="M9" s="931">
        <f>J9*Assumptions!$C$8/1000000</f>
        <v>3.6195779601406803</v>
      </c>
      <c r="N9" s="1664">
        <f t="shared" si="4"/>
        <v>0.34216220485212512</v>
      </c>
      <c r="O9" s="931">
        <f>K9*Assumptions!$C$8/1000000</f>
        <v>3.2774157552885552</v>
      </c>
      <c r="P9" s="932">
        <f>L9*Assumptions!$C$8/1000000</f>
        <v>3.5212554874820241</v>
      </c>
      <c r="Q9" s="1539">
        <f t="shared" si="5"/>
        <v>0.34216220485212512</v>
      </c>
      <c r="R9" s="70">
        <f t="shared" si="6"/>
        <v>2016318798</v>
      </c>
      <c r="S9" s="70">
        <f t="shared" si="7"/>
        <v>1825714232.1622601</v>
      </c>
      <c r="T9" s="70">
        <f t="shared" si="8"/>
        <v>1961547371.0351324</v>
      </c>
      <c r="U9" s="70">
        <f t="shared" si="2"/>
        <v>54771426.964867592</v>
      </c>
      <c r="V9" s="17">
        <f t="shared" si="9"/>
        <v>54771426.964867592</v>
      </c>
      <c r="W9" s="17">
        <f t="shared" si="10"/>
        <v>0</v>
      </c>
    </row>
    <row r="10" spans="1:23" s="1" customFormat="1" x14ac:dyDescent="0.6">
      <c r="A10" s="60">
        <f t="shared" si="3"/>
        <v>7</v>
      </c>
      <c r="B10" s="85" t="s">
        <v>143</v>
      </c>
      <c r="C10" s="85" t="s">
        <v>1653</v>
      </c>
      <c r="D10" s="1529">
        <v>6.8000000000000005E-2</v>
      </c>
      <c r="E10" s="1529"/>
      <c r="F10" s="1529">
        <v>6.3500000000000001E-2</v>
      </c>
      <c r="G10" s="956">
        <v>12958570</v>
      </c>
      <c r="H10" s="897">
        <f>G10*Assumptions!$C$59/Assumptions!$C$8</f>
        <v>353717126.72000003</v>
      </c>
      <c r="I10" s="920">
        <v>15.97</v>
      </c>
      <c r="J10" s="506">
        <f>I10/100*1000000/Assumptions!$C$58</f>
        <v>46.805392731535754</v>
      </c>
      <c r="K10" s="506">
        <f t="shared" si="0"/>
        <v>43.825274093198267</v>
      </c>
      <c r="L10" s="1422">
        <f t="shared" si="1"/>
        <v>46.608178998116351</v>
      </c>
      <c r="M10" s="931">
        <f>J10*Assumptions!$C$8/1000000</f>
        <v>5.8506740914419693</v>
      </c>
      <c r="N10" s="1664">
        <f t="shared" si="4"/>
        <v>0.37251482979218586</v>
      </c>
      <c r="O10" s="931">
        <f>K10*Assumptions!$C$8/1000000</f>
        <v>5.4781592616497834</v>
      </c>
      <c r="P10" s="932">
        <f>L10*Assumptions!$C$8/1000000</f>
        <v>5.8260223747645439</v>
      </c>
      <c r="Q10" s="1539">
        <f t="shared" si="5"/>
        <v>0.37251482979218586</v>
      </c>
      <c r="R10" s="70">
        <f t="shared" si="6"/>
        <v>2069483629</v>
      </c>
      <c r="S10" s="70">
        <f t="shared" si="7"/>
        <v>1937718753.7453182</v>
      </c>
      <c r="T10" s="70">
        <f t="shared" si="8"/>
        <v>2060763894.6081457</v>
      </c>
      <c r="U10" s="70">
        <f t="shared" si="2"/>
        <v>8719734.3918542862</v>
      </c>
      <c r="V10" s="17">
        <f t="shared" si="9"/>
        <v>8719734.3918542862</v>
      </c>
      <c r="W10" s="17">
        <f t="shared" si="10"/>
        <v>0</v>
      </c>
    </row>
    <row r="11" spans="1:23" s="1" customFormat="1" x14ac:dyDescent="0.6">
      <c r="A11" s="60">
        <f t="shared" si="3"/>
        <v>8</v>
      </c>
      <c r="B11" s="85" t="s">
        <v>172</v>
      </c>
      <c r="C11" s="85" t="s">
        <v>1654</v>
      </c>
      <c r="D11" s="1529"/>
      <c r="E11" s="1529"/>
      <c r="F11" s="1529">
        <v>0</v>
      </c>
      <c r="G11" s="956">
        <v>4219085</v>
      </c>
      <c r="H11" s="897">
        <f>G11*Assumptions!$C$59/Assumptions!$C$8</f>
        <v>115164144.16</v>
      </c>
      <c r="I11" s="920">
        <v>10.25</v>
      </c>
      <c r="J11" s="506">
        <f>I11/100*1000000/Assumptions!$C$58</f>
        <v>30.041031652989449</v>
      </c>
      <c r="K11" s="506">
        <f t="shared" si="0"/>
        <v>30.041031652989449</v>
      </c>
      <c r="L11" s="1422">
        <f t="shared" si="1"/>
        <v>30.041031652989449</v>
      </c>
      <c r="M11" s="931">
        <f>J11*Assumptions!$C$8/1000000</f>
        <v>3.7551289566236812</v>
      </c>
      <c r="N11" s="1664">
        <f t="shared" si="4"/>
        <v>0</v>
      </c>
      <c r="O11" s="931">
        <f>K11*Assumptions!$C$8/1000000</f>
        <v>3.7551289566236812</v>
      </c>
      <c r="P11" s="932">
        <f>L11*Assumptions!$C$8/1000000</f>
        <v>3.7551289566236812</v>
      </c>
      <c r="Q11" s="1539">
        <f t="shared" si="5"/>
        <v>0</v>
      </c>
      <c r="R11" s="70">
        <f t="shared" si="6"/>
        <v>432456212.5</v>
      </c>
      <c r="S11" s="70">
        <f t="shared" si="7"/>
        <v>432456212.5</v>
      </c>
      <c r="T11" s="70">
        <f t="shared" si="8"/>
        <v>432456212.5</v>
      </c>
      <c r="U11" s="70">
        <f t="shared" si="2"/>
        <v>0</v>
      </c>
      <c r="V11" s="17">
        <f t="shared" si="9"/>
        <v>0</v>
      </c>
      <c r="W11" s="17">
        <f t="shared" si="10"/>
        <v>0</v>
      </c>
    </row>
    <row r="12" spans="1:23" s="1" customFormat="1" x14ac:dyDescent="0.6">
      <c r="A12" s="60">
        <f t="shared" si="3"/>
        <v>9</v>
      </c>
      <c r="B12" s="85" t="s">
        <v>171</v>
      </c>
      <c r="C12" s="85" t="s">
        <v>1655</v>
      </c>
      <c r="D12" s="1529">
        <v>0.05</v>
      </c>
      <c r="E12" s="1529"/>
      <c r="F12" s="1529">
        <v>5.7500000000000002E-2</v>
      </c>
      <c r="G12" s="956">
        <v>8221610</v>
      </c>
      <c r="H12" s="897">
        <f>G12*Assumptions!$C$59/Assumptions!$C$8</f>
        <v>224417066.56</v>
      </c>
      <c r="I12" s="920">
        <v>12.01</v>
      </c>
      <c r="J12" s="506">
        <f>I12/100*1000000/Assumptions!$C$58</f>
        <v>35.199296600234469</v>
      </c>
      <c r="K12" s="506">
        <f t="shared" si="0"/>
        <v>33.523139619270921</v>
      </c>
      <c r="L12" s="1422">
        <f t="shared" si="1"/>
        <v>35.450720147379002</v>
      </c>
      <c r="M12" s="931">
        <f>J12*Assumptions!$C$8/1000000</f>
        <v>4.3999120750293086</v>
      </c>
      <c r="N12" s="1664">
        <f t="shared" si="4"/>
        <v>0.20951962262044344</v>
      </c>
      <c r="O12" s="931">
        <f>K12*Assumptions!$C$8/1000000</f>
        <v>4.1903924524088652</v>
      </c>
      <c r="P12" s="932">
        <f>L12*Assumptions!$C$8/1000000</f>
        <v>4.4313400184223752</v>
      </c>
      <c r="Q12" s="1539">
        <f t="shared" si="5"/>
        <v>0.20951962262044344</v>
      </c>
      <c r="R12" s="70">
        <f t="shared" si="6"/>
        <v>987415361.00000012</v>
      </c>
      <c r="S12" s="70">
        <f t="shared" si="7"/>
        <v>940395581.90476191</v>
      </c>
      <c r="T12" s="70">
        <f t="shared" si="8"/>
        <v>994468327.86428583</v>
      </c>
      <c r="U12" s="70">
        <f t="shared" si="2"/>
        <v>-7052966.8642857075</v>
      </c>
      <c r="V12" s="17">
        <f t="shared" si="9"/>
        <v>0</v>
      </c>
      <c r="W12" s="17">
        <f t="shared" si="10"/>
        <v>-7052966.8642857075</v>
      </c>
    </row>
    <row r="13" spans="1:23" s="1" customFormat="1" x14ac:dyDescent="0.6">
      <c r="A13" s="60">
        <f t="shared" si="3"/>
        <v>10</v>
      </c>
      <c r="B13" s="85" t="s">
        <v>144</v>
      </c>
      <c r="C13" s="85" t="s">
        <v>1656</v>
      </c>
      <c r="D13" s="1529">
        <v>0.18</v>
      </c>
      <c r="E13" s="1530"/>
      <c r="F13" s="1529">
        <v>6.6500000000000004E-2</v>
      </c>
      <c r="G13" s="956">
        <v>95847051</v>
      </c>
      <c r="H13" s="897">
        <f>G13*Assumptions!$C$59/Assumptions!$C$8</f>
        <v>2616241104.0960002</v>
      </c>
      <c r="I13" s="920">
        <v>9.5</v>
      </c>
      <c r="J13" s="506">
        <f>I13/100*1000000/Assumptions!$C$58</f>
        <v>27.842907385697536</v>
      </c>
      <c r="K13" s="506">
        <f t="shared" si="0"/>
        <v>23.595684225167403</v>
      </c>
      <c r="L13" s="1422">
        <f t="shared" si="1"/>
        <v>25.164797226141037</v>
      </c>
      <c r="M13" s="931">
        <f>J13*Assumptions!$C$8/1000000</f>
        <v>3.4803634232121921</v>
      </c>
      <c r="N13" s="1664">
        <f t="shared" si="4"/>
        <v>0.53090289506626664</v>
      </c>
      <c r="O13" s="931">
        <f>K13*Assumptions!$C$8/1000000</f>
        <v>2.9494605281459254</v>
      </c>
      <c r="P13" s="932">
        <f>L13*Assumptions!$C$8/1000000</f>
        <v>3.1455996532676296</v>
      </c>
      <c r="Q13" s="1540">
        <f t="shared" si="5"/>
        <v>0.53090289506626664</v>
      </c>
      <c r="R13" s="70">
        <f t="shared" si="6"/>
        <v>9105469845</v>
      </c>
      <c r="S13" s="70">
        <f t="shared" si="7"/>
        <v>7716499868.6440678</v>
      </c>
      <c r="T13" s="70">
        <f t="shared" si="8"/>
        <v>8229647109.9088984</v>
      </c>
      <c r="U13" s="70">
        <f t="shared" si="2"/>
        <v>875822735.09110165</v>
      </c>
      <c r="V13" s="17">
        <f t="shared" si="9"/>
        <v>875822735.09110165</v>
      </c>
      <c r="W13" s="17">
        <f t="shared" si="10"/>
        <v>0</v>
      </c>
    </row>
    <row r="14" spans="1:23" s="1" customFormat="1" x14ac:dyDescent="0.6">
      <c r="A14" s="60">
        <f t="shared" si="3"/>
        <v>11</v>
      </c>
      <c r="B14" s="85" t="s">
        <v>154</v>
      </c>
      <c r="C14" s="85" t="s">
        <v>1657</v>
      </c>
      <c r="D14" s="1529">
        <f>0.035+F14</f>
        <v>0.1046</v>
      </c>
      <c r="E14" s="1530"/>
      <c r="F14" s="1529">
        <v>6.9599999999999995E-2</v>
      </c>
      <c r="G14" s="956">
        <v>47151316</v>
      </c>
      <c r="H14" s="897">
        <f>G14*Assumptions!$C$59/Assumptions!$C$8</f>
        <v>1287042321.536</v>
      </c>
      <c r="I14" s="920">
        <v>9.89</v>
      </c>
      <c r="J14" s="506">
        <f>I14/100*1000000/Assumptions!$C$58</f>
        <v>28.985932004689332</v>
      </c>
      <c r="K14" s="506">
        <f t="shared" si="0"/>
        <v>26.241111718893112</v>
      </c>
      <c r="L14" s="1422">
        <f t="shared" si="1"/>
        <v>28.067493094528071</v>
      </c>
      <c r="M14" s="931">
        <f>J14*Assumptions!$C$8/1000000</f>
        <v>3.6232415005861665</v>
      </c>
      <c r="N14" s="1664">
        <f t="shared" si="4"/>
        <v>0.34310253572452742</v>
      </c>
      <c r="O14" s="931">
        <f>K14*Assumptions!$C$8/1000000</f>
        <v>3.280138964861639</v>
      </c>
      <c r="P14" s="932">
        <f>L14*Assumptions!$C$8/1000000</f>
        <v>3.5084366368160089</v>
      </c>
      <c r="Q14" s="1540">
        <f t="shared" si="5"/>
        <v>0.34310253572452742</v>
      </c>
      <c r="R14" s="70">
        <f t="shared" si="6"/>
        <v>4663265152.3999996</v>
      </c>
      <c r="S14" s="70">
        <f t="shared" si="7"/>
        <v>4221677668.296216</v>
      </c>
      <c r="T14" s="70">
        <f t="shared" si="8"/>
        <v>4515506434.0096321</v>
      </c>
      <c r="U14" s="70">
        <f t="shared" si="2"/>
        <v>147758718.39036751</v>
      </c>
      <c r="V14" s="17">
        <f t="shared" si="9"/>
        <v>147758718.39036751</v>
      </c>
      <c r="W14" s="17">
        <f t="shared" si="10"/>
        <v>0</v>
      </c>
    </row>
    <row r="15" spans="1:23" s="1" customFormat="1" x14ac:dyDescent="0.6">
      <c r="A15" s="60">
        <f t="shared" si="3"/>
        <v>12</v>
      </c>
      <c r="B15" s="85" t="s">
        <v>141</v>
      </c>
      <c r="C15" s="85" t="s">
        <v>1658</v>
      </c>
      <c r="D15" s="1529">
        <f>F15</f>
        <v>4.3499999999999997E-2</v>
      </c>
      <c r="E15" s="1529"/>
      <c r="F15" s="1529">
        <v>4.3499999999999997E-2</v>
      </c>
      <c r="G15" s="956">
        <v>3174462</v>
      </c>
      <c r="H15" s="897">
        <f>G15*Assumptions!$C$59/Assumptions!$C$8</f>
        <v>86650114.752000004</v>
      </c>
      <c r="I15" s="920">
        <v>26.93</v>
      </c>
      <c r="J15" s="506">
        <f>I15/100*1000000/Assumptions!$C$58</f>
        <v>78.927315357561554</v>
      </c>
      <c r="K15" s="506">
        <f t="shared" si="0"/>
        <v>75.637101444716379</v>
      </c>
      <c r="L15" s="1422">
        <f t="shared" si="1"/>
        <v>78.927315357561554</v>
      </c>
      <c r="M15" s="931">
        <f>J15*Assumptions!$C$8/1000000</f>
        <v>9.8659144196951942</v>
      </c>
      <c r="N15" s="1664">
        <f t="shared" si="4"/>
        <v>0.41127673910564688</v>
      </c>
      <c r="O15" s="931">
        <f>K15*Assumptions!$C$8/1000000</f>
        <v>9.4546376805895473</v>
      </c>
      <c r="P15" s="932">
        <f>L15*Assumptions!$C$8/1000000</f>
        <v>9.8659144196951942</v>
      </c>
      <c r="Q15" s="1539">
        <f t="shared" si="5"/>
        <v>0.41127673910564688</v>
      </c>
      <c r="R15" s="70">
        <f t="shared" si="6"/>
        <v>854882616.60000014</v>
      </c>
      <c r="S15" s="70">
        <f t="shared" si="7"/>
        <v>819245439.96166742</v>
      </c>
      <c r="T15" s="70">
        <f t="shared" si="8"/>
        <v>854882616.60000014</v>
      </c>
      <c r="U15" s="70">
        <f t="shared" si="2"/>
        <v>0</v>
      </c>
      <c r="V15" s="17">
        <f t="shared" si="9"/>
        <v>0</v>
      </c>
      <c r="W15" s="17">
        <f t="shared" si="10"/>
        <v>0</v>
      </c>
    </row>
    <row r="16" spans="1:23" s="1" customFormat="1" x14ac:dyDescent="0.6">
      <c r="A16" s="60">
        <f t="shared" si="3"/>
        <v>13</v>
      </c>
      <c r="B16" s="85" t="s">
        <v>152</v>
      </c>
      <c r="C16" s="85" t="s">
        <v>1659</v>
      </c>
      <c r="D16" s="1529">
        <v>0.01</v>
      </c>
      <c r="E16" s="1529"/>
      <c r="F16" s="1529">
        <v>6.0100000000000001E-2</v>
      </c>
      <c r="G16" s="956">
        <v>6263642</v>
      </c>
      <c r="H16" s="897">
        <f>G16*Assumptions!$C$59/Assumptions!$C$8</f>
        <v>170972372.03200001</v>
      </c>
      <c r="I16" s="920">
        <v>7.8</v>
      </c>
      <c r="J16" s="506">
        <f>I16/100*1000000/Assumptions!$C$58</f>
        <v>22.860492379835872</v>
      </c>
      <c r="K16" s="506">
        <f t="shared" si="0"/>
        <v>22.634150871124625</v>
      </c>
      <c r="L16" s="1422">
        <f t="shared" si="1"/>
        <v>23.994463338479214</v>
      </c>
      <c r="M16" s="931">
        <f>J16*Assumptions!$C$8/1000000</f>
        <v>2.8575615474794835</v>
      </c>
      <c r="N16" s="1664">
        <f t="shared" si="4"/>
        <v>2.8292688588905435E-2</v>
      </c>
      <c r="O16" s="931">
        <f>K16*Assumptions!$C$8/1000000</f>
        <v>2.8292688588905781</v>
      </c>
      <c r="P16" s="932">
        <f>L16*Assumptions!$C$8/1000000</f>
        <v>2.9993079173099018</v>
      </c>
      <c r="Q16" s="1539">
        <f t="shared" si="5"/>
        <v>2.8292688588905435E-2</v>
      </c>
      <c r="R16" s="70">
        <f t="shared" si="6"/>
        <v>488564075.99999988</v>
      </c>
      <c r="S16" s="70">
        <f t="shared" si="7"/>
        <v>483726807.92079204</v>
      </c>
      <c r="T16" s="70">
        <f t="shared" si="8"/>
        <v>512798789.07683164</v>
      </c>
      <c r="U16" s="70">
        <f t="shared" si="2"/>
        <v>-24234713.076831758</v>
      </c>
      <c r="V16" s="17">
        <f t="shared" si="9"/>
        <v>0</v>
      </c>
      <c r="W16" s="17">
        <f t="shared" si="10"/>
        <v>-24234713.076831758</v>
      </c>
    </row>
    <row r="17" spans="1:23" s="192" customFormat="1" x14ac:dyDescent="0.6">
      <c r="A17" s="60">
        <f t="shared" si="3"/>
        <v>14</v>
      </c>
      <c r="B17" s="85" t="s">
        <v>157</v>
      </c>
      <c r="C17" s="85" t="s">
        <v>1661</v>
      </c>
      <c r="D17" s="1529">
        <v>0.06</v>
      </c>
      <c r="E17" s="1442"/>
      <c r="F17" s="1529">
        <v>8.1900000000000001E-2</v>
      </c>
      <c r="G17" s="956">
        <v>50319815</v>
      </c>
      <c r="H17" s="897">
        <f>G17*Assumptions!$C$59/Assumptions!$C$8</f>
        <v>1373529670.24</v>
      </c>
      <c r="I17" s="920">
        <v>9.02</v>
      </c>
      <c r="J17" s="506">
        <f>I17/100*1000000/Assumptions!$C$58</f>
        <v>26.436107854630716</v>
      </c>
      <c r="K17" s="506">
        <f t="shared" si="0"/>
        <v>24.93972439116105</v>
      </c>
      <c r="L17" s="1422">
        <f t="shared" si="1"/>
        <v>26.982287818797143</v>
      </c>
      <c r="M17" s="931">
        <f>J17*Assumptions!$C$8/1000000</f>
        <v>3.3045134818288395</v>
      </c>
      <c r="N17" s="1664">
        <f t="shared" si="4"/>
        <v>0.18704793293370825</v>
      </c>
      <c r="O17" s="931">
        <f>K17*Assumptions!$C$8/1000000</f>
        <v>3.1174655488951313</v>
      </c>
      <c r="P17" s="932">
        <f>L17*Assumptions!$C$8/1000000</f>
        <v>3.3727859773496429</v>
      </c>
      <c r="Q17" s="1540">
        <f t="shared" si="5"/>
        <v>0.18704793293370825</v>
      </c>
      <c r="R17" s="70">
        <f t="shared" si="6"/>
        <v>4538847313</v>
      </c>
      <c r="S17" s="70">
        <f t="shared" si="7"/>
        <v>4281931427.3584905</v>
      </c>
      <c r="T17" s="70">
        <f t="shared" si="8"/>
        <v>4632621611.2591515</v>
      </c>
      <c r="U17" s="70">
        <f t="shared" si="2"/>
        <v>-93774298.259151459</v>
      </c>
      <c r="V17" s="17">
        <f t="shared" si="9"/>
        <v>0</v>
      </c>
      <c r="W17" s="17">
        <f t="shared" si="10"/>
        <v>-93774298.259151459</v>
      </c>
    </row>
    <row r="18" spans="1:23" s="1" customFormat="1" x14ac:dyDescent="0.6">
      <c r="A18" s="60">
        <f t="shared" si="3"/>
        <v>15</v>
      </c>
      <c r="B18" s="85" t="s">
        <v>160</v>
      </c>
      <c r="C18" s="85" t="s">
        <v>1660</v>
      </c>
      <c r="D18" s="1529">
        <f>F18</f>
        <v>7.0000000000000007E-2</v>
      </c>
      <c r="E18" s="1529"/>
      <c r="F18" s="1529">
        <v>7.0000000000000007E-2</v>
      </c>
      <c r="G18" s="956">
        <v>24021689</v>
      </c>
      <c r="H18" s="897">
        <f>G18*Assumptions!$C$59/Assumptions!$C$8</f>
        <v>655696022.94400001</v>
      </c>
      <c r="I18" s="920">
        <v>9.7799999999999994</v>
      </c>
      <c r="J18" s="506">
        <f>I18/100*1000000/Assumptions!$C$58</f>
        <v>28.663540445486518</v>
      </c>
      <c r="K18" s="506">
        <f t="shared" si="0"/>
        <v>26.788355556529453</v>
      </c>
      <c r="L18" s="1422">
        <f t="shared" si="1"/>
        <v>28.663540445486515</v>
      </c>
      <c r="M18" s="931">
        <f>J18*Assumptions!$C$8/1000000</f>
        <v>3.5829425556858148</v>
      </c>
      <c r="N18" s="1664">
        <f t="shared" si="4"/>
        <v>0.23439811111963316</v>
      </c>
      <c r="O18" s="931">
        <f>K18*Assumptions!$C$8/1000000</f>
        <v>3.3485444445661816</v>
      </c>
      <c r="P18" s="932">
        <f>L18*Assumptions!$C$8/1000000</f>
        <v>3.5829425556858143</v>
      </c>
      <c r="Q18" s="1539">
        <f t="shared" si="5"/>
        <v>0.23439811111963316</v>
      </c>
      <c r="R18" s="70">
        <f t="shared" si="6"/>
        <v>2349321184.1999998</v>
      </c>
      <c r="S18" s="70">
        <f t="shared" si="7"/>
        <v>2195627274.9532709</v>
      </c>
      <c r="T18" s="70">
        <f t="shared" si="8"/>
        <v>2349321184.1999998</v>
      </c>
      <c r="U18" s="70">
        <f t="shared" si="2"/>
        <v>0</v>
      </c>
      <c r="V18" s="17">
        <f t="shared" si="9"/>
        <v>0</v>
      </c>
      <c r="W18" s="17">
        <f t="shared" si="10"/>
        <v>0</v>
      </c>
    </row>
    <row r="19" spans="1:23" s="1" customFormat="1" x14ac:dyDescent="0.6">
      <c r="A19" s="60">
        <f t="shared" si="3"/>
        <v>16</v>
      </c>
      <c r="B19" s="85" t="s">
        <v>151</v>
      </c>
      <c r="C19" s="85" t="s">
        <v>1549</v>
      </c>
      <c r="D19" s="1529">
        <f>F19</f>
        <v>6.7799999999999999E-2</v>
      </c>
      <c r="E19" s="1529"/>
      <c r="F19" s="1529">
        <v>6.7799999999999999E-2</v>
      </c>
      <c r="G19" s="956">
        <v>12071781</v>
      </c>
      <c r="H19" s="897">
        <f>G19*Assumptions!$C$59/Assumptions!$C$8</f>
        <v>329511334.176</v>
      </c>
      <c r="I19" s="920">
        <v>8.92</v>
      </c>
      <c r="J19" s="506">
        <f>I19/100*1000000/Assumptions!$C$58</f>
        <v>26.143024618991795</v>
      </c>
      <c r="K19" s="506">
        <f t="shared" si="0"/>
        <v>24.483072315969089</v>
      </c>
      <c r="L19" s="1422">
        <f t="shared" si="1"/>
        <v>26.143024618991795</v>
      </c>
      <c r="M19" s="931">
        <f>J19*Assumptions!$C$8/1000000</f>
        <v>3.2678780773739744</v>
      </c>
      <c r="N19" s="1664">
        <f t="shared" si="4"/>
        <v>0.20749403787783782</v>
      </c>
      <c r="O19" s="931">
        <f>K19*Assumptions!$C$8/1000000</f>
        <v>3.0603840394961366</v>
      </c>
      <c r="P19" s="932">
        <f>L19*Assumptions!$C$8/1000000</f>
        <v>3.2678780773739744</v>
      </c>
      <c r="Q19" s="1539">
        <f t="shared" si="5"/>
        <v>0.20749403787783782</v>
      </c>
      <c r="R19" s="70">
        <f t="shared" si="6"/>
        <v>1076802865.2</v>
      </c>
      <c r="S19" s="70">
        <f t="shared" si="7"/>
        <v>1008431227.9453082</v>
      </c>
      <c r="T19" s="70">
        <f t="shared" si="8"/>
        <v>1076802865.2</v>
      </c>
      <c r="U19" s="70">
        <f t="shared" si="2"/>
        <v>0</v>
      </c>
      <c r="V19" s="17">
        <f t="shared" si="9"/>
        <v>0</v>
      </c>
      <c r="W19" s="17">
        <f t="shared" si="10"/>
        <v>0</v>
      </c>
    </row>
    <row r="20" spans="1:23" s="1" customFormat="1" x14ac:dyDescent="0.6">
      <c r="A20" s="60">
        <f t="shared" si="3"/>
        <v>17</v>
      </c>
      <c r="B20" s="85" t="s">
        <v>168</v>
      </c>
      <c r="C20" s="85" t="s">
        <v>1662</v>
      </c>
      <c r="D20" s="1529">
        <v>0.06</v>
      </c>
      <c r="E20" s="1529"/>
      <c r="F20" s="1529">
        <v>8.2000000000000003E-2</v>
      </c>
      <c r="G20" s="956">
        <v>15380339</v>
      </c>
      <c r="H20" s="897">
        <f>G20*Assumptions!$C$59/Assumptions!$C$8</f>
        <v>419821733.34399998</v>
      </c>
      <c r="I20" s="920">
        <v>10.1</v>
      </c>
      <c r="J20" s="506">
        <f>I20/100*1000000/Assumptions!$C$58</f>
        <v>29.601406799531063</v>
      </c>
      <c r="K20" s="506">
        <f t="shared" si="0"/>
        <v>27.925855471255719</v>
      </c>
      <c r="L20" s="1422">
        <f t="shared" si="1"/>
        <v>30.21577561989869</v>
      </c>
      <c r="M20" s="931">
        <f>J20*Assumptions!$C$8/1000000</f>
        <v>3.7001758499413828</v>
      </c>
      <c r="N20" s="1664">
        <f t="shared" si="4"/>
        <v>0.20944391603441792</v>
      </c>
      <c r="O20" s="931">
        <f>K20*Assumptions!$C$8/1000000</f>
        <v>3.4907319339069649</v>
      </c>
      <c r="P20" s="932">
        <f>L20*Assumptions!$C$8/1000000</f>
        <v>3.7769719524873362</v>
      </c>
      <c r="Q20" s="1539">
        <f t="shared" si="5"/>
        <v>0.20944391603441792</v>
      </c>
      <c r="R20" s="70">
        <f t="shared" si="6"/>
        <v>1553414238.9999998</v>
      </c>
      <c r="S20" s="70">
        <f t="shared" si="7"/>
        <v>1465485131.1320751</v>
      </c>
      <c r="T20" s="70">
        <f t="shared" si="8"/>
        <v>1585654911.8849053</v>
      </c>
      <c r="U20" s="70">
        <f t="shared" si="2"/>
        <v>-32240672.884905577</v>
      </c>
      <c r="V20" s="17">
        <f t="shared" si="9"/>
        <v>0</v>
      </c>
      <c r="W20" s="17">
        <f t="shared" si="10"/>
        <v>-32240672.884905577</v>
      </c>
    </row>
    <row r="21" spans="1:23" s="1" customFormat="1" x14ac:dyDescent="0.6">
      <c r="A21" s="60">
        <f t="shared" si="3"/>
        <v>18</v>
      </c>
      <c r="B21" s="85" t="s">
        <v>167</v>
      </c>
      <c r="C21" s="85" t="s">
        <v>1525</v>
      </c>
      <c r="D21" s="1529">
        <f>F21</f>
        <v>0.06</v>
      </c>
      <c r="E21" s="1529"/>
      <c r="F21" s="1529">
        <v>0.06</v>
      </c>
      <c r="G21" s="956">
        <v>19589209</v>
      </c>
      <c r="H21" s="897">
        <f>G21*Assumptions!$C$59/Assumptions!$C$8</f>
        <v>534707048.86400002</v>
      </c>
      <c r="I21" s="920">
        <v>9.44</v>
      </c>
      <c r="J21" s="506">
        <f>I21/100*1000000/Assumptions!$C$58</f>
        <v>27.667057444314185</v>
      </c>
      <c r="K21" s="506">
        <f t="shared" si="0"/>
        <v>26.100997588975645</v>
      </c>
      <c r="L21" s="1422">
        <f t="shared" si="1"/>
        <v>27.667057444314185</v>
      </c>
      <c r="M21" s="931">
        <f>J21*Assumptions!$C$8/1000000</f>
        <v>3.4583821805392732</v>
      </c>
      <c r="N21" s="1664">
        <f t="shared" si="4"/>
        <v>0.19575748191731757</v>
      </c>
      <c r="O21" s="931">
        <f>K21*Assumptions!$C$8/1000000</f>
        <v>3.2626246986219556</v>
      </c>
      <c r="P21" s="932">
        <f>L21*Assumptions!$C$8/1000000</f>
        <v>3.4583821805392732</v>
      </c>
      <c r="Q21" s="1539">
        <f t="shared" si="5"/>
        <v>0.19575748191731757</v>
      </c>
      <c r="R21" s="70">
        <f t="shared" si="6"/>
        <v>1849221329.6000001</v>
      </c>
      <c r="S21" s="70">
        <f t="shared" si="7"/>
        <v>1744548424.1509433</v>
      </c>
      <c r="T21" s="70">
        <f t="shared" si="8"/>
        <v>1849221329.6000001</v>
      </c>
      <c r="U21" s="70">
        <f t="shared" si="2"/>
        <v>0</v>
      </c>
      <c r="V21" s="17">
        <f t="shared" si="9"/>
        <v>0</v>
      </c>
      <c r="W21" s="17">
        <f t="shared" si="10"/>
        <v>0</v>
      </c>
    </row>
    <row r="22" spans="1:23" s="1" customFormat="1" x14ac:dyDescent="0.6">
      <c r="A22" s="60">
        <f t="shared" si="3"/>
        <v>19</v>
      </c>
      <c r="B22" s="85" t="s">
        <v>179</v>
      </c>
      <c r="C22" s="85" t="s">
        <v>1526</v>
      </c>
      <c r="D22" s="1529">
        <f>2%+F22</f>
        <v>0.1091</v>
      </c>
      <c r="E22" s="1529"/>
      <c r="F22" s="1529">
        <v>8.9099999999999999E-2</v>
      </c>
      <c r="G22" s="956">
        <v>24996178</v>
      </c>
      <c r="H22" s="897">
        <f>G22*Assumptions!$C$59/Assumptions!$C$8</f>
        <v>682295674.68799996</v>
      </c>
      <c r="I22" s="920">
        <v>8.66</v>
      </c>
      <c r="J22" s="506">
        <f>I22/100*1000000/Assumptions!$C$58</f>
        <v>25.381008206330598</v>
      </c>
      <c r="K22" s="506">
        <f t="shared" si="0"/>
        <v>22.884328019412678</v>
      </c>
      <c r="L22" s="1422">
        <f t="shared" si="1"/>
        <v>24.923321645942345</v>
      </c>
      <c r="M22" s="931">
        <f>J22*Assumptions!$C$8/1000000</f>
        <v>3.1726260257913248</v>
      </c>
      <c r="N22" s="1664">
        <f t="shared" si="4"/>
        <v>0.31208502336474009</v>
      </c>
      <c r="O22" s="931">
        <f>K22*Assumptions!$C$8/1000000</f>
        <v>2.8605410024265847</v>
      </c>
      <c r="P22" s="932">
        <f>L22*Assumptions!$C$8/1000000</f>
        <v>3.1154152057427931</v>
      </c>
      <c r="Q22" s="1539">
        <f t="shared" si="5"/>
        <v>0.31208502336474009</v>
      </c>
      <c r="R22" s="70">
        <f t="shared" si="6"/>
        <v>2164669014.7999997</v>
      </c>
      <c r="S22" s="70">
        <f t="shared" si="7"/>
        <v>1951734753.2233343</v>
      </c>
      <c r="T22" s="70">
        <f t="shared" si="8"/>
        <v>2125634319.7355332</v>
      </c>
      <c r="U22" s="70">
        <f t="shared" si="2"/>
        <v>39034695.064466476</v>
      </c>
      <c r="V22" s="17">
        <f t="shared" si="9"/>
        <v>39034695.064466476</v>
      </c>
      <c r="W22" s="17">
        <f t="shared" si="10"/>
        <v>0</v>
      </c>
    </row>
    <row r="23" spans="1:23" s="1" customFormat="1" x14ac:dyDescent="0.6">
      <c r="A23" s="60">
        <f t="shared" si="3"/>
        <v>20</v>
      </c>
      <c r="B23" s="85" t="s">
        <v>158</v>
      </c>
      <c r="C23" s="85" t="s">
        <v>1663</v>
      </c>
      <c r="D23" s="1529">
        <f t="shared" ref="D23:D29" si="11">F23</f>
        <v>5.5E-2</v>
      </c>
      <c r="E23" s="1529"/>
      <c r="F23" s="1529">
        <v>5.5E-2</v>
      </c>
      <c r="G23" s="956">
        <v>4017822</v>
      </c>
      <c r="H23" s="897">
        <f>G23*Assumptions!$C$59/Assumptions!$C$8</f>
        <v>109670469.31200001</v>
      </c>
      <c r="I23" s="920">
        <v>12.47</v>
      </c>
      <c r="J23" s="506">
        <f>I23/100*1000000/Assumptions!$C$58</f>
        <v>36.547479484173508</v>
      </c>
      <c r="K23" s="506">
        <f t="shared" si="0"/>
        <v>34.642160648505694</v>
      </c>
      <c r="L23" s="1422">
        <f t="shared" si="1"/>
        <v>36.547479484173508</v>
      </c>
      <c r="M23" s="931">
        <f>J23*Assumptions!$C$8/1000000</f>
        <v>4.5684349355216884</v>
      </c>
      <c r="N23" s="1664">
        <f t="shared" si="4"/>
        <v>0.23816485445847668</v>
      </c>
      <c r="O23" s="931">
        <f>K23*Assumptions!$C$8/1000000</f>
        <v>4.3302700810632118</v>
      </c>
      <c r="P23" s="932">
        <f>L23*Assumptions!$C$8/1000000</f>
        <v>4.5684349355216884</v>
      </c>
      <c r="Q23" s="1539">
        <f t="shared" si="5"/>
        <v>0.23816485445847668</v>
      </c>
      <c r="R23" s="70">
        <f t="shared" si="6"/>
        <v>501022403.40000004</v>
      </c>
      <c r="S23" s="70">
        <f t="shared" si="7"/>
        <v>474902752.03791475</v>
      </c>
      <c r="T23" s="70">
        <f t="shared" si="8"/>
        <v>501022403.40000004</v>
      </c>
      <c r="U23" s="70">
        <f t="shared" si="2"/>
        <v>0</v>
      </c>
      <c r="V23" s="17">
        <f t="shared" si="9"/>
        <v>0</v>
      </c>
      <c r="W23" s="17">
        <f t="shared" si="10"/>
        <v>0</v>
      </c>
    </row>
    <row r="24" spans="1:23" s="1" customFormat="1" x14ac:dyDescent="0.6">
      <c r="A24" s="60">
        <f t="shared" si="3"/>
        <v>21</v>
      </c>
      <c r="B24" s="85" t="s">
        <v>150</v>
      </c>
      <c r="C24" s="85" t="s">
        <v>1528</v>
      </c>
      <c r="D24" s="1533">
        <f t="shared" si="11"/>
        <v>0.06</v>
      </c>
      <c r="E24" s="1529"/>
      <c r="F24" s="1529">
        <v>0.06</v>
      </c>
      <c r="G24" s="956">
        <v>29959115</v>
      </c>
      <c r="H24" s="897">
        <f>G24*Assumptions!$C$59/Assumptions!$C$8</f>
        <v>817764003.03999996</v>
      </c>
      <c r="I24" s="920">
        <v>11</v>
      </c>
      <c r="J24" s="506">
        <f>I24/100*1000000/Assumptions!$C$58</f>
        <v>32.239155920281362</v>
      </c>
      <c r="K24" s="506">
        <f t="shared" si="0"/>
        <v>30.414298038001284</v>
      </c>
      <c r="L24" s="1422">
        <f t="shared" si="1"/>
        <v>32.239155920281362</v>
      </c>
      <c r="M24" s="931">
        <f>J24*Assumptions!$C$8/1000000</f>
        <v>4.0298944900351703</v>
      </c>
      <c r="N24" s="1664">
        <f t="shared" si="4"/>
        <v>0.22810723528500976</v>
      </c>
      <c r="O24" s="931">
        <f>K24*Assumptions!$C$8/1000000</f>
        <v>3.8017872547501605</v>
      </c>
      <c r="P24" s="932">
        <f>L24*Assumptions!$C$8/1000000</f>
        <v>4.0298944900351703</v>
      </c>
      <c r="Q24" s="1539">
        <f t="shared" si="5"/>
        <v>0.22810723528500976</v>
      </c>
      <c r="R24" s="70">
        <f t="shared" si="6"/>
        <v>3295502650</v>
      </c>
      <c r="S24" s="70">
        <f t="shared" si="7"/>
        <v>3108964764.1509433</v>
      </c>
      <c r="T24" s="70">
        <f t="shared" si="8"/>
        <v>3295502650</v>
      </c>
      <c r="U24" s="70">
        <f t="shared" si="2"/>
        <v>0</v>
      </c>
      <c r="V24" s="17">
        <f t="shared" si="9"/>
        <v>0</v>
      </c>
      <c r="W24" s="17">
        <f t="shared" si="10"/>
        <v>0</v>
      </c>
    </row>
    <row r="25" spans="1:23" s="1" customFormat="1" x14ac:dyDescent="0.6">
      <c r="A25" s="60">
        <f t="shared" si="3"/>
        <v>22</v>
      </c>
      <c r="B25" s="85" t="s">
        <v>166</v>
      </c>
      <c r="C25" s="85" t="s">
        <v>1664</v>
      </c>
      <c r="D25" s="1529">
        <f t="shared" si="11"/>
        <v>6.25E-2</v>
      </c>
      <c r="E25" s="1529"/>
      <c r="F25" s="1529">
        <v>6.25E-2</v>
      </c>
      <c r="G25" s="956">
        <v>26200307</v>
      </c>
      <c r="H25" s="897">
        <f>G25*Assumptions!$C$59/Assumptions!$C$8</f>
        <v>715163579.87199998</v>
      </c>
      <c r="I25" s="920">
        <v>15.79</v>
      </c>
      <c r="J25" s="506">
        <f>I25/100*1000000/Assumptions!$C$58</f>
        <v>46.27784290738569</v>
      </c>
      <c r="K25" s="506">
        <f t="shared" si="0"/>
        <v>43.555616854010061</v>
      </c>
      <c r="L25" s="1422">
        <f t="shared" si="1"/>
        <v>46.27784290738569</v>
      </c>
      <c r="M25" s="931">
        <f>J25*Assumptions!$C$8/1000000</f>
        <v>5.7847303634232112</v>
      </c>
      <c r="N25" s="1664">
        <f t="shared" si="4"/>
        <v>0.34027825667195355</v>
      </c>
      <c r="O25" s="931">
        <f>K25*Assumptions!$C$8/1000000</f>
        <v>5.4444521067512577</v>
      </c>
      <c r="P25" s="932">
        <f>L25*Assumptions!$C$8/1000000</f>
        <v>5.7847303634232112</v>
      </c>
      <c r="Q25" s="1539">
        <f t="shared" si="5"/>
        <v>0.34027825667195355</v>
      </c>
      <c r="R25" s="70">
        <f t="shared" si="6"/>
        <v>4137028475.2999992</v>
      </c>
      <c r="S25" s="70">
        <f t="shared" si="7"/>
        <v>3893673859.1058817</v>
      </c>
      <c r="T25" s="70">
        <f t="shared" si="8"/>
        <v>4137028475.2999992</v>
      </c>
      <c r="U25" s="70">
        <f t="shared" si="2"/>
        <v>0</v>
      </c>
      <c r="V25" s="17">
        <f t="shared" si="9"/>
        <v>0</v>
      </c>
      <c r="W25" s="17">
        <f t="shared" si="10"/>
        <v>0</v>
      </c>
    </row>
    <row r="26" spans="1:23" s="1" customFormat="1" x14ac:dyDescent="0.6">
      <c r="A26" s="60">
        <f t="shared" si="3"/>
        <v>23</v>
      </c>
      <c r="B26" s="85" t="s">
        <v>155</v>
      </c>
      <c r="C26" s="85" t="s">
        <v>1532</v>
      </c>
      <c r="D26" s="1529">
        <f t="shared" si="11"/>
        <v>0.06</v>
      </c>
      <c r="E26" s="1529"/>
      <c r="F26" s="1529">
        <v>0.06</v>
      </c>
      <c r="G26" s="956">
        <v>38440734</v>
      </c>
      <c r="H26" s="897">
        <f>G26*Assumptions!$C$59/Assumptions!$C$8</f>
        <v>1049278275.2640001</v>
      </c>
      <c r="I26" s="920">
        <v>10.55</v>
      </c>
      <c r="J26" s="506">
        <f>I26/100*1000000/Assumptions!$C$58</f>
        <v>30.920281359906216</v>
      </c>
      <c r="K26" s="506">
        <f t="shared" si="0"/>
        <v>29.170076754628504</v>
      </c>
      <c r="L26" s="1422">
        <f t="shared" si="1"/>
        <v>30.920281359906216</v>
      </c>
      <c r="M26" s="931">
        <f>J26*Assumptions!$C$8/1000000</f>
        <v>3.865035169988277</v>
      </c>
      <c r="N26" s="1664">
        <f t="shared" si="4"/>
        <v>0.21877557565971406</v>
      </c>
      <c r="O26" s="931">
        <f>K26*Assumptions!$C$8/1000000</f>
        <v>3.6462595943285629</v>
      </c>
      <c r="P26" s="932">
        <f>L26*Assumptions!$C$8/1000000</f>
        <v>3.865035169988277</v>
      </c>
      <c r="Q26" s="1539">
        <f t="shared" si="5"/>
        <v>0.21877557565971406</v>
      </c>
      <c r="R26" s="70">
        <f t="shared" si="6"/>
        <v>4055497437.0000005</v>
      </c>
      <c r="S26" s="70">
        <f t="shared" si="7"/>
        <v>3825940978.301887</v>
      </c>
      <c r="T26" s="70">
        <f t="shared" si="8"/>
        <v>4055497437.0000005</v>
      </c>
      <c r="U26" s="70">
        <f t="shared" si="2"/>
        <v>0</v>
      </c>
      <c r="V26" s="17">
        <f t="shared" si="9"/>
        <v>0</v>
      </c>
      <c r="W26" s="17">
        <f t="shared" si="10"/>
        <v>0</v>
      </c>
    </row>
    <row r="27" spans="1:23" s="1" customFormat="1" x14ac:dyDescent="0.6">
      <c r="A27" s="60">
        <f t="shared" si="3"/>
        <v>24</v>
      </c>
      <c r="B27" s="85" t="s">
        <v>162</v>
      </c>
      <c r="C27" s="85" t="s">
        <v>1652</v>
      </c>
      <c r="D27" s="1529">
        <f t="shared" si="11"/>
        <v>7.1999999999999995E-2</v>
      </c>
      <c r="E27" s="1529"/>
      <c r="F27" s="1529">
        <v>7.1999999999999995E-2</v>
      </c>
      <c r="G27" s="956">
        <v>23388015</v>
      </c>
      <c r="H27" s="897">
        <f>G27*Assumptions!$C$59/Assumptions!$C$8</f>
        <v>638399257.44000006</v>
      </c>
      <c r="I27" s="920">
        <v>9.44</v>
      </c>
      <c r="J27" s="506">
        <f>I27/100*1000000/Assumptions!$C$58</f>
        <v>27.667057444314185</v>
      </c>
      <c r="K27" s="506">
        <f t="shared" si="0"/>
        <v>25.808822242830395</v>
      </c>
      <c r="L27" s="1422">
        <f t="shared" si="1"/>
        <v>27.667057444314185</v>
      </c>
      <c r="M27" s="931">
        <f>J27*Assumptions!$C$8/1000000</f>
        <v>3.4583821805392732</v>
      </c>
      <c r="N27" s="1664">
        <f t="shared" si="4"/>
        <v>0.23227940018547377</v>
      </c>
      <c r="O27" s="931">
        <f>K27*Assumptions!$C$8/1000000</f>
        <v>3.2261027803537994</v>
      </c>
      <c r="P27" s="932">
        <f>L27*Assumptions!$C$8/1000000</f>
        <v>3.4583821805392732</v>
      </c>
      <c r="Q27" s="1539">
        <f t="shared" si="5"/>
        <v>0.23227940018547377</v>
      </c>
      <c r="R27" s="70">
        <f t="shared" si="6"/>
        <v>2207828616</v>
      </c>
      <c r="S27" s="70">
        <f t="shared" si="7"/>
        <v>2059541619.4029851</v>
      </c>
      <c r="T27" s="70">
        <f t="shared" si="8"/>
        <v>2207828616</v>
      </c>
      <c r="U27" s="70">
        <f t="shared" si="2"/>
        <v>0</v>
      </c>
      <c r="V27" s="17">
        <f t="shared" si="9"/>
        <v>0</v>
      </c>
      <c r="W27" s="17">
        <f t="shared" si="10"/>
        <v>0</v>
      </c>
    </row>
    <row r="28" spans="1:23" s="1" customFormat="1" x14ac:dyDescent="0.6">
      <c r="A28" s="60">
        <f t="shared" si="3"/>
        <v>25</v>
      </c>
      <c r="B28" s="85" t="s">
        <v>183</v>
      </c>
      <c r="C28" s="85" t="s">
        <v>1526</v>
      </c>
      <c r="D28" s="1529">
        <f t="shared" si="11"/>
        <v>7.0699999999999999E-2</v>
      </c>
      <c r="E28" s="1529"/>
      <c r="F28" s="1529">
        <v>7.0699999999999999E-2</v>
      </c>
      <c r="G28" s="956">
        <v>14391682</v>
      </c>
      <c r="H28" s="897">
        <f>G28*Assumptions!$C$59/Assumptions!$C$8</f>
        <v>392835351.87199998</v>
      </c>
      <c r="I28" s="920">
        <v>10.55</v>
      </c>
      <c r="J28" s="506">
        <f>I28/100*1000000/Assumptions!$C$58</f>
        <v>30.920281359906216</v>
      </c>
      <c r="K28" s="506">
        <f t="shared" si="0"/>
        <v>28.878566694598128</v>
      </c>
      <c r="L28" s="1422">
        <f t="shared" si="1"/>
        <v>30.920281359906216</v>
      </c>
      <c r="M28" s="931">
        <f>J28*Assumptions!$C$8/1000000</f>
        <v>3.865035169988277</v>
      </c>
      <c r="N28" s="1664">
        <f t="shared" si="4"/>
        <v>0.25521433316351105</v>
      </c>
      <c r="O28" s="931">
        <f>K28*Assumptions!$C$8/1000000</f>
        <v>3.609820836824766</v>
      </c>
      <c r="P28" s="932">
        <f>L28*Assumptions!$C$8/1000000</f>
        <v>3.865035169988277</v>
      </c>
      <c r="Q28" s="1539">
        <f t="shared" si="5"/>
        <v>0.25521433316351105</v>
      </c>
      <c r="R28" s="70">
        <f t="shared" si="6"/>
        <v>1518322451</v>
      </c>
      <c r="S28" s="70">
        <f t="shared" si="7"/>
        <v>1418065238.6289344</v>
      </c>
      <c r="T28" s="70">
        <f t="shared" si="8"/>
        <v>1518322451</v>
      </c>
      <c r="U28" s="70">
        <f t="shared" si="2"/>
        <v>0</v>
      </c>
      <c r="V28" s="17">
        <f t="shared" si="9"/>
        <v>0</v>
      </c>
      <c r="W28" s="17">
        <f t="shared" si="10"/>
        <v>0</v>
      </c>
    </row>
    <row r="29" spans="1:23" s="1" customFormat="1" x14ac:dyDescent="0.6">
      <c r="A29" s="60">
        <f t="shared" si="3"/>
        <v>26</v>
      </c>
      <c r="B29" s="85" t="s">
        <v>184</v>
      </c>
      <c r="C29" s="85" t="s">
        <v>1665</v>
      </c>
      <c r="D29" s="1529">
        <f t="shared" si="11"/>
        <v>7.8100000000000003E-2</v>
      </c>
      <c r="E29" s="1529"/>
      <c r="F29" s="1529">
        <v>7.8100000000000003E-2</v>
      </c>
      <c r="G29" s="956">
        <v>30535443</v>
      </c>
      <c r="H29" s="897">
        <f>G29*Assumptions!$C$59/Assumptions!$C$8</f>
        <v>833495452.12800002</v>
      </c>
      <c r="I29" s="920">
        <v>9.16</v>
      </c>
      <c r="J29" s="506">
        <f>I29/100*1000000/Assumptions!$C$58</f>
        <v>26.846424384525204</v>
      </c>
      <c r="K29" s="506">
        <f t="shared" si="0"/>
        <v>24.9016087417913</v>
      </c>
      <c r="L29" s="1422">
        <f t="shared" si="1"/>
        <v>26.846424384525204</v>
      </c>
      <c r="M29" s="931">
        <f>J29*Assumptions!$C$8/1000000</f>
        <v>3.3558030480656504</v>
      </c>
      <c r="N29" s="1664">
        <f t="shared" si="4"/>
        <v>0.24310195534173795</v>
      </c>
      <c r="O29" s="931">
        <f>K29*Assumptions!$C$8/1000000</f>
        <v>3.1127010927239125</v>
      </c>
      <c r="P29" s="932">
        <f>L29*Assumptions!$C$8/1000000</f>
        <v>3.3558030480656504</v>
      </c>
      <c r="Q29" s="1539">
        <f t="shared" si="5"/>
        <v>0.24310195534173795</v>
      </c>
      <c r="R29" s="70">
        <f t="shared" si="6"/>
        <v>2797046578.7999997</v>
      </c>
      <c r="S29" s="70">
        <f t="shared" si="7"/>
        <v>2594422204.6192369</v>
      </c>
      <c r="T29" s="70">
        <f t="shared" si="8"/>
        <v>2797046578.7999997</v>
      </c>
      <c r="U29" s="70">
        <f t="shared" si="2"/>
        <v>0</v>
      </c>
      <c r="V29" s="17">
        <f t="shared" si="9"/>
        <v>0</v>
      </c>
      <c r="W29" s="17">
        <f t="shared" si="10"/>
        <v>0</v>
      </c>
    </row>
    <row r="30" spans="1:23" s="1" customFormat="1" x14ac:dyDescent="0.6">
      <c r="A30" s="60">
        <f t="shared" si="3"/>
        <v>27</v>
      </c>
      <c r="B30" s="85" t="s">
        <v>164</v>
      </c>
      <c r="C30" s="85" t="s">
        <v>1666</v>
      </c>
      <c r="D30" s="1529">
        <v>0.18</v>
      </c>
      <c r="E30" s="1529"/>
      <c r="F30" s="1529">
        <v>0</v>
      </c>
      <c r="G30" s="956">
        <v>4894095</v>
      </c>
      <c r="H30" s="897">
        <f>G30*Assumptions!$C$59/Assumptions!$C$8</f>
        <v>133589217.12</v>
      </c>
      <c r="I30" s="920">
        <v>10.23</v>
      </c>
      <c r="J30" s="506">
        <f>I30/100*1000000/Assumptions!$C$58</f>
        <v>29.982415005861665</v>
      </c>
      <c r="K30" s="506">
        <f t="shared" si="0"/>
        <v>25.408826276153956</v>
      </c>
      <c r="L30" s="1422">
        <f t="shared" si="1"/>
        <v>25.408826276153956</v>
      </c>
      <c r="M30" s="931">
        <f>J30*Assumptions!$C$8/1000000</f>
        <v>3.7478018757327081</v>
      </c>
      <c r="N30" s="1664">
        <f t="shared" si="4"/>
        <v>0.57169859121346356</v>
      </c>
      <c r="O30" s="931">
        <f>K30*Assumptions!$C$8/1000000</f>
        <v>3.1761032845192445</v>
      </c>
      <c r="P30" s="932">
        <f>L30*Assumptions!$C$8/1000000</f>
        <v>3.1761032845192445</v>
      </c>
      <c r="Q30" s="1539">
        <f t="shared" si="5"/>
        <v>0.57169859121346356</v>
      </c>
      <c r="R30" s="70">
        <f t="shared" si="6"/>
        <v>500665918.5</v>
      </c>
      <c r="S30" s="70">
        <f t="shared" si="7"/>
        <v>424293151.27118653</v>
      </c>
      <c r="T30" s="70">
        <f t="shared" si="8"/>
        <v>424293151.27118653</v>
      </c>
      <c r="U30" s="70">
        <f t="shared" si="2"/>
        <v>76372767.228813469</v>
      </c>
      <c r="V30" s="17">
        <f t="shared" si="9"/>
        <v>76372767.228813469</v>
      </c>
      <c r="W30" s="17">
        <f t="shared" si="10"/>
        <v>0</v>
      </c>
    </row>
    <row r="31" spans="1:23" s="1" customFormat="1" x14ac:dyDescent="0.6">
      <c r="A31" s="60">
        <f t="shared" si="3"/>
        <v>28</v>
      </c>
      <c r="B31" s="85" t="s">
        <v>165</v>
      </c>
      <c r="C31" s="85" t="s">
        <v>1667</v>
      </c>
      <c r="D31" s="1529">
        <f>F31</f>
        <v>6.8000000000000005E-2</v>
      </c>
      <c r="E31" s="1529"/>
      <c r="F31" s="1529">
        <v>6.8000000000000005E-2</v>
      </c>
      <c r="G31" s="956">
        <v>9307834</v>
      </c>
      <c r="H31" s="897">
        <f>G31*Assumptions!$C$59/Assumptions!$C$8</f>
        <v>254066636.86399999</v>
      </c>
      <c r="I31" s="920">
        <v>8.67</v>
      </c>
      <c r="J31" s="506">
        <f>I31/100*1000000/Assumptions!$C$58</f>
        <v>25.410316529894491</v>
      </c>
      <c r="K31" s="506">
        <f t="shared" si="0"/>
        <v>23.792431207766377</v>
      </c>
      <c r="L31" s="1422">
        <f t="shared" si="1"/>
        <v>25.410316529894491</v>
      </c>
      <c r="M31" s="931">
        <f>J31*Assumptions!$C$8/1000000</f>
        <v>3.1762895662368114</v>
      </c>
      <c r="N31" s="1664">
        <f t="shared" si="4"/>
        <v>0.20223566526601422</v>
      </c>
      <c r="O31" s="931">
        <f>K31*Assumptions!$C$8/1000000</f>
        <v>2.9740539009707971</v>
      </c>
      <c r="P31" s="932">
        <f>L31*Assumptions!$C$8/1000000</f>
        <v>3.1762895662368114</v>
      </c>
      <c r="Q31" s="1539">
        <f t="shared" si="5"/>
        <v>0.20223566526601422</v>
      </c>
      <c r="R31" s="70">
        <f t="shared" si="6"/>
        <v>806989207.79999995</v>
      </c>
      <c r="S31" s="70">
        <f t="shared" si="7"/>
        <v>755607872.47191012</v>
      </c>
      <c r="T31" s="70">
        <f t="shared" si="8"/>
        <v>806989207.79999995</v>
      </c>
      <c r="U31" s="70">
        <f t="shared" si="2"/>
        <v>0</v>
      </c>
      <c r="V31" s="17">
        <f t="shared" si="9"/>
        <v>0</v>
      </c>
      <c r="W31" s="17">
        <f t="shared" si="10"/>
        <v>0</v>
      </c>
    </row>
    <row r="32" spans="1:23" s="1" customFormat="1" x14ac:dyDescent="0.6">
      <c r="A32" s="60">
        <f t="shared" si="3"/>
        <v>29</v>
      </c>
      <c r="B32" s="85" t="s">
        <v>147</v>
      </c>
      <c r="C32" s="85" t="s">
        <v>1668</v>
      </c>
      <c r="D32" s="1529">
        <v>0.05</v>
      </c>
      <c r="E32" s="1529"/>
      <c r="F32" s="1529">
        <v>7.9399999999999998E-2</v>
      </c>
      <c r="G32" s="956">
        <v>9613997</v>
      </c>
      <c r="H32" s="897">
        <f>G32*Assumptions!$C$59/Assumptions!$C$8</f>
        <v>262423662.11199999</v>
      </c>
      <c r="I32" s="920">
        <v>9.25</v>
      </c>
      <c r="J32" s="506">
        <f>I32/100*1000000/Assumptions!$C$58</f>
        <v>27.110199296600236</v>
      </c>
      <c r="K32" s="506">
        <f t="shared" si="0"/>
        <v>25.819237425333558</v>
      </c>
      <c r="L32" s="1422">
        <f t="shared" si="1"/>
        <v>27.869284876905041</v>
      </c>
      <c r="M32" s="931">
        <f>J32*Assumptions!$C$8/1000000</f>
        <v>3.3887749120750299</v>
      </c>
      <c r="N32" s="1664">
        <f t="shared" si="4"/>
        <v>0.16137023390833516</v>
      </c>
      <c r="O32" s="931">
        <f>K32*Assumptions!$C$8/1000000</f>
        <v>3.2274046781666947</v>
      </c>
      <c r="P32" s="932">
        <f>L32*Assumptions!$C$8/1000000</f>
        <v>3.4836606096131302</v>
      </c>
      <c r="Q32" s="1539">
        <f t="shared" si="5"/>
        <v>0.16137023390833516</v>
      </c>
      <c r="R32" s="70">
        <f t="shared" si="6"/>
        <v>889294722.50000012</v>
      </c>
      <c r="S32" s="70">
        <f t="shared" si="7"/>
        <v>846947354.76190472</v>
      </c>
      <c r="T32" s="70">
        <f t="shared" si="8"/>
        <v>914194974.73000002</v>
      </c>
      <c r="U32" s="70">
        <f t="shared" si="2"/>
        <v>-24900252.2299999</v>
      </c>
      <c r="V32" s="17">
        <f t="shared" si="9"/>
        <v>0</v>
      </c>
      <c r="W32" s="17">
        <f t="shared" si="10"/>
        <v>-24900252.2299999</v>
      </c>
    </row>
    <row r="33" spans="1:23" s="1" customFormat="1" x14ac:dyDescent="0.6">
      <c r="A33" s="60">
        <f t="shared" si="3"/>
        <v>30</v>
      </c>
      <c r="B33" s="85" t="s">
        <v>170</v>
      </c>
      <c r="C33" s="85" t="s">
        <v>1664</v>
      </c>
      <c r="D33" s="1529">
        <v>4.0000000000000001E-3</v>
      </c>
      <c r="E33" s="1529"/>
      <c r="F33" s="1529">
        <v>0</v>
      </c>
      <c r="G33" s="956">
        <v>4491173</v>
      </c>
      <c r="H33" s="897">
        <f>G33*Assumptions!$C$59/Assumptions!$C$8</f>
        <v>122591058.208</v>
      </c>
      <c r="I33" s="920">
        <v>14.96</v>
      </c>
      <c r="J33" s="506">
        <f>I33/100*1000000/Assumptions!$C$58</f>
        <v>43.845252051582648</v>
      </c>
      <c r="K33" s="506">
        <f t="shared" si="0"/>
        <v>43.670569772492676</v>
      </c>
      <c r="L33" s="1422">
        <f t="shared" si="1"/>
        <v>43.670569772492676</v>
      </c>
      <c r="M33" s="931">
        <f>J33*Assumptions!$C$8/1000000</f>
        <v>5.480656506447831</v>
      </c>
      <c r="N33" s="1664">
        <f t="shared" si="4"/>
        <v>2.183528488624642E-2</v>
      </c>
      <c r="O33" s="931">
        <f>K33*Assumptions!$C$8/1000000</f>
        <v>5.4588212215615846</v>
      </c>
      <c r="P33" s="932">
        <f>L33*Assumptions!$C$8/1000000</f>
        <v>5.4588212215615846</v>
      </c>
      <c r="Q33" s="1539">
        <f t="shared" si="5"/>
        <v>2.183528488624642E-2</v>
      </c>
      <c r="R33" s="70">
        <f t="shared" si="6"/>
        <v>671879480.79999995</v>
      </c>
      <c r="S33" s="70">
        <f t="shared" si="7"/>
        <v>669202670.11952186</v>
      </c>
      <c r="T33" s="70">
        <f t="shared" si="8"/>
        <v>669202670.11952186</v>
      </c>
      <c r="U33" s="70">
        <f t="shared" si="2"/>
        <v>2676810.680478096</v>
      </c>
      <c r="V33" s="17">
        <f t="shared" si="9"/>
        <v>2676810.680478096</v>
      </c>
      <c r="W33" s="17">
        <f t="shared" si="10"/>
        <v>0</v>
      </c>
    </row>
    <row r="34" spans="1:23" s="1" customFormat="1" x14ac:dyDescent="0.6">
      <c r="A34" s="60">
        <f t="shared" si="3"/>
        <v>31</v>
      </c>
      <c r="B34" s="85" t="s">
        <v>187</v>
      </c>
      <c r="C34" s="85" t="s">
        <v>1539</v>
      </c>
      <c r="D34" s="1529">
        <f>F34</f>
        <v>6.9699999999999998E-2</v>
      </c>
      <c r="E34" s="1529"/>
      <c r="F34" s="1529">
        <v>6.9699999999999998E-2</v>
      </c>
      <c r="G34" s="956">
        <v>38722730</v>
      </c>
      <c r="H34" s="897">
        <f>G34*Assumptions!$C$59/Assumptions!$C$8</f>
        <v>1056975638.08</v>
      </c>
      <c r="I34" s="920">
        <v>12.79</v>
      </c>
      <c r="J34" s="506">
        <f>I34/100*1000000/Assumptions!$C$58</f>
        <v>37.485345838218052</v>
      </c>
      <c r="K34" s="506">
        <f t="shared" si="0"/>
        <v>35.042858594202158</v>
      </c>
      <c r="L34" s="1422">
        <f t="shared" si="1"/>
        <v>37.485345838218052</v>
      </c>
      <c r="M34" s="931">
        <f>J34*Assumptions!$C$8/1000000</f>
        <v>4.6856682297772574</v>
      </c>
      <c r="N34" s="1664">
        <f t="shared" si="4"/>
        <v>0.30531090550198758</v>
      </c>
      <c r="O34" s="931">
        <f>K34*Assumptions!$C$8/1000000</f>
        <v>4.3803573242752698</v>
      </c>
      <c r="P34" s="932">
        <f>L34*Assumptions!$C$8/1000000</f>
        <v>4.6856682297772574</v>
      </c>
      <c r="Q34" s="1539">
        <f t="shared" si="5"/>
        <v>0.30531090550198758</v>
      </c>
      <c r="R34" s="70">
        <f t="shared" si="6"/>
        <v>4952637167.000001</v>
      </c>
      <c r="S34" s="70">
        <f t="shared" si="7"/>
        <v>4629930977.8442545</v>
      </c>
      <c r="T34" s="70">
        <f t="shared" si="8"/>
        <v>4952637167.000001</v>
      </c>
      <c r="U34" s="70">
        <f t="shared" si="2"/>
        <v>0</v>
      </c>
      <c r="V34" s="17">
        <f t="shared" si="9"/>
        <v>0</v>
      </c>
      <c r="W34" s="17">
        <f t="shared" si="10"/>
        <v>0</v>
      </c>
    </row>
    <row r="35" spans="1:23" s="1" customFormat="1" x14ac:dyDescent="0.6">
      <c r="A35" s="60">
        <f t="shared" si="3"/>
        <v>32</v>
      </c>
      <c r="B35" s="85" t="s">
        <v>182</v>
      </c>
      <c r="C35" s="85" t="s">
        <v>1669</v>
      </c>
      <c r="D35" s="1529">
        <f>F35</f>
        <v>7.3499999999999996E-2</v>
      </c>
      <c r="E35" s="1529"/>
      <c r="F35" s="1529">
        <v>7.3499999999999996E-2</v>
      </c>
      <c r="G35" s="956">
        <v>8877046</v>
      </c>
      <c r="H35" s="897">
        <f>G35*Assumptions!$C$59/Assumptions!$C$8</f>
        <v>242307847.616</v>
      </c>
      <c r="I35" s="920">
        <v>10.3</v>
      </c>
      <c r="J35" s="506">
        <f>I35/100*1000000/Assumptions!$C$58</f>
        <v>30.187573270808915</v>
      </c>
      <c r="K35" s="506">
        <f t="shared" si="0"/>
        <v>28.120701696142447</v>
      </c>
      <c r="L35" s="1422">
        <f t="shared" si="1"/>
        <v>30.187573270808915</v>
      </c>
      <c r="M35" s="931">
        <f>J35*Assumptions!$C$8/1000000</f>
        <v>3.7734466588511144</v>
      </c>
      <c r="N35" s="1664">
        <f t="shared" si="4"/>
        <v>0.25835894683330851</v>
      </c>
      <c r="O35" s="931">
        <f>K35*Assumptions!$C$8/1000000</f>
        <v>3.5150877120178059</v>
      </c>
      <c r="P35" s="932">
        <f>L35*Assumptions!$C$8/1000000</f>
        <v>3.7734466588511144</v>
      </c>
      <c r="Q35" s="1539">
        <f t="shared" si="5"/>
        <v>0.25835894683330851</v>
      </c>
      <c r="R35" s="70">
        <f t="shared" si="6"/>
        <v>914335738.00000012</v>
      </c>
      <c r="S35" s="70">
        <f t="shared" si="7"/>
        <v>851733337.68048453</v>
      </c>
      <c r="T35" s="70">
        <f t="shared" si="8"/>
        <v>914335738.00000012</v>
      </c>
      <c r="U35" s="70">
        <f t="shared" si="2"/>
        <v>0</v>
      </c>
      <c r="V35" s="17">
        <f t="shared" si="9"/>
        <v>0</v>
      </c>
      <c r="W35" s="17">
        <f t="shared" si="10"/>
        <v>0</v>
      </c>
    </row>
    <row r="36" spans="1:23" s="192" customFormat="1" x14ac:dyDescent="0.6">
      <c r="A36" s="60">
        <f t="shared" si="3"/>
        <v>33</v>
      </c>
      <c r="B36" s="85" t="s">
        <v>140</v>
      </c>
      <c r="C36" s="85" t="s">
        <v>1670</v>
      </c>
      <c r="D36" s="1529">
        <f>F36</f>
        <v>8.48E-2</v>
      </c>
      <c r="E36" s="1531"/>
      <c r="F36" s="1529">
        <v>8.48E-2</v>
      </c>
      <c r="G36" s="956">
        <v>77005625</v>
      </c>
      <c r="H36" s="897">
        <f>G36*Assumptions!$C$59/Assumptions!$C$8</f>
        <v>2101945540</v>
      </c>
      <c r="I36" s="920">
        <v>15.31</v>
      </c>
      <c r="J36" s="506">
        <f>I36/100*1000000/Assumptions!$C$58</f>
        <v>44.871043376318873</v>
      </c>
      <c r="K36" s="506">
        <f t="shared" ref="K36:K54" si="12">J36/(1+D36)</f>
        <v>41.363424941296898</v>
      </c>
      <c r="L36" s="1422">
        <f t="shared" ref="L36:L54" si="13">K36*(1+F36)</f>
        <v>44.871043376318873</v>
      </c>
      <c r="M36" s="931">
        <f>J36*Assumptions!$C$8/1000000</f>
        <v>5.6088804220398591</v>
      </c>
      <c r="N36" s="1664">
        <f t="shared" si="4"/>
        <v>0.43845230437774685</v>
      </c>
      <c r="O36" s="931">
        <f>K36*Assumptions!$C$8/1000000</f>
        <v>5.1704281176621123</v>
      </c>
      <c r="P36" s="932">
        <f>L36*Assumptions!$C$8/1000000</f>
        <v>5.6088804220398591</v>
      </c>
      <c r="Q36" s="1540">
        <f t="shared" si="5"/>
        <v>0.43845230437774685</v>
      </c>
      <c r="R36" s="70">
        <f t="shared" si="6"/>
        <v>11789561187.5</v>
      </c>
      <c r="S36" s="70">
        <f t="shared" si="7"/>
        <v>10867958321.810472</v>
      </c>
      <c r="T36" s="70">
        <f t="shared" si="8"/>
        <v>11789561187.5</v>
      </c>
      <c r="U36" s="70">
        <f t="shared" si="2"/>
        <v>0</v>
      </c>
      <c r="V36" s="17">
        <f t="shared" si="9"/>
        <v>0</v>
      </c>
      <c r="W36" s="17">
        <f t="shared" si="10"/>
        <v>0</v>
      </c>
    </row>
    <row r="37" spans="1:23" s="192" customFormat="1" x14ac:dyDescent="0.6">
      <c r="A37" s="60">
        <f t="shared" si="3"/>
        <v>34</v>
      </c>
      <c r="B37" s="85" t="s">
        <v>145</v>
      </c>
      <c r="C37" s="85" t="s">
        <v>1671</v>
      </c>
      <c r="D37" s="1529">
        <f>F37</f>
        <v>6.9000000000000006E-2</v>
      </c>
      <c r="E37" s="1531"/>
      <c r="F37" s="1529">
        <v>6.9000000000000006E-2</v>
      </c>
      <c r="G37" s="956">
        <v>48236147</v>
      </c>
      <c r="H37" s="897">
        <f>G37*Assumptions!$C$59/Assumptions!$C$8</f>
        <v>1316653868.5120001</v>
      </c>
      <c r="I37" s="920">
        <v>8.73</v>
      </c>
      <c r="J37" s="506">
        <f>I37/100*1000000/Assumptions!$C$58</f>
        <v>25.586166471277842</v>
      </c>
      <c r="K37" s="506">
        <f t="shared" si="12"/>
        <v>23.934673967519029</v>
      </c>
      <c r="L37" s="1422">
        <f t="shared" si="13"/>
        <v>25.586166471277842</v>
      </c>
      <c r="M37" s="931">
        <f>J37*Assumptions!$C$8/1000000</f>
        <v>3.1982708089097303</v>
      </c>
      <c r="N37" s="1664">
        <f t="shared" si="4"/>
        <v>0.20643656296985169</v>
      </c>
      <c r="O37" s="931">
        <f>K37*Assumptions!$C$8/1000000</f>
        <v>2.9918342459398786</v>
      </c>
      <c r="P37" s="932">
        <f>L37*Assumptions!$C$8/1000000</f>
        <v>3.1982708089097303</v>
      </c>
      <c r="Q37" s="1540">
        <f t="shared" si="5"/>
        <v>0.20643656296985169</v>
      </c>
      <c r="R37" s="70">
        <f t="shared" si="6"/>
        <v>4211015633.0999999</v>
      </c>
      <c r="S37" s="70">
        <f t="shared" si="7"/>
        <v>3939210133.8634238</v>
      </c>
      <c r="T37" s="70">
        <f t="shared" si="8"/>
        <v>4211015633.0999999</v>
      </c>
      <c r="U37" s="70">
        <f t="shared" si="2"/>
        <v>0</v>
      </c>
      <c r="V37" s="17">
        <f t="shared" si="9"/>
        <v>0</v>
      </c>
      <c r="W37" s="17">
        <f t="shared" si="10"/>
        <v>0</v>
      </c>
    </row>
    <row r="38" spans="1:23" s="1" customFormat="1" x14ac:dyDescent="0.6">
      <c r="A38" s="60">
        <f t="shared" si="3"/>
        <v>35</v>
      </c>
      <c r="B38" s="85" t="s">
        <v>173</v>
      </c>
      <c r="C38" s="85" t="s">
        <v>1652</v>
      </c>
      <c r="D38" s="1529">
        <f>F38</f>
        <v>6.5600000000000006E-2</v>
      </c>
      <c r="E38" s="1529"/>
      <c r="F38" s="1529">
        <v>6.5600000000000006E-2</v>
      </c>
      <c r="G38" s="956">
        <v>6278868</v>
      </c>
      <c r="H38" s="897">
        <f>G38*Assumptions!$C$59/Assumptions!$C$8</f>
        <v>171387980.928</v>
      </c>
      <c r="I38" s="920">
        <v>8.83</v>
      </c>
      <c r="J38" s="506">
        <f>I38/100*1000000/Assumptions!$C$58</f>
        <v>25.879249706916763</v>
      </c>
      <c r="K38" s="506">
        <f t="shared" si="12"/>
        <v>24.286082682917382</v>
      </c>
      <c r="L38" s="1422">
        <f t="shared" si="13"/>
        <v>25.879249706916763</v>
      </c>
      <c r="M38" s="931">
        <f>J38*Assumptions!$C$8/1000000</f>
        <v>3.2349062133645954</v>
      </c>
      <c r="N38" s="1664">
        <f t="shared" si="4"/>
        <v>0.19914587799992267</v>
      </c>
      <c r="O38" s="931">
        <f>K38*Assumptions!$C$8/1000000</f>
        <v>3.0357603353646727</v>
      </c>
      <c r="P38" s="932">
        <f>L38*Assumptions!$C$8/1000000</f>
        <v>3.2349062133645954</v>
      </c>
      <c r="Q38" s="1539">
        <f t="shared" si="5"/>
        <v>0.19914587799992267</v>
      </c>
      <c r="R38" s="70">
        <f t="shared" si="6"/>
        <v>554424044.39999998</v>
      </c>
      <c r="S38" s="70">
        <f t="shared" si="7"/>
        <v>520292834.45945942</v>
      </c>
      <c r="T38" s="70">
        <f t="shared" si="8"/>
        <v>554424044.39999998</v>
      </c>
      <c r="U38" s="70">
        <f t="shared" si="2"/>
        <v>0</v>
      </c>
      <c r="V38" s="17">
        <f t="shared" si="9"/>
        <v>0</v>
      </c>
      <c r="W38" s="17">
        <f t="shared" si="10"/>
        <v>0</v>
      </c>
    </row>
    <row r="39" spans="1:23" s="192" customFormat="1" x14ac:dyDescent="0.6">
      <c r="A39" s="60">
        <f t="shared" si="3"/>
        <v>36</v>
      </c>
      <c r="B39" s="85" t="s">
        <v>163</v>
      </c>
      <c r="C39" s="85" t="s">
        <v>1672</v>
      </c>
      <c r="D39" s="1529"/>
      <c r="E39" s="1532"/>
      <c r="F39" s="1529">
        <v>7.0999999999999994E-2</v>
      </c>
      <c r="G39" s="956">
        <v>47123923</v>
      </c>
      <c r="H39" s="897">
        <f>G39*Assumptions!$C$59/Assumptions!$C$8</f>
        <v>1286294602.2079999</v>
      </c>
      <c r="I39" s="920">
        <v>10.07</v>
      </c>
      <c r="J39" s="506">
        <f>I39/100*1000000/Assumptions!$C$58</f>
        <v>29.513481828839389</v>
      </c>
      <c r="K39" s="506">
        <f t="shared" si="12"/>
        <v>29.513481828839389</v>
      </c>
      <c r="L39" s="1422">
        <f t="shared" si="13"/>
        <v>31.608939038686984</v>
      </c>
      <c r="M39" s="931">
        <f>J39*Assumptions!$C$8/1000000</f>
        <v>3.6891852286049236</v>
      </c>
      <c r="N39" s="1664">
        <f t="shared" si="4"/>
        <v>0</v>
      </c>
      <c r="O39" s="931">
        <f>K39*Assumptions!$C$8/1000000</f>
        <v>3.6891852286049236</v>
      </c>
      <c r="P39" s="932">
        <f>L39*Assumptions!$C$8/1000000</f>
        <v>3.951117379835873</v>
      </c>
      <c r="Q39" s="1540">
        <f t="shared" si="5"/>
        <v>0</v>
      </c>
      <c r="R39" s="70">
        <f t="shared" si="6"/>
        <v>4745379046.0999994</v>
      </c>
      <c r="S39" s="70">
        <f t="shared" si="7"/>
        <v>4745379046.0999994</v>
      </c>
      <c r="T39" s="70">
        <f t="shared" si="8"/>
        <v>5082300958.3730993</v>
      </c>
      <c r="U39" s="70">
        <f t="shared" si="2"/>
        <v>-336921912.2730999</v>
      </c>
      <c r="V39" s="17">
        <f t="shared" si="9"/>
        <v>0</v>
      </c>
      <c r="W39" s="17">
        <f t="shared" si="10"/>
        <v>-336921912.2730999</v>
      </c>
    </row>
    <row r="40" spans="1:23" s="1" customFormat="1" x14ac:dyDescent="0.6">
      <c r="A40" s="60">
        <f t="shared" si="3"/>
        <v>37</v>
      </c>
      <c r="B40" s="85" t="s">
        <v>185</v>
      </c>
      <c r="C40" s="85" t="s">
        <v>1673</v>
      </c>
      <c r="D40" s="1529">
        <f>F40</f>
        <v>8.77E-2</v>
      </c>
      <c r="E40" s="1529"/>
      <c r="F40" s="1529">
        <v>8.77E-2</v>
      </c>
      <c r="G40" s="956">
        <v>20691105</v>
      </c>
      <c r="H40" s="897">
        <f>G40*Assumptions!$C$59/Assumptions!$C$8</f>
        <v>564784402.08000004</v>
      </c>
      <c r="I40" s="920">
        <v>7.68</v>
      </c>
      <c r="J40" s="506">
        <f>I40/100*1000000/Assumptions!$C$58</f>
        <v>22.508792497069166</v>
      </c>
      <c r="K40" s="506">
        <f t="shared" si="12"/>
        <v>20.693934446142475</v>
      </c>
      <c r="L40" s="1422">
        <f t="shared" si="13"/>
        <v>22.508792497069166</v>
      </c>
      <c r="M40" s="931">
        <f>J40*Assumptions!$C$8/1000000</f>
        <v>2.8135990621336457</v>
      </c>
      <c r="N40" s="1664">
        <f t="shared" si="4"/>
        <v>0.22685725636583642</v>
      </c>
      <c r="O40" s="931">
        <f>K40*Assumptions!$C$8/1000000</f>
        <v>2.5867418057678093</v>
      </c>
      <c r="P40" s="932">
        <f>L40*Assumptions!$C$8/1000000</f>
        <v>2.8135990621336457</v>
      </c>
      <c r="Q40" s="1539">
        <f t="shared" si="5"/>
        <v>0.22685725636583642</v>
      </c>
      <c r="R40" s="70">
        <f t="shared" si="6"/>
        <v>1589076864</v>
      </c>
      <c r="S40" s="70">
        <f t="shared" si="7"/>
        <v>1460951424.1059117</v>
      </c>
      <c r="T40" s="70">
        <f t="shared" si="8"/>
        <v>1589076864</v>
      </c>
      <c r="U40" s="70">
        <f t="shared" si="2"/>
        <v>0</v>
      </c>
      <c r="V40" s="17">
        <f t="shared" si="9"/>
        <v>0</v>
      </c>
      <c r="W40" s="17">
        <f t="shared" si="10"/>
        <v>0</v>
      </c>
    </row>
    <row r="41" spans="1:23" s="1" customFormat="1" x14ac:dyDescent="0.6">
      <c r="A41" s="60">
        <f t="shared" si="3"/>
        <v>38</v>
      </c>
      <c r="B41" s="85" t="s">
        <v>153</v>
      </c>
      <c r="C41" s="85" t="s">
        <v>1674</v>
      </c>
      <c r="D41" s="1529">
        <v>0.03</v>
      </c>
      <c r="E41" s="1529"/>
      <c r="F41" s="1529">
        <v>0</v>
      </c>
      <c r="G41" s="956">
        <v>16021066</v>
      </c>
      <c r="H41" s="897">
        <f>G41*Assumptions!$C$59/Assumptions!$C$8</f>
        <v>437311017.53600001</v>
      </c>
      <c r="I41" s="920">
        <v>8.8000000000000007</v>
      </c>
      <c r="J41" s="506">
        <f>I41/100*1000000/Assumptions!$C$58</f>
        <v>25.791324736225093</v>
      </c>
      <c r="K41" s="506">
        <f t="shared" si="12"/>
        <v>25.040121103131156</v>
      </c>
      <c r="L41" s="1422">
        <f t="shared" si="13"/>
        <v>25.040121103131156</v>
      </c>
      <c r="M41" s="931">
        <f>J41*Assumptions!$C$8/1000000</f>
        <v>3.223915592028137</v>
      </c>
      <c r="N41" s="1664">
        <f t="shared" si="4"/>
        <v>9.3900454136742528E-2</v>
      </c>
      <c r="O41" s="931">
        <f>K41*Assumptions!$C$8/1000000</f>
        <v>3.1300151378913945</v>
      </c>
      <c r="P41" s="932">
        <f>L41*Assumptions!$C$8/1000000</f>
        <v>3.1300151378913945</v>
      </c>
      <c r="Q41" s="1539">
        <f t="shared" si="5"/>
        <v>9.3900454136742528E-2</v>
      </c>
      <c r="R41" s="70">
        <f t="shared" si="6"/>
        <v>1409853808.0000005</v>
      </c>
      <c r="S41" s="70">
        <f t="shared" si="7"/>
        <v>1368790104.8543692</v>
      </c>
      <c r="T41" s="70">
        <f t="shared" si="8"/>
        <v>1368790104.8543692</v>
      </c>
      <c r="U41" s="70">
        <f t="shared" si="2"/>
        <v>41063703.145631313</v>
      </c>
      <c r="V41" s="17">
        <f t="shared" si="9"/>
        <v>41063703.145631313</v>
      </c>
      <c r="W41" s="17">
        <f t="shared" si="10"/>
        <v>0</v>
      </c>
    </row>
    <row r="42" spans="1:23" s="192" customFormat="1" x14ac:dyDescent="0.6">
      <c r="A42" s="60">
        <f t="shared" si="3"/>
        <v>39</v>
      </c>
      <c r="B42" s="85" t="s">
        <v>138</v>
      </c>
      <c r="C42" s="85" t="s">
        <v>1675</v>
      </c>
      <c r="D42" s="1529">
        <f t="shared" ref="D42:D49" si="14">F42</f>
        <v>6.3399999999999998E-2</v>
      </c>
      <c r="E42" s="1529"/>
      <c r="F42" s="1529">
        <v>6.3399999999999998E-2</v>
      </c>
      <c r="G42" s="956">
        <v>43745173</v>
      </c>
      <c r="H42" s="897">
        <f>G42*Assumptions!$C$59/Assumptions!$C$8</f>
        <v>1194068242.2079999</v>
      </c>
      <c r="I42" s="920">
        <v>9.6</v>
      </c>
      <c r="J42" s="506">
        <f>I42/100*1000000/Assumptions!$C$58</f>
        <v>28.135990621336461</v>
      </c>
      <c r="K42" s="506">
        <f t="shared" si="12"/>
        <v>26.458520426308503</v>
      </c>
      <c r="L42" s="1422">
        <f t="shared" si="13"/>
        <v>28.135990621336461</v>
      </c>
      <c r="M42" s="931">
        <f>J42*Assumptions!$C$8/1000000</f>
        <v>3.5169988276670576</v>
      </c>
      <c r="N42" s="1664">
        <f t="shared" si="4"/>
        <v>0.20968377437849472</v>
      </c>
      <c r="O42" s="931">
        <f>K42*Assumptions!$C$8/1000000</f>
        <v>3.3073150532885629</v>
      </c>
      <c r="P42" s="932">
        <f>L42*Assumptions!$C$8/1000000</f>
        <v>3.5169988276670576</v>
      </c>
      <c r="Q42" s="1540">
        <f t="shared" si="5"/>
        <v>0.20968377437849472</v>
      </c>
      <c r="R42" s="70">
        <f t="shared" si="6"/>
        <v>4199536608</v>
      </c>
      <c r="S42" s="70">
        <f t="shared" si="7"/>
        <v>3949159872.1083322</v>
      </c>
      <c r="T42" s="70">
        <f t="shared" si="8"/>
        <v>4199536608</v>
      </c>
      <c r="U42" s="70">
        <f t="shared" si="2"/>
        <v>0</v>
      </c>
      <c r="V42" s="17">
        <f t="shared" si="9"/>
        <v>0</v>
      </c>
      <c r="W42" s="17">
        <f t="shared" si="10"/>
        <v>0</v>
      </c>
    </row>
    <row r="43" spans="1:23" s="1" customFormat="1" x14ac:dyDescent="0.6">
      <c r="A43" s="60">
        <f t="shared" si="3"/>
        <v>40</v>
      </c>
      <c r="B43" s="85" t="s">
        <v>146</v>
      </c>
      <c r="C43" s="85" t="s">
        <v>1531</v>
      </c>
      <c r="D43" s="1529">
        <f t="shared" si="14"/>
        <v>7.0000000000000007E-2</v>
      </c>
      <c r="E43" s="1529"/>
      <c r="F43" s="1529">
        <v>7.0000000000000007E-2</v>
      </c>
      <c r="G43" s="956">
        <v>3704812</v>
      </c>
      <c r="H43" s="897">
        <f>G43*Assumptions!$C$59/Assumptions!$C$8</f>
        <v>101126548.352</v>
      </c>
      <c r="I43" s="920">
        <v>15.78</v>
      </c>
      <c r="J43" s="506">
        <f>I43/100*1000000/Assumptions!$C$58</f>
        <v>46.248534583821808</v>
      </c>
      <c r="K43" s="506">
        <f t="shared" si="12"/>
        <v>43.222929517590472</v>
      </c>
      <c r="L43" s="1422">
        <f t="shared" si="13"/>
        <v>46.248534583821808</v>
      </c>
      <c r="M43" s="931">
        <f>J43*Assumptions!$C$8/1000000</f>
        <v>5.781066822977726</v>
      </c>
      <c r="N43" s="1664">
        <f t="shared" si="4"/>
        <v>0.37820063327891695</v>
      </c>
      <c r="O43" s="931">
        <f>K43*Assumptions!$C$8/1000000</f>
        <v>5.4028661896988091</v>
      </c>
      <c r="P43" s="932">
        <f>L43*Assumptions!$C$8/1000000</f>
        <v>5.781066822977726</v>
      </c>
      <c r="Q43" s="1539">
        <f t="shared" si="5"/>
        <v>0.37820063327891695</v>
      </c>
      <c r="R43" s="70">
        <f t="shared" si="6"/>
        <v>584619333.60000002</v>
      </c>
      <c r="S43" s="70">
        <f t="shared" si="7"/>
        <v>546373208.97196257</v>
      </c>
      <c r="T43" s="70">
        <f t="shared" si="8"/>
        <v>584619333.60000002</v>
      </c>
      <c r="U43" s="70">
        <f t="shared" si="2"/>
        <v>0</v>
      </c>
      <c r="V43" s="17">
        <f t="shared" si="9"/>
        <v>0</v>
      </c>
      <c r="W43" s="17">
        <f t="shared" si="10"/>
        <v>0</v>
      </c>
    </row>
    <row r="44" spans="1:23" s="1" customFormat="1" x14ac:dyDescent="0.6">
      <c r="A44" s="60">
        <f t="shared" si="3"/>
        <v>41</v>
      </c>
      <c r="B44" s="85" t="s">
        <v>186</v>
      </c>
      <c r="C44" s="85" t="s">
        <v>1676</v>
      </c>
      <c r="D44" s="1529">
        <f t="shared" si="14"/>
        <v>7.1300000000000002E-2</v>
      </c>
      <c r="E44" s="1529"/>
      <c r="F44" s="1529">
        <v>7.1300000000000002E-2</v>
      </c>
      <c r="G44" s="956">
        <v>21927007</v>
      </c>
      <c r="H44" s="897">
        <f>G44*Assumptions!$C$59/Assumptions!$C$8</f>
        <v>598519583.07200003</v>
      </c>
      <c r="I44" s="920">
        <v>10.210000000000001</v>
      </c>
      <c r="J44" s="506">
        <f>I44/100*1000000/Assumptions!$C$58</f>
        <v>29.923798358733883</v>
      </c>
      <c r="K44" s="506">
        <f t="shared" si="12"/>
        <v>27.932230335791921</v>
      </c>
      <c r="L44" s="1422">
        <f t="shared" si="13"/>
        <v>29.923798358733883</v>
      </c>
      <c r="M44" s="931">
        <f>J44*Assumptions!$C$8/1000000</f>
        <v>3.7404747948417358</v>
      </c>
      <c r="N44" s="1664">
        <f t="shared" si="4"/>
        <v>0.24894600286774571</v>
      </c>
      <c r="O44" s="931">
        <f>K44*Assumptions!$C$8/1000000</f>
        <v>3.4915287919739901</v>
      </c>
      <c r="P44" s="932">
        <f>L44*Assumptions!$C$8/1000000</f>
        <v>3.7404747948417358</v>
      </c>
      <c r="Q44" s="1539">
        <f t="shared" si="5"/>
        <v>0.24894600286774571</v>
      </c>
      <c r="R44" s="70">
        <f t="shared" si="6"/>
        <v>2238747414.7000008</v>
      </c>
      <c r="S44" s="70">
        <f t="shared" si="7"/>
        <v>2089748356.8561566</v>
      </c>
      <c r="T44" s="70">
        <f t="shared" si="8"/>
        <v>2238747414.7000008</v>
      </c>
      <c r="U44" s="70">
        <f t="shared" si="2"/>
        <v>0</v>
      </c>
      <c r="V44" s="17">
        <f t="shared" si="9"/>
        <v>0</v>
      </c>
      <c r="W44" s="17">
        <f t="shared" si="10"/>
        <v>0</v>
      </c>
    </row>
    <row r="45" spans="1:23" s="1" customFormat="1" x14ac:dyDescent="0.6">
      <c r="A45" s="60">
        <f t="shared" si="3"/>
        <v>42</v>
      </c>
      <c r="B45" s="85" t="s">
        <v>159</v>
      </c>
      <c r="C45" s="85" t="s">
        <v>1652</v>
      </c>
      <c r="D45" s="1529">
        <f t="shared" si="14"/>
        <v>5.8299999999999998E-2</v>
      </c>
      <c r="E45" s="1529"/>
      <c r="F45" s="1529">
        <v>5.8299999999999998E-2</v>
      </c>
      <c r="G45" s="956">
        <v>4748637</v>
      </c>
      <c r="H45" s="897">
        <f>G45*Assumptions!$C$59/Assumptions!$C$8</f>
        <v>129618795.552</v>
      </c>
      <c r="I45" s="920">
        <v>9.16</v>
      </c>
      <c r="J45" s="506">
        <f>I45/100*1000000/Assumptions!$C$58</f>
        <v>26.846424384525204</v>
      </c>
      <c r="K45" s="506">
        <f t="shared" si="12"/>
        <v>25.367499182202781</v>
      </c>
      <c r="L45" s="1422">
        <f t="shared" si="13"/>
        <v>26.846424384525204</v>
      </c>
      <c r="M45" s="931">
        <f>J45*Assumptions!$C$8/1000000</f>
        <v>3.3558030480656504</v>
      </c>
      <c r="N45" s="1664">
        <f t="shared" si="4"/>
        <v>0.18486565029030277</v>
      </c>
      <c r="O45" s="931">
        <f>K45*Assumptions!$C$8/1000000</f>
        <v>3.1709373977753477</v>
      </c>
      <c r="P45" s="932">
        <f>L45*Assumptions!$C$8/1000000</f>
        <v>3.3558030480656504</v>
      </c>
      <c r="Q45" s="1539">
        <f t="shared" si="5"/>
        <v>0.18486565029030277</v>
      </c>
      <c r="R45" s="70">
        <f t="shared" si="6"/>
        <v>434975149.19999999</v>
      </c>
      <c r="S45" s="70">
        <f t="shared" si="7"/>
        <v>411013086.27043366</v>
      </c>
      <c r="T45" s="70">
        <f t="shared" si="8"/>
        <v>434975149.19999999</v>
      </c>
      <c r="U45" s="70">
        <f t="shared" si="2"/>
        <v>0</v>
      </c>
      <c r="V45" s="17">
        <f t="shared" si="9"/>
        <v>0</v>
      </c>
      <c r="W45" s="17">
        <f t="shared" si="10"/>
        <v>0</v>
      </c>
    </row>
    <row r="46" spans="1:23" s="1" customFormat="1" x14ac:dyDescent="0.6">
      <c r="A46" s="60">
        <f t="shared" si="3"/>
        <v>43</v>
      </c>
      <c r="B46" s="85" t="s">
        <v>177</v>
      </c>
      <c r="C46" s="85" t="s">
        <v>1677</v>
      </c>
      <c r="D46" s="1529">
        <f t="shared" si="14"/>
        <v>9.4500000000000001E-2</v>
      </c>
      <c r="E46" s="1529"/>
      <c r="F46" s="1529">
        <v>9.4500000000000001E-2</v>
      </c>
      <c r="G46" s="956">
        <v>34981552</v>
      </c>
      <c r="H46" s="897">
        <f>G46*Assumptions!$C$59/Assumptions!$C$8</f>
        <v>954856443.39199996</v>
      </c>
      <c r="I46" s="920">
        <v>10.16</v>
      </c>
      <c r="J46" s="506">
        <f>I46/100*1000000/Assumptions!$C$58</f>
        <v>29.777256740914421</v>
      </c>
      <c r="K46" s="506">
        <f t="shared" si="12"/>
        <v>27.206264724453558</v>
      </c>
      <c r="L46" s="1422">
        <f t="shared" si="13"/>
        <v>29.777256740914421</v>
      </c>
      <c r="M46" s="931">
        <f>J46*Assumptions!$C$8/1000000</f>
        <v>3.7221570926143026</v>
      </c>
      <c r="N46" s="1664">
        <f t="shared" si="4"/>
        <v>0.32137400205760791</v>
      </c>
      <c r="O46" s="931">
        <f>K46*Assumptions!$C$8/1000000</f>
        <v>3.4007830905566947</v>
      </c>
      <c r="P46" s="932">
        <f>L46*Assumptions!$C$8/1000000</f>
        <v>3.7221570926143026</v>
      </c>
      <c r="Q46" s="1539">
        <f t="shared" si="5"/>
        <v>0.32137400205760791</v>
      </c>
      <c r="R46" s="70">
        <f t="shared" si="6"/>
        <v>3554125683.1999998</v>
      </c>
      <c r="S46" s="70">
        <f t="shared" si="7"/>
        <v>3247259646.5966191</v>
      </c>
      <c r="T46" s="70">
        <f t="shared" si="8"/>
        <v>3554125683.1999998</v>
      </c>
      <c r="U46" s="70">
        <f t="shared" si="2"/>
        <v>0</v>
      </c>
      <c r="V46" s="17">
        <f t="shared" si="9"/>
        <v>0</v>
      </c>
      <c r="W46" s="17">
        <f t="shared" si="10"/>
        <v>0</v>
      </c>
    </row>
    <row r="47" spans="1:23" s="192" customFormat="1" x14ac:dyDescent="0.6">
      <c r="A47" s="60">
        <f t="shared" si="3"/>
        <v>44</v>
      </c>
      <c r="B47" s="85" t="s">
        <v>180</v>
      </c>
      <c r="C47" s="85" t="s">
        <v>1678</v>
      </c>
      <c r="D47" s="1529">
        <f t="shared" si="14"/>
        <v>8.0500000000000002E-2</v>
      </c>
      <c r="E47" s="1533"/>
      <c r="F47" s="1529">
        <v>8.0500000000000002E-2</v>
      </c>
      <c r="G47" s="956">
        <v>136323562</v>
      </c>
      <c r="H47" s="897">
        <f>G47*Assumptions!$C$59/Assumptions!$C$8</f>
        <v>3721087948.3520002</v>
      </c>
      <c r="I47" s="920">
        <v>8.15</v>
      </c>
      <c r="J47" s="506">
        <f>I47/100*1000000/Assumptions!$C$58</f>
        <v>23.886283704572097</v>
      </c>
      <c r="K47" s="506">
        <f t="shared" si="12"/>
        <v>22.106694775170844</v>
      </c>
      <c r="L47" s="1422">
        <f t="shared" si="13"/>
        <v>23.886283704572097</v>
      </c>
      <c r="M47" s="931">
        <f>J47*Assumptions!$C$8/1000000</f>
        <v>2.9857854630715122</v>
      </c>
      <c r="N47" s="1664">
        <f t="shared" si="4"/>
        <v>0.22244861617515665</v>
      </c>
      <c r="O47" s="931">
        <f>K47*Assumptions!$C$8/1000000</f>
        <v>2.7633368468963555</v>
      </c>
      <c r="P47" s="932">
        <f>L47*Assumptions!$C$8/1000000</f>
        <v>2.9857854630715122</v>
      </c>
      <c r="Q47" s="1540">
        <f t="shared" si="5"/>
        <v>0.22244861617515665</v>
      </c>
      <c r="R47" s="70">
        <f t="shared" si="6"/>
        <v>11110370303</v>
      </c>
      <c r="S47" s="70">
        <f t="shared" si="7"/>
        <v>10282619438.223045</v>
      </c>
      <c r="T47" s="70">
        <f t="shared" si="8"/>
        <v>11110370303</v>
      </c>
      <c r="U47" s="70">
        <f t="shared" si="2"/>
        <v>0</v>
      </c>
      <c r="V47" s="17">
        <f t="shared" si="9"/>
        <v>0</v>
      </c>
      <c r="W47" s="17">
        <f t="shared" si="10"/>
        <v>0</v>
      </c>
    </row>
    <row r="48" spans="1:23" s="1" customFormat="1" x14ac:dyDescent="0.6">
      <c r="A48" s="60">
        <f t="shared" si="3"/>
        <v>45</v>
      </c>
      <c r="B48" s="85" t="s">
        <v>161</v>
      </c>
      <c r="C48" s="85" t="s">
        <v>1679</v>
      </c>
      <c r="D48" s="1529">
        <f t="shared" si="14"/>
        <v>6.6799999999999998E-2</v>
      </c>
      <c r="E48" s="1529"/>
      <c r="F48" s="1529">
        <v>6.6799999999999998E-2</v>
      </c>
      <c r="G48" s="956">
        <v>11614593</v>
      </c>
      <c r="H48" s="897">
        <f>G48*Assumptions!$C$59/Assumptions!$C$8</f>
        <v>317031930.528</v>
      </c>
      <c r="I48" s="920">
        <v>8.6199999999999992</v>
      </c>
      <c r="J48" s="506">
        <f>I48/100*1000000/Assumptions!$C$58</f>
        <v>25.263774912075029</v>
      </c>
      <c r="K48" s="506">
        <f t="shared" si="12"/>
        <v>23.681828751476406</v>
      </c>
      <c r="L48" s="1422">
        <f t="shared" si="13"/>
        <v>25.263774912075029</v>
      </c>
      <c r="M48" s="931">
        <f>J48*Assumptions!$C$8/1000000</f>
        <v>3.1579718640093786</v>
      </c>
      <c r="N48" s="1664">
        <f t="shared" si="4"/>
        <v>0.19774327007482784</v>
      </c>
      <c r="O48" s="931">
        <f>K48*Assumptions!$C$8/1000000</f>
        <v>2.9602285939345507</v>
      </c>
      <c r="P48" s="932">
        <f>L48*Assumptions!$C$8/1000000</f>
        <v>3.1579718640093786</v>
      </c>
      <c r="Q48" s="1539">
        <f t="shared" si="5"/>
        <v>0.19774327007482784</v>
      </c>
      <c r="R48" s="70">
        <f t="shared" si="6"/>
        <v>1001177916.5999999</v>
      </c>
      <c r="S48" s="70">
        <f t="shared" si="7"/>
        <v>938486985.93925762</v>
      </c>
      <c r="T48" s="70">
        <f t="shared" si="8"/>
        <v>1001177916.5999999</v>
      </c>
      <c r="U48" s="70">
        <f t="shared" si="2"/>
        <v>0</v>
      </c>
      <c r="V48" s="17">
        <f t="shared" si="9"/>
        <v>0</v>
      </c>
      <c r="W48" s="17">
        <f t="shared" si="10"/>
        <v>0</v>
      </c>
    </row>
    <row r="49" spans="1:23" s="1" customFormat="1" x14ac:dyDescent="0.6">
      <c r="A49" s="60">
        <f t="shared" si="3"/>
        <v>46</v>
      </c>
      <c r="B49" s="85" t="s">
        <v>156</v>
      </c>
      <c r="C49" s="85" t="s">
        <v>1680</v>
      </c>
      <c r="D49" s="1529">
        <f t="shared" si="14"/>
        <v>6.1400000000000003E-2</v>
      </c>
      <c r="E49" s="1529"/>
      <c r="F49" s="1529">
        <v>6.1400000000000003E-2</v>
      </c>
      <c r="G49" s="956">
        <v>2010568</v>
      </c>
      <c r="H49" s="897">
        <f>G49*Assumptions!$C$59/Assumptions!$C$8</f>
        <v>54880464.127999999</v>
      </c>
      <c r="I49" s="920">
        <v>14.54</v>
      </c>
      <c r="J49" s="506">
        <f>I49/100*1000000/Assumptions!$C$58</f>
        <v>42.614302461899179</v>
      </c>
      <c r="K49" s="506">
        <f t="shared" si="12"/>
        <v>40.149144961276789</v>
      </c>
      <c r="L49" s="1422">
        <f t="shared" si="13"/>
        <v>42.614302461899179</v>
      </c>
      <c r="M49" s="931">
        <f>J49*Assumptions!$C$8/1000000</f>
        <v>5.3267878077373974</v>
      </c>
      <c r="N49" s="1664">
        <f t="shared" si="4"/>
        <v>0.30814468757779867</v>
      </c>
      <c r="O49" s="931">
        <f>K49*Assumptions!$C$8/1000000</f>
        <v>5.0186431201595987</v>
      </c>
      <c r="P49" s="932">
        <f>L49*Assumptions!$C$8/1000000</f>
        <v>5.3267878077373974</v>
      </c>
      <c r="Q49" s="1539">
        <f t="shared" si="5"/>
        <v>0.30814468757779867</v>
      </c>
      <c r="R49" s="70">
        <f t="shared" si="6"/>
        <v>292336587.19999999</v>
      </c>
      <c r="S49" s="70">
        <f t="shared" si="7"/>
        <v>275425463.72715282</v>
      </c>
      <c r="T49" s="70">
        <f t="shared" si="8"/>
        <v>292336587.19999999</v>
      </c>
      <c r="U49" s="70">
        <f t="shared" si="2"/>
        <v>0</v>
      </c>
      <c r="V49" s="17">
        <f t="shared" si="9"/>
        <v>0</v>
      </c>
      <c r="W49" s="17">
        <f t="shared" si="10"/>
        <v>0</v>
      </c>
    </row>
    <row r="50" spans="1:23" s="192" customFormat="1" x14ac:dyDescent="0.6">
      <c r="A50" s="60">
        <f t="shared" si="3"/>
        <v>47</v>
      </c>
      <c r="B50" s="85" t="s">
        <v>174</v>
      </c>
      <c r="C50" s="85" t="s">
        <v>1681</v>
      </c>
      <c r="D50" s="1529">
        <v>3.0000000000000001E-3</v>
      </c>
      <c r="E50" s="1529"/>
      <c r="F50" s="1529">
        <v>5.6300000000000003E-2</v>
      </c>
      <c r="G50" s="956">
        <v>48347037</v>
      </c>
      <c r="H50" s="897">
        <f>G50*Assumptions!$C$59/Assumptions!$C$8</f>
        <v>1319680721.9519999</v>
      </c>
      <c r="I50" s="920">
        <v>8.2100000000000009</v>
      </c>
      <c r="J50" s="506">
        <f>I50/100*1000000/Assumptions!$C$58</f>
        <v>24.062133645955452</v>
      </c>
      <c r="K50" s="506">
        <f t="shared" si="12"/>
        <v>23.990163156485998</v>
      </c>
      <c r="L50" s="1422">
        <f t="shared" si="13"/>
        <v>25.34080934219616</v>
      </c>
      <c r="M50" s="931">
        <f>J50*Assumptions!$C$8/1000000</f>
        <v>3.0077667057444315</v>
      </c>
      <c r="N50" s="1664">
        <f t="shared" si="4"/>
        <v>8.9963111836817156E-3</v>
      </c>
      <c r="O50" s="931">
        <f>K50*Assumptions!$C$8/1000000</f>
        <v>2.9987703945607498</v>
      </c>
      <c r="P50" s="932">
        <f>L50*Assumptions!$C$8/1000000</f>
        <v>3.1676011677745199</v>
      </c>
      <c r="Q50" s="1540">
        <f t="shared" si="5"/>
        <v>8.9963111836817156E-3</v>
      </c>
      <c r="R50" s="70">
        <f t="shared" si="6"/>
        <v>3969291737.6999998</v>
      </c>
      <c r="S50" s="70">
        <f t="shared" si="7"/>
        <v>3957419479.2622137</v>
      </c>
      <c r="T50" s="70">
        <f t="shared" si="8"/>
        <v>4180222195.9446764</v>
      </c>
      <c r="U50" s="70">
        <f t="shared" si="2"/>
        <v>-210930458.24467659</v>
      </c>
      <c r="V50" s="17">
        <f t="shared" si="9"/>
        <v>0</v>
      </c>
      <c r="W50" s="17">
        <f t="shared" si="10"/>
        <v>-210930458.24467659</v>
      </c>
    </row>
    <row r="51" spans="1:23" s="1" customFormat="1" x14ac:dyDescent="0.6">
      <c r="A51" s="60">
        <f t="shared" si="3"/>
        <v>48</v>
      </c>
      <c r="B51" s="85" t="s">
        <v>139</v>
      </c>
      <c r="C51" s="85" t="s">
        <v>1682</v>
      </c>
      <c r="D51" s="1529"/>
      <c r="E51" s="1529"/>
      <c r="F51" s="1529">
        <v>8.8900000000000007E-2</v>
      </c>
      <c r="G51" s="956">
        <v>29266512</v>
      </c>
      <c r="H51" s="897">
        <f>G51*Assumptions!$C$59/Assumptions!$C$8</f>
        <v>798858711.55200005</v>
      </c>
      <c r="I51" s="920">
        <v>8.2200000000000006</v>
      </c>
      <c r="J51" s="506">
        <f>I51/100*1000000/Assumptions!$C$58</f>
        <v>24.091441969519348</v>
      </c>
      <c r="K51" s="506">
        <f t="shared" si="12"/>
        <v>24.091441969519348</v>
      </c>
      <c r="L51" s="1422">
        <f t="shared" si="13"/>
        <v>26.233171160609619</v>
      </c>
      <c r="M51" s="931">
        <f>J51*Assumptions!$C$8/1000000</f>
        <v>3.0114302461899185</v>
      </c>
      <c r="N51" s="1664">
        <f t="shared" si="4"/>
        <v>0</v>
      </c>
      <c r="O51" s="931">
        <f>K51*Assumptions!$C$8/1000000</f>
        <v>3.0114302461899185</v>
      </c>
      <c r="P51" s="932">
        <f>L51*Assumptions!$C$8/1000000</f>
        <v>3.2791463950762023</v>
      </c>
      <c r="Q51" s="1539">
        <f t="shared" si="5"/>
        <v>0</v>
      </c>
      <c r="R51" s="70">
        <f t="shared" si="6"/>
        <v>2405707286.4000006</v>
      </c>
      <c r="S51" s="70">
        <f t="shared" si="7"/>
        <v>2405707286.4000006</v>
      </c>
      <c r="T51" s="70">
        <f t="shared" si="8"/>
        <v>2619574664.1609607</v>
      </c>
      <c r="U51" s="70">
        <f t="shared" si="2"/>
        <v>-213867377.7609601</v>
      </c>
      <c r="V51" s="17">
        <f t="shared" si="9"/>
        <v>0</v>
      </c>
      <c r="W51" s="17">
        <f t="shared" si="10"/>
        <v>-213867377.7609601</v>
      </c>
    </row>
    <row r="52" spans="1:23" s="1" customFormat="1" x14ac:dyDescent="0.6">
      <c r="A52" s="60">
        <f t="shared" si="3"/>
        <v>49</v>
      </c>
      <c r="B52" s="85" t="s">
        <v>148</v>
      </c>
      <c r="C52" s="85" t="s">
        <v>1683</v>
      </c>
      <c r="D52" s="1529">
        <v>5.74E-2</v>
      </c>
      <c r="E52" s="1529"/>
      <c r="F52" s="1529">
        <v>6.0699999999999997E-2</v>
      </c>
      <c r="G52" s="956">
        <v>7800740</v>
      </c>
      <c r="H52" s="897">
        <f>G52*Assumptions!$C$59/Assumptions!$C$8</f>
        <v>212928999.03999999</v>
      </c>
      <c r="I52" s="920">
        <v>8.61</v>
      </c>
      <c r="J52" s="506">
        <f>I52/100*1000000/Assumptions!$C$58</f>
        <v>25.234466588511136</v>
      </c>
      <c r="K52" s="506">
        <f t="shared" si="12"/>
        <v>23.864636455940172</v>
      </c>
      <c r="L52" s="1422">
        <f t="shared" si="13"/>
        <v>25.313219888815741</v>
      </c>
      <c r="M52" s="931">
        <f>J52*Assumptions!$C$8/1000000</f>
        <v>3.154308323563892</v>
      </c>
      <c r="N52" s="1664">
        <f t="shared" si="4"/>
        <v>0.17122876657137054</v>
      </c>
      <c r="O52" s="931">
        <f>K52*Assumptions!$C$8/1000000</f>
        <v>2.9830795569925215</v>
      </c>
      <c r="P52" s="932">
        <f>L52*Assumptions!$C$8/1000000</f>
        <v>3.1641524861019676</v>
      </c>
      <c r="Q52" s="1539">
        <f t="shared" si="5"/>
        <v>0.17122876657137054</v>
      </c>
      <c r="R52" s="70">
        <f t="shared" si="6"/>
        <v>671643714</v>
      </c>
      <c r="S52" s="70">
        <f t="shared" si="7"/>
        <v>635184144.12710416</v>
      </c>
      <c r="T52" s="70">
        <f t="shared" si="8"/>
        <v>673739821.67561948</v>
      </c>
      <c r="U52" s="70">
        <f t="shared" si="2"/>
        <v>-2096107.675619483</v>
      </c>
      <c r="V52" s="17">
        <f t="shared" si="9"/>
        <v>0</v>
      </c>
      <c r="W52" s="17">
        <f t="shared" si="10"/>
        <v>-2096107.675619483</v>
      </c>
    </row>
    <row r="53" spans="1:23" s="1" customFormat="1" x14ac:dyDescent="0.6">
      <c r="A53" s="60">
        <f t="shared" si="3"/>
        <v>50</v>
      </c>
      <c r="B53" s="85" t="s">
        <v>149</v>
      </c>
      <c r="C53" s="85" t="s">
        <v>1557</v>
      </c>
      <c r="D53" s="1529">
        <f>F53</f>
        <v>5.4300000000000001E-2</v>
      </c>
      <c r="E53" s="1529"/>
      <c r="F53" s="1529">
        <v>5.4300000000000001E-2</v>
      </c>
      <c r="G53" s="956">
        <v>23514103</v>
      </c>
      <c r="H53" s="897">
        <f>G53*Assumptions!$C$59/Assumptions!$C$8</f>
        <v>641840955.48800004</v>
      </c>
      <c r="I53" s="920">
        <v>10.89</v>
      </c>
      <c r="J53" s="506">
        <f>I53/100*1000000/Assumptions!$C$58</f>
        <v>31.916764361078549</v>
      </c>
      <c r="K53" s="506">
        <f t="shared" si="12"/>
        <v>30.272943527533482</v>
      </c>
      <c r="L53" s="1422">
        <f t="shared" si="13"/>
        <v>31.916764361078549</v>
      </c>
      <c r="M53" s="931">
        <f>J53*Assumptions!$C$8/1000000</f>
        <v>3.9895955451348186</v>
      </c>
      <c r="N53" s="1664">
        <f t="shared" si="4"/>
        <v>0.20547760419313343</v>
      </c>
      <c r="O53" s="931">
        <f>K53*Assumptions!$C$8/1000000</f>
        <v>3.7841179409416852</v>
      </c>
      <c r="P53" s="932">
        <f>L53*Assumptions!$C$8/1000000</f>
        <v>3.9895955451348186</v>
      </c>
      <c r="Q53" s="1539">
        <f t="shared" si="5"/>
        <v>0.20547760419313343</v>
      </c>
      <c r="R53" s="70">
        <f t="shared" si="6"/>
        <v>2560685816.7000003</v>
      </c>
      <c r="S53" s="70">
        <f t="shared" si="7"/>
        <v>2428801874.8932943</v>
      </c>
      <c r="T53" s="70">
        <f t="shared" si="8"/>
        <v>2560685816.7000003</v>
      </c>
      <c r="U53" s="70">
        <f t="shared" si="2"/>
        <v>0</v>
      </c>
      <c r="V53" s="17">
        <f t="shared" si="9"/>
        <v>0</v>
      </c>
      <c r="W53" s="17">
        <f t="shared" si="10"/>
        <v>0</v>
      </c>
    </row>
    <row r="54" spans="1:23" s="1" customFormat="1" x14ac:dyDescent="0.6">
      <c r="A54" s="60">
        <f t="shared" si="3"/>
        <v>51</v>
      </c>
      <c r="B54" s="85" t="s">
        <v>169</v>
      </c>
      <c r="C54" s="85" t="s">
        <v>1558</v>
      </c>
      <c r="D54" s="1529">
        <f>F54</f>
        <v>5.4699999999999999E-2</v>
      </c>
      <c r="E54" s="1529"/>
      <c r="F54" s="1529">
        <v>5.4699999999999999E-2</v>
      </c>
      <c r="G54" s="956">
        <v>3924590</v>
      </c>
      <c r="H54" s="897">
        <f>G54*Assumptions!$C$59/Assumptions!$C$8</f>
        <v>107125608.64</v>
      </c>
      <c r="I54" s="920">
        <v>9.1199999999999992</v>
      </c>
      <c r="J54" s="506">
        <f>I54/100*1000000/Assumptions!$C$58</f>
        <v>26.729191090269634</v>
      </c>
      <c r="K54" s="506">
        <f t="shared" si="12"/>
        <v>25.342932673053603</v>
      </c>
      <c r="L54" s="1422">
        <f t="shared" si="13"/>
        <v>26.729191090269634</v>
      </c>
      <c r="M54" s="931">
        <f>J54*Assumptions!$C$8/1000000</f>
        <v>3.3411488862837042</v>
      </c>
      <c r="N54" s="1664">
        <f t="shared" si="4"/>
        <v>0.1732823021520038</v>
      </c>
      <c r="O54" s="931">
        <f>K54*Assumptions!$C$8/1000000</f>
        <v>3.1678665841317004</v>
      </c>
      <c r="P54" s="932">
        <f>L54*Assumptions!$C$8/1000000</f>
        <v>3.3411488862837042</v>
      </c>
      <c r="Q54" s="1539">
        <f t="shared" si="5"/>
        <v>0.1732823021520038</v>
      </c>
      <c r="R54" s="70">
        <f t="shared" si="6"/>
        <v>357922607.99999994</v>
      </c>
      <c r="S54" s="70">
        <f t="shared" si="7"/>
        <v>339359635.91542619</v>
      </c>
      <c r="T54" s="70">
        <f t="shared" si="8"/>
        <v>357922607.99999994</v>
      </c>
      <c r="U54" s="70">
        <f t="shared" si="2"/>
        <v>0</v>
      </c>
      <c r="V54" s="17"/>
      <c r="W54" s="17"/>
    </row>
    <row r="55" spans="1:23" s="1" customFormat="1" x14ac:dyDescent="0.6">
      <c r="A55" s="85"/>
      <c r="B55" s="85"/>
      <c r="C55" s="85"/>
      <c r="D55" s="1529"/>
      <c r="E55" s="1529"/>
      <c r="F55" s="1534"/>
      <c r="G55" s="956"/>
      <c r="H55" s="897"/>
      <c r="I55" s="920"/>
      <c r="J55" s="506"/>
      <c r="K55" s="506"/>
      <c r="L55" s="1422"/>
      <c r="M55" s="931"/>
      <c r="N55" s="931"/>
      <c r="O55" s="931"/>
      <c r="P55" s="932"/>
      <c r="Q55" s="1539"/>
      <c r="R55" s="70"/>
      <c r="S55" s="70"/>
      <c r="T55" s="70"/>
      <c r="U55" s="85"/>
      <c r="V55" s="17"/>
      <c r="W55" s="17"/>
    </row>
    <row r="56" spans="1:23" s="1" customFormat="1" x14ac:dyDescent="0.6">
      <c r="A56" s="85"/>
      <c r="B56" s="85" t="s">
        <v>42</v>
      </c>
      <c r="C56" s="85"/>
      <c r="D56" s="1529"/>
      <c r="E56" s="1529"/>
      <c r="F56" s="1535"/>
      <c r="G56" s="956">
        <f>SUM(G4:G55)</f>
        <v>1360751527</v>
      </c>
      <c r="H56" s="897">
        <f>G56*Assumptions!$C$59/Assumptions!$C$8</f>
        <v>37143073680.991997</v>
      </c>
      <c r="I56" s="920"/>
      <c r="J56" s="506"/>
      <c r="K56" s="506"/>
      <c r="L56" s="1422"/>
      <c r="M56" s="931"/>
      <c r="N56" s="1664">
        <f>SUMPRODUCT(N4:N54,H4:H54)/SUM(H4:H54)</f>
        <v>0.28593887979953775</v>
      </c>
      <c r="O56" s="931"/>
      <c r="P56" s="932"/>
      <c r="Q56" s="1539"/>
      <c r="R56" s="593">
        <f>SUM(R4:R55)</f>
        <v>144774522596.50003</v>
      </c>
      <c r="S56" s="593">
        <f>SUM(S4:S55)</f>
        <v>134153873715.84543</v>
      </c>
      <c r="T56" s="593">
        <f>SUM(T4:T55)</f>
        <v>143879211829.71005</v>
      </c>
      <c r="U56" s="593">
        <f>SUM(U4:U55)</f>
        <v>895310766.78992808</v>
      </c>
      <c r="V56" s="593">
        <f t="shared" ref="V56:W56" si="15">SUM(V4:V55)</f>
        <v>1969502664.707124</v>
      </c>
      <c r="W56" s="593">
        <f t="shared" si="15"/>
        <v>-1074191897.9171963</v>
      </c>
    </row>
    <row r="57" spans="1:23" s="1" customFormat="1" x14ac:dyDescent="0.6">
      <c r="A57" s="85"/>
      <c r="B57" s="85"/>
      <c r="C57" s="85"/>
      <c r="D57" s="1529"/>
      <c r="E57" s="1529"/>
      <c r="F57" s="1535"/>
      <c r="G57" s="956"/>
      <c r="H57" s="897">
        <f>G57*Assumptions!$C$59/Assumptions!$C$8</f>
        <v>0</v>
      </c>
      <c r="I57" s="920"/>
      <c r="J57" s="506"/>
      <c r="K57" s="506"/>
      <c r="L57" s="1422"/>
      <c r="M57" s="931"/>
      <c r="N57" s="931"/>
      <c r="O57" s="931"/>
      <c r="P57" s="932"/>
      <c r="Q57" s="1539"/>
      <c r="R57" s="593"/>
      <c r="S57" s="593"/>
      <c r="T57" s="593"/>
      <c r="U57" s="593"/>
      <c r="V57" s="17"/>
      <c r="W57" s="17"/>
    </row>
    <row r="58" spans="1:23" ht="15.9" thickBot="1" x14ac:dyDescent="0.65">
      <c r="A58" s="243"/>
      <c r="B58" s="243"/>
      <c r="C58" s="243"/>
      <c r="D58" s="1536"/>
      <c r="E58" s="1536"/>
      <c r="F58" s="1537"/>
      <c r="G58" s="1545"/>
      <c r="H58" s="1546"/>
      <c r="I58" s="918"/>
      <c r="J58" s="617"/>
      <c r="K58" s="617"/>
      <c r="L58" s="1544"/>
      <c r="M58" s="933"/>
      <c r="N58" s="933"/>
      <c r="O58" s="933"/>
      <c r="P58" s="934"/>
      <c r="Q58" s="1541"/>
      <c r="R58" s="237"/>
      <c r="S58" s="237"/>
      <c r="T58" s="237"/>
      <c r="U58" s="237"/>
      <c r="V58" s="101"/>
    </row>
    <row r="59" spans="1:23" ht="15.9" thickTop="1" x14ac:dyDescent="0.6">
      <c r="A59" s="167"/>
      <c r="B59" s="167"/>
      <c r="C59" s="167"/>
      <c r="R59" s="156"/>
      <c r="U59" s="156"/>
    </row>
    <row r="60" spans="1:23" s="1" customFormat="1" x14ac:dyDescent="0.6">
      <c r="D60" s="174"/>
      <c r="E60" s="174"/>
      <c r="F60" s="179"/>
      <c r="G60" s="1657" t="s">
        <v>1746</v>
      </c>
      <c r="H60" s="21">
        <f>LARGE($H$4:$H$54,1)</f>
        <v>3721087948.3520002</v>
      </c>
      <c r="I60" s="920"/>
      <c r="J60" s="506"/>
      <c r="K60" s="506"/>
      <c r="L60" s="506"/>
      <c r="M60" s="1657" t="s">
        <v>1746</v>
      </c>
      <c r="N60" s="1665">
        <f>LARGE($N$4:$N$54,1)</f>
        <v>0.61743740579467499</v>
      </c>
      <c r="O60" s="1543"/>
      <c r="P60" s="506"/>
      <c r="Q60" s="156"/>
      <c r="R60" s="85"/>
      <c r="S60" s="70"/>
      <c r="T60" s="240"/>
      <c r="U60" s="240"/>
      <c r="V60" s="17"/>
      <c r="W60" s="17"/>
    </row>
    <row r="61" spans="1:23" s="1" customFormat="1" x14ac:dyDescent="0.6">
      <c r="D61" s="174"/>
      <c r="E61" s="178"/>
      <c r="F61" s="179"/>
      <c r="G61" s="1657" t="s">
        <v>1744</v>
      </c>
      <c r="H61" s="21">
        <f>LARGE($H$4:$H$54,2)</f>
        <v>3231412202.5279999</v>
      </c>
      <c r="I61" s="920"/>
      <c r="J61" s="506"/>
      <c r="K61" s="506"/>
      <c r="L61" s="506"/>
      <c r="M61" s="1657" t="s">
        <v>1744</v>
      </c>
      <c r="N61" s="1665">
        <f>LARGE($N$4:$N$54,2)</f>
        <v>0.57169859121346356</v>
      </c>
      <c r="O61" s="506"/>
      <c r="P61" s="506"/>
      <c r="Q61" s="85"/>
      <c r="R61" s="85"/>
      <c r="S61" s="85"/>
      <c r="T61" s="85"/>
      <c r="U61" s="240" t="s">
        <v>504</v>
      </c>
      <c r="V61" s="70"/>
      <c r="W61" s="17"/>
    </row>
    <row r="62" spans="1:23" s="1" customFormat="1" x14ac:dyDescent="0.6">
      <c r="D62" s="174"/>
      <c r="E62" s="178"/>
      <c r="F62" s="179"/>
      <c r="G62" s="1657" t="s">
        <v>1745</v>
      </c>
      <c r="H62" s="21">
        <f>LARGE($H$4:$H$54,3)</f>
        <v>2616241104.0960002</v>
      </c>
      <c r="I62" s="920"/>
      <c r="J62" s="506"/>
      <c r="K62" s="506"/>
      <c r="L62" s="506"/>
      <c r="M62" s="1657" t="s">
        <v>1745</v>
      </c>
      <c r="N62" s="1665">
        <f>LARGE($N$4:$N$54,3)</f>
        <v>0.53090289506626664</v>
      </c>
      <c r="O62" s="506"/>
      <c r="P62" s="506"/>
      <c r="Q62" s="85"/>
      <c r="R62" s="85"/>
      <c r="S62" s="70" t="s">
        <v>26</v>
      </c>
      <c r="T62" s="70">
        <f>R56-S56</f>
        <v>10620648880.654602</v>
      </c>
      <c r="U62" s="881">
        <f>(R56-S56)/H56</f>
        <v>0.2859388797995393</v>
      </c>
      <c r="V62" s="70"/>
      <c r="W62" s="17"/>
    </row>
    <row r="63" spans="1:23" s="1" customFormat="1" x14ac:dyDescent="0.6">
      <c r="D63" s="174"/>
      <c r="E63" s="178"/>
      <c r="F63" s="179"/>
      <c r="G63" s="828"/>
      <c r="H63" s="70"/>
      <c r="I63" s="920"/>
      <c r="J63" s="506"/>
      <c r="K63" s="506"/>
      <c r="L63" s="506"/>
      <c r="M63" s="506"/>
      <c r="N63" s="506"/>
      <c r="O63" s="506"/>
      <c r="P63" s="506"/>
      <c r="Q63" s="85"/>
      <c r="R63" s="85"/>
      <c r="S63" s="70" t="s">
        <v>654</v>
      </c>
      <c r="T63" s="70">
        <f>T56-S56</f>
        <v>9725338113.864624</v>
      </c>
      <c r="U63" s="881">
        <f>(T56-S56)/H56</f>
        <v>0.26183449968066524</v>
      </c>
      <c r="V63" s="70"/>
      <c r="W63" s="17"/>
    </row>
    <row r="64" spans="1:23" s="1" customFormat="1" x14ac:dyDescent="0.6">
      <c r="D64" s="174"/>
      <c r="E64" s="178"/>
      <c r="F64" s="179"/>
      <c r="G64" s="828"/>
      <c r="H64" s="506"/>
      <c r="I64" s="920"/>
      <c r="J64" s="506"/>
      <c r="K64" s="506"/>
      <c r="L64" s="506"/>
      <c r="M64" s="506"/>
      <c r="N64" s="506"/>
      <c r="O64" s="506"/>
      <c r="P64" s="506"/>
      <c r="Q64" s="85"/>
      <c r="R64" s="85"/>
      <c r="S64" s="70" t="s">
        <v>602</v>
      </c>
      <c r="T64" s="70">
        <f>T62-T63</f>
        <v>895310766.78997803</v>
      </c>
      <c r="U64" s="881">
        <f>U62-U63</f>
        <v>2.4104380118874058E-2</v>
      </c>
      <c r="V64" s="70"/>
      <c r="W64" s="17"/>
    </row>
    <row r="65" spans="4:23" s="1" customFormat="1" x14ac:dyDescent="0.6">
      <c r="D65" s="174"/>
      <c r="E65" s="178"/>
      <c r="F65" s="179"/>
      <c r="G65" s="828"/>
      <c r="H65" s="1447"/>
      <c r="I65" s="920"/>
      <c r="J65" s="506"/>
      <c r="K65" s="506"/>
      <c r="L65" s="506"/>
      <c r="M65" s="506"/>
      <c r="N65" s="506"/>
      <c r="O65" s="506"/>
      <c r="P65" s="506"/>
      <c r="Q65" s="156"/>
      <c r="R65" s="85"/>
      <c r="S65" s="70"/>
      <c r="T65" s="85"/>
      <c r="U65" s="70"/>
      <c r="V65" s="70"/>
      <c r="W65" s="17"/>
    </row>
    <row r="66" spans="4:23" s="1" customFormat="1" x14ac:dyDescent="0.6">
      <c r="D66" s="85"/>
      <c r="E66" s="178"/>
      <c r="F66" s="85"/>
      <c r="G66" s="828"/>
      <c r="H66" s="828"/>
      <c r="I66" s="920"/>
      <c r="J66" s="506"/>
      <c r="K66" s="506"/>
      <c r="L66" s="506"/>
      <c r="M66" s="506"/>
      <c r="N66" s="506"/>
      <c r="O66" s="506"/>
      <c r="P66" s="506"/>
      <c r="Q66" s="156"/>
      <c r="R66" s="85"/>
      <c r="S66" s="70" t="s">
        <v>686</v>
      </c>
      <c r="T66" s="85"/>
      <c r="U66" s="506">
        <f>S56/H56</f>
        <v>3.6118140051640046</v>
      </c>
      <c r="V66" s="70"/>
      <c r="W66" s="17"/>
    </row>
    <row r="67" spans="4:23" s="1" customFormat="1" x14ac:dyDescent="0.6">
      <c r="D67" s="85"/>
      <c r="E67" s="178"/>
      <c r="F67" s="85"/>
      <c r="G67" s="828"/>
      <c r="H67" s="828"/>
      <c r="I67" s="920"/>
      <c r="J67" s="506"/>
      <c r="K67" s="506"/>
      <c r="L67" s="506"/>
      <c r="M67" s="506"/>
      <c r="N67" s="506"/>
      <c r="O67" s="506"/>
      <c r="P67" s="506"/>
      <c r="Q67" s="156"/>
      <c r="R67" s="85"/>
      <c r="S67" s="70" t="s">
        <v>645</v>
      </c>
      <c r="T67" s="85"/>
      <c r="U67" s="506">
        <f>R56/H56</f>
        <v>3.8977528849635439</v>
      </c>
      <c r="V67" s="70"/>
      <c r="W67" s="17"/>
    </row>
    <row r="68" spans="4:23" s="1" customFormat="1" x14ac:dyDescent="0.6">
      <c r="D68" s="85"/>
      <c r="E68" s="178"/>
      <c r="F68" s="85"/>
      <c r="G68" s="828"/>
      <c r="H68" s="828"/>
      <c r="I68" s="920"/>
      <c r="J68" s="506"/>
      <c r="K68" s="506"/>
      <c r="L68" s="506"/>
      <c r="M68" s="506"/>
      <c r="N68" s="506"/>
      <c r="O68" s="506"/>
      <c r="P68" s="506"/>
      <c r="Q68" s="156"/>
      <c r="R68" s="85"/>
      <c r="S68" s="70"/>
      <c r="T68" s="70"/>
      <c r="U68" s="85"/>
      <c r="V68" s="70"/>
      <c r="W68" s="17"/>
    </row>
    <row r="69" spans="4:23" s="1" customFormat="1" x14ac:dyDescent="0.6">
      <c r="D69" s="85"/>
      <c r="E69" s="178"/>
      <c r="F69" s="85"/>
      <c r="G69" s="828"/>
      <c r="H69" s="828"/>
      <c r="I69" s="920"/>
      <c r="J69" s="506"/>
      <c r="K69" s="506"/>
      <c r="L69" s="506"/>
      <c r="M69" s="506"/>
      <c r="N69" s="506"/>
      <c r="O69" s="506"/>
      <c r="P69" s="506"/>
      <c r="Q69" s="85"/>
      <c r="R69" s="85"/>
      <c r="S69" s="17"/>
      <c r="T69" s="1" t="s">
        <v>1746</v>
      </c>
      <c r="U69" s="17">
        <f>LARGE(U6:U54,1)</f>
        <v>875822735.09110165</v>
      </c>
      <c r="V69" s="109"/>
      <c r="W69" s="17"/>
    </row>
    <row r="70" spans="4:23" s="1" customFormat="1" x14ac:dyDescent="0.6">
      <c r="D70" s="85"/>
      <c r="E70" s="178"/>
      <c r="F70" s="85"/>
      <c r="G70" s="828"/>
      <c r="H70" s="828"/>
      <c r="I70" s="920"/>
      <c r="J70" s="506"/>
      <c r="K70" s="506"/>
      <c r="L70" s="506"/>
      <c r="M70" s="506"/>
      <c r="N70" s="506"/>
      <c r="O70" s="506"/>
      <c r="P70" s="506"/>
      <c r="Q70" s="85"/>
      <c r="R70" s="85"/>
      <c r="T70" s="1" t="s">
        <v>1744</v>
      </c>
      <c r="U70" s="70">
        <f>LARGE(U6:U54,2)</f>
        <v>591907780.99003601</v>
      </c>
      <c r="V70" s="17"/>
      <c r="W70" s="17"/>
    </row>
    <row r="71" spans="4:23" s="1" customFormat="1" x14ac:dyDescent="0.6">
      <c r="D71" s="85"/>
      <c r="E71" s="178"/>
      <c r="F71" s="85"/>
      <c r="G71" s="828"/>
      <c r="H71" s="828"/>
      <c r="I71" s="920"/>
      <c r="J71" s="506"/>
      <c r="K71" s="506"/>
      <c r="L71" s="506"/>
      <c r="M71" s="506"/>
      <c r="N71" s="506"/>
      <c r="O71" s="506"/>
      <c r="P71" s="506"/>
      <c r="Q71" s="85"/>
      <c r="R71" s="85"/>
      <c r="T71" s="1" t="s">
        <v>1745</v>
      </c>
      <c r="U71" s="70">
        <f>LARGE(U6:U54,3)</f>
        <v>147758718.39036751</v>
      </c>
      <c r="V71" s="17"/>
      <c r="W71" s="17"/>
    </row>
    <row r="72" spans="4:23" s="1" customFormat="1" x14ac:dyDescent="0.6">
      <c r="D72" s="85"/>
      <c r="E72" s="178"/>
      <c r="F72" s="85"/>
      <c r="G72" s="828"/>
      <c r="H72" s="828"/>
      <c r="I72" s="920"/>
      <c r="J72" s="506"/>
      <c r="K72" s="506"/>
      <c r="L72" s="506"/>
      <c r="M72" s="506"/>
      <c r="N72" s="506"/>
      <c r="O72" s="506"/>
      <c r="P72" s="506"/>
      <c r="Q72" s="85"/>
      <c r="R72" s="85"/>
      <c r="U72" s="70"/>
      <c r="V72" s="17"/>
      <c r="W72" s="17"/>
    </row>
    <row r="73" spans="4:23" s="1" customFormat="1" x14ac:dyDescent="0.6">
      <c r="D73" s="85"/>
      <c r="E73" s="178"/>
      <c r="F73" s="85"/>
      <c r="G73" s="828"/>
      <c r="H73" s="828"/>
      <c r="I73" s="920"/>
      <c r="J73" s="506"/>
      <c r="K73" s="506"/>
      <c r="L73" s="506"/>
      <c r="M73" s="506"/>
      <c r="N73" s="506"/>
      <c r="O73" s="506"/>
      <c r="P73" s="506"/>
      <c r="Q73" s="85"/>
      <c r="R73" s="85"/>
      <c r="T73" s="1" t="s">
        <v>1750</v>
      </c>
      <c r="U73" s="70">
        <f>SMALL($U$4:$U$54,1)</f>
        <v>-336921912.2730999</v>
      </c>
      <c r="W73" s="17"/>
    </row>
    <row r="74" spans="4:23" s="1" customFormat="1" x14ac:dyDescent="0.6">
      <c r="D74" s="174"/>
      <c r="E74" s="174"/>
      <c r="F74" s="179"/>
      <c r="G74" s="21"/>
      <c r="H74" s="21"/>
      <c r="I74" s="920"/>
      <c r="J74" s="506"/>
      <c r="K74" s="506"/>
      <c r="L74" s="506"/>
      <c r="M74" s="506"/>
      <c r="N74" s="506"/>
      <c r="O74" s="506"/>
      <c r="P74" s="506"/>
      <c r="Q74" s="156"/>
      <c r="R74" s="70"/>
      <c r="T74" s="1" t="s">
        <v>1744</v>
      </c>
      <c r="U74" s="70">
        <f>SMALL($U$4:$U$54,2)</f>
        <v>-213867377.7609601</v>
      </c>
      <c r="W74" s="17"/>
    </row>
    <row r="75" spans="4:23" s="1" customFormat="1" x14ac:dyDescent="0.6">
      <c r="D75" s="174"/>
      <c r="E75" s="174"/>
      <c r="F75" s="179"/>
      <c r="G75" s="21"/>
      <c r="H75" s="21"/>
      <c r="I75" s="920"/>
      <c r="J75" s="506"/>
      <c r="K75" s="506"/>
      <c r="L75" s="506"/>
      <c r="M75" s="506"/>
      <c r="N75" s="506"/>
      <c r="O75" s="506"/>
      <c r="P75" s="506"/>
      <c r="Q75" s="156"/>
      <c r="R75" s="70"/>
      <c r="S75" s="70"/>
      <c r="T75" s="70" t="s">
        <v>1745</v>
      </c>
      <c r="U75" s="70">
        <f>SMALL($U$4:$U$54,3)</f>
        <v>-210930458.24467659</v>
      </c>
      <c r="V75" s="17"/>
      <c r="W75" s="17"/>
    </row>
    <row r="76" spans="4:23" s="1" customFormat="1" x14ac:dyDescent="0.6">
      <c r="D76" s="174"/>
      <c r="E76" s="174"/>
      <c r="F76" s="179"/>
      <c r="G76" s="21"/>
      <c r="H76" s="21"/>
      <c r="I76" s="920"/>
      <c r="J76" s="506"/>
      <c r="K76" s="506"/>
      <c r="L76" s="506"/>
      <c r="M76" s="1543"/>
      <c r="N76" s="1543"/>
      <c r="O76" s="1543"/>
      <c r="P76" s="506"/>
      <c r="Q76" s="156"/>
      <c r="R76" s="70"/>
      <c r="S76" s="70"/>
      <c r="T76" s="70"/>
      <c r="U76" s="891"/>
      <c r="V76" s="17"/>
      <c r="W76" s="17"/>
    </row>
    <row r="77" spans="4:23" s="1" customFormat="1" x14ac:dyDescent="0.6">
      <c r="D77" s="174"/>
      <c r="E77" s="174"/>
      <c r="F77" s="179"/>
      <c r="G77" s="21"/>
      <c r="H77" s="21"/>
      <c r="I77" s="920"/>
      <c r="J77" s="506"/>
      <c r="K77" s="506"/>
      <c r="L77" s="506"/>
      <c r="M77" s="1543"/>
      <c r="N77" s="1543"/>
      <c r="O77" s="1543"/>
      <c r="P77" s="506"/>
      <c r="Q77" s="156"/>
      <c r="R77" s="70"/>
      <c r="S77" s="70"/>
      <c r="T77" s="70"/>
      <c r="U77" s="891"/>
      <c r="V77" s="17"/>
      <c r="W77" s="17"/>
    </row>
    <row r="78" spans="4:23" s="1" customFormat="1" x14ac:dyDescent="0.6">
      <c r="D78" s="174"/>
      <c r="E78" s="174"/>
      <c r="F78" s="179"/>
      <c r="G78" s="21"/>
      <c r="H78" s="21"/>
      <c r="I78" s="920"/>
      <c r="J78" s="506"/>
      <c r="K78" s="506"/>
      <c r="L78" s="506"/>
      <c r="M78" s="1543"/>
      <c r="N78" s="1543"/>
      <c r="O78" s="1543"/>
      <c r="P78" s="506"/>
      <c r="Q78" s="156"/>
      <c r="R78" s="70"/>
      <c r="S78" s="70"/>
      <c r="T78" s="1" t="s">
        <v>852</v>
      </c>
      <c r="U78" s="891">
        <f>V56</f>
        <v>1969502664.707124</v>
      </c>
      <c r="V78" s="929">
        <f>COUNTIF(V6:V56,"&gt;0")</f>
        <v>12</v>
      </c>
      <c r="W78" s="17"/>
    </row>
    <row r="79" spans="4:23" s="1" customFormat="1" x14ac:dyDescent="0.6">
      <c r="D79" s="174"/>
      <c r="E79" s="174"/>
      <c r="F79" s="179"/>
      <c r="G79" s="21"/>
      <c r="H79" s="21"/>
      <c r="I79" s="920"/>
      <c r="J79" s="506"/>
      <c r="K79" s="506"/>
      <c r="L79" s="506"/>
      <c r="M79" s="1543"/>
      <c r="N79" s="1543"/>
      <c r="O79" s="1543"/>
      <c r="P79" s="506"/>
      <c r="Q79" s="156"/>
      <c r="R79" s="70"/>
      <c r="S79" s="70"/>
      <c r="T79" s="1" t="s">
        <v>853</v>
      </c>
      <c r="U79" s="891">
        <f>W56</f>
        <v>-1074191897.9171963</v>
      </c>
      <c r="V79" s="929">
        <f>COUNTIF(W4:W53,"&lt;0")</f>
        <v>11</v>
      </c>
      <c r="W79" s="17"/>
    </row>
    <row r="80" spans="4:23" s="1" customFormat="1" x14ac:dyDescent="0.6">
      <c r="D80" s="174"/>
      <c r="E80" s="174"/>
      <c r="F80" s="179"/>
      <c r="G80" s="21"/>
      <c r="H80" s="21"/>
      <c r="I80" s="920"/>
      <c r="J80" s="506"/>
      <c r="K80" s="506"/>
      <c r="L80" s="506"/>
      <c r="M80" s="1543"/>
      <c r="N80" s="1543"/>
      <c r="O80" s="1543"/>
      <c r="P80" s="506"/>
      <c r="Q80" s="156"/>
      <c r="R80" s="70"/>
      <c r="S80" s="70"/>
      <c r="T80" s="70"/>
      <c r="U80" s="85"/>
      <c r="V80" s="17"/>
      <c r="W80" s="17"/>
    </row>
    <row r="81" spans="4:23" s="1" customFormat="1" x14ac:dyDescent="0.6">
      <c r="D81" s="174"/>
      <c r="E81" s="174"/>
      <c r="F81" s="179"/>
      <c r="G81" s="21"/>
      <c r="H81" s="21"/>
      <c r="I81" s="920"/>
      <c r="J81" s="506"/>
      <c r="K81" s="506"/>
      <c r="L81" s="506"/>
      <c r="M81" s="1543"/>
      <c r="N81" s="1543"/>
      <c r="O81" s="1543"/>
      <c r="P81" s="506"/>
      <c r="Q81" s="156"/>
      <c r="R81" s="70"/>
      <c r="S81" s="70"/>
      <c r="T81" s="70"/>
      <c r="U81" s="85"/>
      <c r="V81" s="17"/>
      <c r="W81" s="17"/>
    </row>
    <row r="82" spans="4:23" s="1" customFormat="1" x14ac:dyDescent="0.6">
      <c r="D82" s="174"/>
      <c r="E82" s="174"/>
      <c r="F82" s="179"/>
      <c r="G82" s="21"/>
      <c r="H82" s="21"/>
      <c r="I82" s="920"/>
      <c r="J82" s="506"/>
      <c r="K82" s="506"/>
      <c r="L82" s="506"/>
      <c r="M82" s="1543"/>
      <c r="N82" s="1543"/>
      <c r="O82" s="1543"/>
      <c r="P82" s="506"/>
      <c r="Q82" s="156"/>
      <c r="R82" s="70"/>
      <c r="S82" s="70"/>
      <c r="T82" s="70"/>
      <c r="U82" s="85"/>
      <c r="V82" s="17"/>
      <c r="W82" s="17"/>
    </row>
    <row r="83" spans="4:23" s="1" customFormat="1" x14ac:dyDescent="0.6">
      <c r="D83" s="174"/>
      <c r="E83" s="174"/>
      <c r="F83" s="179"/>
      <c r="G83" s="21"/>
      <c r="H83" s="21"/>
      <c r="I83" s="920"/>
      <c r="J83" s="506"/>
      <c r="K83" s="506"/>
      <c r="L83" s="506"/>
      <c r="M83" s="1543"/>
      <c r="N83" s="1543"/>
      <c r="O83" s="1543"/>
      <c r="P83" s="506"/>
      <c r="Q83" s="156"/>
      <c r="R83" s="70"/>
      <c r="S83" s="70"/>
      <c r="T83" s="70"/>
      <c r="U83" s="85"/>
      <c r="V83" s="17"/>
      <c r="W83" s="17"/>
    </row>
    <row r="84" spans="4:23" s="1" customFormat="1" x14ac:dyDescent="0.6">
      <c r="D84" s="85"/>
      <c r="E84" s="85"/>
      <c r="F84" s="85"/>
      <c r="G84" s="828"/>
      <c r="H84" s="828"/>
      <c r="I84" s="920"/>
      <c r="J84" s="506"/>
      <c r="K84" s="506"/>
      <c r="L84" s="506"/>
      <c r="M84" s="1543"/>
      <c r="N84" s="1543"/>
      <c r="O84" s="1543"/>
      <c r="P84" s="506"/>
      <c r="Q84" s="85"/>
      <c r="R84" s="85"/>
      <c r="S84" s="85"/>
      <c r="T84" s="85"/>
      <c r="U84" s="85"/>
      <c r="V84" s="17"/>
      <c r="W84" s="17"/>
    </row>
    <row r="85" spans="4:23" s="1" customFormat="1" x14ac:dyDescent="0.6">
      <c r="D85" s="85"/>
      <c r="E85" s="85"/>
      <c r="F85" s="85"/>
      <c r="G85" s="828"/>
      <c r="H85" s="828"/>
      <c r="I85" s="920"/>
      <c r="J85" s="506"/>
      <c r="K85" s="506"/>
      <c r="L85" s="506"/>
      <c r="M85" s="1543"/>
      <c r="N85" s="1543"/>
      <c r="O85" s="1543"/>
      <c r="P85" s="506"/>
      <c r="Q85" s="85"/>
      <c r="R85" s="85"/>
      <c r="S85" s="85"/>
      <c r="T85" s="85"/>
      <c r="U85" s="85"/>
      <c r="V85" s="17"/>
      <c r="W85" s="17"/>
    </row>
    <row r="86" spans="4:23" s="1" customFormat="1" x14ac:dyDescent="0.6">
      <c r="D86" s="174"/>
      <c r="E86" s="174"/>
      <c r="F86" s="179"/>
      <c r="G86" s="21"/>
      <c r="H86" s="21"/>
      <c r="I86" s="920"/>
      <c r="J86" s="506"/>
      <c r="K86" s="506"/>
      <c r="L86" s="506"/>
      <c r="M86" s="1543"/>
      <c r="N86" s="1543"/>
      <c r="O86" s="1543"/>
      <c r="P86" s="506"/>
      <c r="Q86" s="156"/>
      <c r="R86" s="70"/>
      <c r="S86" s="70"/>
      <c r="T86" s="70"/>
      <c r="U86" s="85"/>
      <c r="V86" s="17"/>
      <c r="W86" s="17"/>
    </row>
    <row r="87" spans="4:23" s="1" customFormat="1" x14ac:dyDescent="0.6">
      <c r="D87" s="174"/>
      <c r="E87" s="174"/>
      <c r="F87" s="179"/>
      <c r="G87" s="21"/>
      <c r="H87" s="21"/>
      <c r="I87" s="920"/>
      <c r="J87" s="506"/>
      <c r="K87" s="506"/>
      <c r="L87" s="506"/>
      <c r="M87" s="506"/>
      <c r="N87" s="506"/>
      <c r="O87" s="506"/>
      <c r="P87" s="506"/>
      <c r="Q87" s="156"/>
      <c r="R87" s="70"/>
      <c r="S87" s="70"/>
      <c r="T87" s="70"/>
      <c r="U87" s="85"/>
      <c r="V87" s="17"/>
      <c r="W87" s="17"/>
    </row>
    <row r="88" spans="4:23" s="1" customFormat="1" x14ac:dyDescent="0.6">
      <c r="D88" s="174"/>
      <c r="E88" s="174"/>
      <c r="F88" s="179"/>
      <c r="G88" s="21"/>
      <c r="H88" s="21"/>
      <c r="I88" s="920"/>
      <c r="J88" s="506"/>
      <c r="K88" s="506"/>
      <c r="L88" s="506"/>
      <c r="M88" s="506"/>
      <c r="N88" s="506"/>
      <c r="O88" s="506"/>
      <c r="P88" s="506"/>
      <c r="Q88" s="156"/>
      <c r="R88" s="70"/>
      <c r="S88" s="70"/>
      <c r="T88" s="70"/>
      <c r="U88" s="85"/>
      <c r="V88" s="17"/>
      <c r="W88" s="17"/>
    </row>
    <row r="89" spans="4:23" s="1" customFormat="1" x14ac:dyDescent="0.6">
      <c r="D89" s="174"/>
      <c r="E89" s="174"/>
      <c r="F89" s="179"/>
      <c r="G89" s="21"/>
      <c r="H89" s="21"/>
      <c r="I89" s="920"/>
      <c r="J89" s="506"/>
      <c r="K89" s="821"/>
      <c r="L89" s="506"/>
      <c r="M89" s="506"/>
      <c r="N89" s="506"/>
      <c r="O89" s="506"/>
      <c r="P89" s="506"/>
      <c r="Q89" s="156"/>
      <c r="R89" s="70"/>
      <c r="S89" s="70"/>
      <c r="T89" s="70"/>
      <c r="U89" s="85"/>
      <c r="V89" s="17"/>
      <c r="W89" s="17"/>
    </row>
    <row r="90" spans="4:23" s="1" customFormat="1" x14ac:dyDescent="0.6">
      <c r="D90" s="174"/>
      <c r="E90" s="174"/>
      <c r="F90" s="179"/>
      <c r="G90" s="21"/>
      <c r="H90" s="21"/>
      <c r="I90" s="920"/>
      <c r="J90" s="506"/>
      <c r="K90" s="821"/>
      <c r="L90" s="506"/>
      <c r="M90" s="506"/>
      <c r="N90" s="506"/>
      <c r="O90" s="506"/>
      <c r="P90" s="506"/>
      <c r="Q90" s="156"/>
      <c r="R90" s="70"/>
      <c r="S90" s="70"/>
      <c r="T90" s="70"/>
      <c r="U90" s="85"/>
      <c r="V90" s="17"/>
      <c r="W90" s="17"/>
    </row>
    <row r="91" spans="4:23" s="1" customFormat="1" x14ac:dyDescent="0.6">
      <c r="D91" s="174"/>
      <c r="E91" s="174"/>
      <c r="F91" s="179"/>
      <c r="G91" s="21"/>
      <c r="H91" s="21"/>
      <c r="I91" s="920"/>
      <c r="J91" s="506"/>
      <c r="K91" s="821"/>
      <c r="L91" s="506"/>
      <c r="M91" s="506"/>
      <c r="N91" s="506"/>
      <c r="O91" s="506"/>
      <c r="P91" s="506"/>
      <c r="Q91" s="156"/>
      <c r="R91" s="70"/>
      <c r="S91" s="70"/>
      <c r="T91" s="70"/>
      <c r="U91" s="85"/>
      <c r="V91" s="17"/>
      <c r="W91" s="17"/>
    </row>
    <row r="92" spans="4:23" s="1" customFormat="1" x14ac:dyDescent="0.6">
      <c r="D92" s="174"/>
      <c r="E92" s="174"/>
      <c r="F92" s="179"/>
      <c r="G92" s="21"/>
      <c r="H92" s="21"/>
      <c r="I92" s="920"/>
      <c r="J92" s="506"/>
      <c r="K92" s="331"/>
      <c r="L92" s="506"/>
      <c r="M92" s="506"/>
      <c r="N92" s="506"/>
      <c r="O92" s="506"/>
      <c r="P92" s="506"/>
      <c r="Q92" s="21"/>
      <c r="R92" s="70"/>
      <c r="S92" s="70"/>
      <c r="T92" s="70"/>
      <c r="U92" s="85"/>
      <c r="V92" s="17"/>
      <c r="W92" s="17"/>
    </row>
    <row r="93" spans="4:23" s="1" customFormat="1" x14ac:dyDescent="0.6">
      <c r="D93" s="174"/>
      <c r="E93" s="174"/>
      <c r="F93" s="179"/>
      <c r="G93" s="21"/>
      <c r="H93" s="21"/>
      <c r="I93" s="920"/>
      <c r="J93" s="506"/>
      <c r="K93" s="506"/>
      <c r="L93" s="506"/>
      <c r="M93" s="506"/>
      <c r="N93" s="506"/>
      <c r="O93" s="506"/>
      <c r="P93" s="506"/>
      <c r="Q93" s="156"/>
      <c r="R93" s="70"/>
      <c r="S93" s="70"/>
      <c r="T93" s="70"/>
      <c r="U93" s="85"/>
      <c r="V93" s="17"/>
      <c r="W93" s="17"/>
    </row>
    <row r="94" spans="4:23" s="1" customFormat="1" x14ac:dyDescent="0.6">
      <c r="D94" s="174"/>
      <c r="E94" s="174"/>
      <c r="F94" s="179"/>
      <c r="G94" s="21"/>
      <c r="H94" s="21"/>
      <c r="I94" s="920"/>
      <c r="J94" s="506"/>
      <c r="K94" s="331"/>
      <c r="L94" s="506"/>
      <c r="M94" s="506"/>
      <c r="N94" s="506"/>
      <c r="O94" s="506"/>
      <c r="P94" s="506"/>
      <c r="Q94" s="156"/>
      <c r="R94" s="70"/>
      <c r="S94" s="70"/>
      <c r="T94" s="70"/>
      <c r="U94" s="85"/>
      <c r="V94" s="17"/>
      <c r="W94" s="17"/>
    </row>
    <row r="95" spans="4:23" s="1" customFormat="1" x14ac:dyDescent="0.6">
      <c r="D95" s="174"/>
      <c r="E95" s="174"/>
      <c r="F95" s="179"/>
      <c r="G95" s="21"/>
      <c r="H95" s="21"/>
      <c r="I95" s="920"/>
      <c r="J95" s="506"/>
      <c r="K95" s="821"/>
      <c r="L95" s="506"/>
      <c r="M95" s="506"/>
      <c r="N95" s="506"/>
      <c r="O95" s="506"/>
      <c r="P95" s="506"/>
      <c r="Q95" s="156"/>
      <c r="R95" s="70"/>
      <c r="S95" s="70"/>
      <c r="T95" s="70"/>
      <c r="U95" s="85"/>
      <c r="V95" s="17"/>
      <c r="W95" s="17"/>
    </row>
    <row r="96" spans="4:23" s="1" customFormat="1" x14ac:dyDescent="0.6">
      <c r="D96" s="174"/>
      <c r="E96" s="174"/>
      <c r="F96" s="179"/>
      <c r="G96" s="21"/>
      <c r="H96" s="21"/>
      <c r="I96" s="920"/>
      <c r="J96" s="506"/>
      <c r="K96" s="506"/>
      <c r="L96" s="506"/>
      <c r="M96" s="506"/>
      <c r="N96" s="506"/>
      <c r="O96" s="506"/>
      <c r="P96" s="506"/>
      <c r="Q96" s="156"/>
      <c r="R96" s="70"/>
      <c r="S96" s="70"/>
      <c r="T96" s="70"/>
      <c r="U96" s="85"/>
      <c r="V96" s="17"/>
      <c r="W96" s="17"/>
    </row>
    <row r="97" spans="4:23" s="1" customFormat="1" x14ac:dyDescent="0.6">
      <c r="D97" s="174"/>
      <c r="E97" s="174"/>
      <c r="F97" s="179"/>
      <c r="G97" s="21"/>
      <c r="H97" s="21"/>
      <c r="I97" s="920"/>
      <c r="J97" s="506"/>
      <c r="K97" s="506"/>
      <c r="L97" s="506"/>
      <c r="M97" s="506"/>
      <c r="N97" s="506"/>
      <c r="O97" s="506"/>
      <c r="P97" s="506"/>
      <c r="Q97" s="156"/>
      <c r="R97" s="70"/>
      <c r="S97" s="70"/>
      <c r="T97" s="70"/>
      <c r="U97" s="85"/>
      <c r="V97" s="17"/>
      <c r="W97" s="17"/>
    </row>
    <row r="98" spans="4:23" s="1" customFormat="1" x14ac:dyDescent="0.6">
      <c r="D98" s="174"/>
      <c r="E98" s="174"/>
      <c r="F98" s="179"/>
      <c r="G98" s="21"/>
      <c r="H98" s="21"/>
      <c r="I98" s="920"/>
      <c r="J98" s="506"/>
      <c r="K98" s="506"/>
      <c r="L98" s="506"/>
      <c r="M98" s="506"/>
      <c r="N98" s="506"/>
      <c r="O98" s="506"/>
      <c r="P98" s="506"/>
      <c r="Q98" s="156"/>
      <c r="R98" s="70"/>
      <c r="S98" s="70"/>
      <c r="T98" s="70"/>
      <c r="U98" s="85"/>
      <c r="V98" s="17"/>
      <c r="W98" s="17"/>
    </row>
    <row r="99" spans="4:23" s="1" customFormat="1" x14ac:dyDescent="0.6">
      <c r="D99" s="174"/>
      <c r="E99" s="174"/>
      <c r="F99" s="179"/>
      <c r="G99" s="21"/>
      <c r="H99" s="21"/>
      <c r="I99" s="920"/>
      <c r="J99" s="506"/>
      <c r="K99" s="506"/>
      <c r="L99" s="506"/>
      <c r="M99" s="506"/>
      <c r="N99" s="506"/>
      <c r="O99" s="506"/>
      <c r="P99" s="506"/>
      <c r="Q99" s="156"/>
      <c r="R99" s="70"/>
      <c r="S99" s="70"/>
      <c r="T99" s="70"/>
      <c r="U99" s="85"/>
      <c r="V99" s="17"/>
      <c r="W99" s="17"/>
    </row>
    <row r="100" spans="4:23" s="1" customFormat="1" x14ac:dyDescent="0.6">
      <c r="D100" s="174"/>
      <c r="E100" s="174"/>
      <c r="F100" s="179"/>
      <c r="G100" s="21"/>
      <c r="H100" s="21"/>
      <c r="I100" s="920"/>
      <c r="J100" s="506"/>
      <c r="K100" s="506"/>
      <c r="L100" s="506"/>
      <c r="M100" s="506"/>
      <c r="N100" s="506"/>
      <c r="O100" s="506"/>
      <c r="P100" s="506"/>
      <c r="Q100" s="156"/>
      <c r="R100" s="70"/>
      <c r="S100" s="70"/>
      <c r="T100" s="70"/>
      <c r="U100" s="85"/>
      <c r="V100" s="17"/>
      <c r="W100" s="17"/>
    </row>
    <row r="101" spans="4:23" s="1" customFormat="1" x14ac:dyDescent="0.6">
      <c r="D101" s="174"/>
      <c r="E101" s="174"/>
      <c r="F101" s="179"/>
      <c r="G101" s="21"/>
      <c r="H101" s="21"/>
      <c r="I101" s="920"/>
      <c r="J101" s="506"/>
      <c r="K101" s="506"/>
      <c r="L101" s="506"/>
      <c r="M101" s="506"/>
      <c r="N101" s="506"/>
      <c r="O101" s="506"/>
      <c r="P101" s="506"/>
      <c r="Q101" s="156"/>
      <c r="R101" s="70"/>
      <c r="S101" s="70"/>
      <c r="T101" s="70"/>
      <c r="U101" s="85"/>
      <c r="V101" s="17"/>
      <c r="W101" s="17"/>
    </row>
    <row r="102" spans="4:23" s="1" customFormat="1" x14ac:dyDescent="0.6">
      <c r="D102" s="174"/>
      <c r="E102" s="174"/>
      <c r="F102" s="179"/>
      <c r="G102" s="21"/>
      <c r="H102" s="21"/>
      <c r="I102" s="920"/>
      <c r="J102" s="506"/>
      <c r="K102" s="506"/>
      <c r="L102" s="506"/>
      <c r="M102" s="506"/>
      <c r="N102" s="506"/>
      <c r="O102" s="506"/>
      <c r="P102" s="506"/>
      <c r="Q102" s="156"/>
      <c r="R102" s="70"/>
      <c r="S102" s="70"/>
      <c r="T102" s="70"/>
      <c r="U102" s="85"/>
      <c r="V102" s="17"/>
      <c r="W102" s="17"/>
    </row>
    <row r="103" spans="4:23" s="1" customFormat="1" x14ac:dyDescent="0.6">
      <c r="D103" s="174"/>
      <c r="E103" s="174"/>
      <c r="F103" s="179"/>
      <c r="G103" s="21"/>
      <c r="H103" s="21"/>
      <c r="I103" s="920"/>
      <c r="J103" s="506"/>
      <c r="K103" s="506"/>
      <c r="L103" s="506"/>
      <c r="M103" s="506"/>
      <c r="N103" s="506"/>
      <c r="O103" s="506"/>
      <c r="P103" s="506"/>
      <c r="Q103" s="156"/>
      <c r="R103" s="70"/>
      <c r="S103" s="70"/>
      <c r="T103" s="70"/>
      <c r="U103" s="85"/>
      <c r="V103" s="17"/>
      <c r="W103" s="17"/>
    </row>
    <row r="104" spans="4:23" s="1" customFormat="1" x14ac:dyDescent="0.6">
      <c r="D104" s="174"/>
      <c r="E104" s="174"/>
      <c r="F104" s="179"/>
      <c r="G104" s="21"/>
      <c r="H104" s="21"/>
      <c r="I104" s="920"/>
      <c r="J104" s="506"/>
      <c r="K104" s="506"/>
      <c r="L104" s="506"/>
      <c r="M104" s="506"/>
      <c r="N104" s="506"/>
      <c r="O104" s="506"/>
      <c r="P104" s="506"/>
      <c r="Q104" s="156"/>
      <c r="R104" s="70"/>
      <c r="S104" s="70"/>
      <c r="T104" s="70"/>
      <c r="U104" s="85"/>
      <c r="V104" s="17"/>
      <c r="W104" s="17"/>
    </row>
    <row r="105" spans="4:23" s="1" customFormat="1" x14ac:dyDescent="0.6">
      <c r="D105" s="174"/>
      <c r="E105" s="174"/>
      <c r="F105" s="179"/>
      <c r="G105" s="21"/>
      <c r="H105" s="21"/>
      <c r="I105" s="920"/>
      <c r="J105" s="506"/>
      <c r="K105" s="506"/>
      <c r="L105" s="506"/>
      <c r="M105" s="506"/>
      <c r="N105" s="506"/>
      <c r="O105" s="506"/>
      <c r="P105" s="506"/>
      <c r="Q105" s="156"/>
      <c r="R105" s="70"/>
      <c r="S105" s="70"/>
      <c r="T105" s="70"/>
      <c r="U105" s="85"/>
      <c r="V105" s="17"/>
      <c r="W105" s="17"/>
    </row>
    <row r="106" spans="4:23" s="1" customFormat="1" x14ac:dyDescent="0.6">
      <c r="D106" s="174"/>
      <c r="E106" s="174"/>
      <c r="F106" s="179"/>
      <c r="G106" s="21"/>
      <c r="H106" s="21"/>
      <c r="I106" s="920"/>
      <c r="J106" s="506"/>
      <c r="K106" s="506"/>
      <c r="L106" s="506"/>
      <c r="M106" s="506"/>
      <c r="N106" s="506"/>
      <c r="O106" s="506"/>
      <c r="P106" s="506"/>
      <c r="Q106" s="156"/>
      <c r="R106" s="70"/>
      <c r="S106" s="70"/>
      <c r="T106" s="70"/>
      <c r="U106" s="85"/>
      <c r="V106" s="17"/>
      <c r="W106" s="17"/>
    </row>
    <row r="107" spans="4:23" s="1" customFormat="1" x14ac:dyDescent="0.6">
      <c r="D107" s="174"/>
      <c r="E107" s="174"/>
      <c r="F107" s="179"/>
      <c r="G107" s="21"/>
      <c r="H107" s="21"/>
      <c r="I107" s="920"/>
      <c r="J107" s="506"/>
      <c r="K107" s="506"/>
      <c r="L107" s="506"/>
      <c r="M107" s="506"/>
      <c r="N107" s="506"/>
      <c r="O107" s="506"/>
      <c r="P107" s="506"/>
      <c r="Q107" s="156"/>
      <c r="R107" s="70"/>
      <c r="S107" s="70"/>
      <c r="T107" s="70"/>
      <c r="U107" s="85"/>
      <c r="V107" s="17"/>
      <c r="W107" s="17"/>
    </row>
    <row r="108" spans="4:23" s="1" customFormat="1" x14ac:dyDescent="0.6">
      <c r="D108" s="174"/>
      <c r="E108" s="174"/>
      <c r="F108" s="179"/>
      <c r="G108" s="21"/>
      <c r="H108" s="21"/>
      <c r="I108" s="920"/>
      <c r="J108" s="506"/>
      <c r="K108" s="506"/>
      <c r="L108" s="506"/>
      <c r="M108" s="506"/>
      <c r="N108" s="506"/>
      <c r="O108" s="506"/>
      <c r="P108" s="506"/>
      <c r="Q108" s="156"/>
      <c r="R108" s="70"/>
      <c r="S108" s="70"/>
      <c r="T108" s="70"/>
      <c r="U108" s="85"/>
      <c r="V108" s="17"/>
      <c r="W108" s="17"/>
    </row>
    <row r="109" spans="4:23" s="1" customFormat="1" x14ac:dyDescent="0.6">
      <c r="D109" s="174"/>
      <c r="E109" s="174"/>
      <c r="F109" s="179"/>
      <c r="G109" s="21"/>
      <c r="H109" s="21"/>
      <c r="I109" s="920"/>
      <c r="J109" s="506"/>
      <c r="K109" s="506"/>
      <c r="L109" s="506"/>
      <c r="M109" s="506"/>
      <c r="N109" s="506"/>
      <c r="O109" s="506"/>
      <c r="P109" s="506"/>
      <c r="Q109" s="156"/>
      <c r="R109" s="70"/>
      <c r="S109" s="70"/>
      <c r="T109" s="70"/>
      <c r="U109" s="85"/>
      <c r="V109" s="17"/>
      <c r="W109" s="17"/>
    </row>
    <row r="110" spans="4:23" s="1" customFormat="1" x14ac:dyDescent="0.6">
      <c r="D110" s="174"/>
      <c r="E110" s="174"/>
      <c r="F110" s="179"/>
      <c r="G110" s="21"/>
      <c r="H110" s="21"/>
      <c r="I110" s="920"/>
      <c r="J110" s="506"/>
      <c r="K110" s="506"/>
      <c r="L110" s="506"/>
      <c r="M110" s="506"/>
      <c r="N110" s="506"/>
      <c r="O110" s="506"/>
      <c r="P110" s="506"/>
      <c r="Q110" s="156"/>
      <c r="R110" s="70"/>
      <c r="S110" s="70"/>
      <c r="T110" s="70"/>
      <c r="U110" s="85"/>
      <c r="V110" s="17"/>
      <c r="W110" s="17"/>
    </row>
    <row r="111" spans="4:23" s="1" customFormat="1" x14ac:dyDescent="0.6">
      <c r="D111" s="174"/>
      <c r="E111" s="174"/>
      <c r="F111" s="179"/>
      <c r="G111" s="21"/>
      <c r="H111" s="21"/>
      <c r="I111" s="920"/>
      <c r="J111" s="506"/>
      <c r="K111" s="506"/>
      <c r="L111" s="506"/>
      <c r="M111" s="506"/>
      <c r="N111" s="506"/>
      <c r="O111" s="506"/>
      <c r="P111" s="506"/>
      <c r="Q111" s="156"/>
      <c r="R111" s="70"/>
      <c r="S111" s="70"/>
      <c r="T111" s="70"/>
      <c r="U111" s="85"/>
      <c r="V111" s="17"/>
      <c r="W111" s="17"/>
    </row>
    <row r="112" spans="4:23" s="1" customFormat="1" x14ac:dyDescent="0.6">
      <c r="D112" s="174"/>
      <c r="E112" s="174"/>
      <c r="F112" s="179"/>
      <c r="G112" s="21"/>
      <c r="H112" s="21"/>
      <c r="I112" s="920"/>
      <c r="J112" s="506"/>
      <c r="K112" s="506"/>
      <c r="L112" s="506"/>
      <c r="M112" s="506"/>
      <c r="N112" s="506"/>
      <c r="O112" s="506"/>
      <c r="P112" s="506"/>
      <c r="Q112" s="156"/>
      <c r="R112" s="70"/>
      <c r="S112" s="70"/>
      <c r="T112" s="70"/>
      <c r="U112" s="85"/>
      <c r="V112" s="17"/>
      <c r="W112" s="17"/>
    </row>
    <row r="113" spans="4:23" s="1" customFormat="1" x14ac:dyDescent="0.6">
      <c r="D113" s="174"/>
      <c r="E113" s="174"/>
      <c r="F113" s="179"/>
      <c r="G113" s="21"/>
      <c r="H113" s="21"/>
      <c r="I113" s="920"/>
      <c r="J113" s="506"/>
      <c r="K113" s="506"/>
      <c r="L113" s="506"/>
      <c r="M113" s="506"/>
      <c r="N113" s="506"/>
      <c r="O113" s="506"/>
      <c r="P113" s="506"/>
      <c r="Q113" s="156"/>
      <c r="R113" s="70"/>
      <c r="S113" s="70"/>
      <c r="T113" s="70"/>
      <c r="U113" s="85"/>
      <c r="V113" s="17"/>
      <c r="W113" s="17"/>
    </row>
    <row r="114" spans="4:23" s="1" customFormat="1" x14ac:dyDescent="0.6">
      <c r="D114" s="174"/>
      <c r="E114" s="174"/>
      <c r="F114" s="179"/>
      <c r="G114" s="21"/>
      <c r="H114" s="21"/>
      <c r="I114" s="920"/>
      <c r="J114" s="506"/>
      <c r="K114" s="506"/>
      <c r="L114" s="506"/>
      <c r="M114" s="506"/>
      <c r="N114" s="506"/>
      <c r="O114" s="506"/>
      <c r="P114" s="506"/>
      <c r="Q114" s="156"/>
      <c r="R114" s="70"/>
      <c r="S114" s="70"/>
      <c r="T114" s="70"/>
      <c r="U114" s="85"/>
      <c r="V114" s="17"/>
      <c r="W114" s="17"/>
    </row>
    <row r="115" spans="4:23" s="1" customFormat="1" x14ac:dyDescent="0.6">
      <c r="D115" s="174"/>
      <c r="E115" s="174"/>
      <c r="F115" s="179"/>
      <c r="G115" s="21"/>
      <c r="H115" s="21"/>
      <c r="I115" s="920"/>
      <c r="J115" s="506"/>
      <c r="K115" s="506"/>
      <c r="L115" s="506"/>
      <c r="M115" s="506"/>
      <c r="N115" s="506"/>
      <c r="O115" s="506"/>
      <c r="P115" s="506"/>
      <c r="Q115" s="156"/>
      <c r="R115" s="70"/>
      <c r="S115" s="70"/>
      <c r="T115" s="70"/>
      <c r="U115" s="85"/>
      <c r="V115" s="17"/>
      <c r="W115" s="17"/>
    </row>
    <row r="116" spans="4:23" s="1" customFormat="1" x14ac:dyDescent="0.6">
      <c r="D116" s="174"/>
      <c r="E116" s="174"/>
      <c r="F116" s="179"/>
      <c r="G116" s="21"/>
      <c r="H116" s="21"/>
      <c r="I116" s="920"/>
      <c r="J116" s="506"/>
      <c r="K116" s="506"/>
      <c r="L116" s="506"/>
      <c r="M116" s="506"/>
      <c r="N116" s="506"/>
      <c r="O116" s="506"/>
      <c r="P116" s="506"/>
      <c r="Q116" s="156"/>
      <c r="R116" s="70"/>
      <c r="S116" s="70"/>
      <c r="T116" s="70"/>
      <c r="U116" s="85"/>
      <c r="V116" s="17"/>
      <c r="W116" s="17"/>
    </row>
    <row r="117" spans="4:23" s="1" customFormat="1" x14ac:dyDescent="0.6">
      <c r="D117" s="174"/>
      <c r="E117" s="174"/>
      <c r="F117" s="179"/>
      <c r="G117" s="21"/>
      <c r="H117" s="21"/>
      <c r="I117" s="920"/>
      <c r="J117" s="506"/>
      <c r="K117" s="506"/>
      <c r="L117" s="506"/>
      <c r="M117" s="506"/>
      <c r="N117" s="506"/>
      <c r="O117" s="506"/>
      <c r="P117" s="506"/>
      <c r="Q117" s="156"/>
      <c r="R117" s="70"/>
      <c r="S117" s="70"/>
      <c r="T117" s="70"/>
      <c r="U117" s="85"/>
      <c r="V117" s="17"/>
      <c r="W117" s="17"/>
    </row>
    <row r="118" spans="4:23" s="1" customFormat="1" x14ac:dyDescent="0.6">
      <c r="D118" s="174"/>
      <c r="E118" s="174"/>
      <c r="F118" s="179"/>
      <c r="G118" s="21"/>
      <c r="H118" s="21"/>
      <c r="I118" s="920"/>
      <c r="J118" s="506"/>
      <c r="K118" s="506"/>
      <c r="L118" s="506"/>
      <c r="M118" s="506"/>
      <c r="N118" s="506"/>
      <c r="O118" s="506"/>
      <c r="P118" s="506"/>
      <c r="Q118" s="156"/>
      <c r="R118" s="70"/>
      <c r="S118" s="70"/>
      <c r="T118" s="70"/>
      <c r="U118" s="85"/>
      <c r="V118" s="17"/>
      <c r="W118" s="17"/>
    </row>
    <row r="119" spans="4:23" s="1" customFormat="1" x14ac:dyDescent="0.6">
      <c r="D119" s="174"/>
      <c r="E119" s="174"/>
      <c r="F119" s="179"/>
      <c r="G119" s="21"/>
      <c r="H119" s="21"/>
      <c r="I119" s="920"/>
      <c r="J119" s="506"/>
      <c r="K119" s="506"/>
      <c r="L119" s="506"/>
      <c r="M119" s="506"/>
      <c r="N119" s="506"/>
      <c r="O119" s="506"/>
      <c r="P119" s="506"/>
      <c r="Q119" s="156"/>
      <c r="R119" s="70"/>
      <c r="S119" s="70"/>
      <c r="T119" s="70"/>
      <c r="U119" s="85"/>
      <c r="V119" s="17"/>
      <c r="W119" s="17"/>
    </row>
    <row r="120" spans="4:23" s="1" customFormat="1" x14ac:dyDescent="0.6">
      <c r="D120" s="174"/>
      <c r="E120" s="174"/>
      <c r="F120" s="179"/>
      <c r="G120" s="21"/>
      <c r="H120" s="21"/>
      <c r="I120" s="920"/>
      <c r="J120" s="506"/>
      <c r="K120" s="506"/>
      <c r="L120" s="506"/>
      <c r="M120" s="506"/>
      <c r="N120" s="506"/>
      <c r="O120" s="506"/>
      <c r="P120" s="506"/>
      <c r="Q120" s="156"/>
      <c r="R120" s="70"/>
      <c r="S120" s="70"/>
      <c r="T120" s="70"/>
      <c r="U120" s="85"/>
      <c r="V120" s="17"/>
      <c r="W120" s="17"/>
    </row>
    <row r="121" spans="4:23" s="1" customFormat="1" x14ac:dyDescent="0.6">
      <c r="D121" s="174"/>
      <c r="E121" s="174"/>
      <c r="F121" s="179"/>
      <c r="G121" s="21"/>
      <c r="H121" s="21"/>
      <c r="I121" s="920"/>
      <c r="J121" s="506"/>
      <c r="K121" s="506"/>
      <c r="L121" s="506"/>
      <c r="M121" s="506"/>
      <c r="N121" s="506"/>
      <c r="O121" s="506"/>
      <c r="P121" s="506"/>
      <c r="Q121" s="156"/>
      <c r="R121" s="70"/>
      <c r="S121" s="70"/>
      <c r="T121" s="70"/>
      <c r="U121" s="85"/>
      <c r="V121" s="17"/>
      <c r="W121" s="17"/>
    </row>
    <row r="122" spans="4:23" s="1" customFormat="1" x14ac:dyDescent="0.6">
      <c r="D122" s="174"/>
      <c r="E122" s="174"/>
      <c r="F122" s="179"/>
      <c r="G122" s="21"/>
      <c r="H122" s="21"/>
      <c r="I122" s="920"/>
      <c r="J122" s="506"/>
      <c r="K122" s="506"/>
      <c r="L122" s="506"/>
      <c r="M122" s="506"/>
      <c r="N122" s="506"/>
      <c r="O122" s="506"/>
      <c r="P122" s="506"/>
      <c r="Q122" s="156"/>
      <c r="R122" s="70"/>
      <c r="S122" s="70"/>
      <c r="T122" s="70"/>
      <c r="U122" s="85"/>
      <c r="V122" s="17"/>
      <c r="W122" s="17"/>
    </row>
    <row r="123" spans="4:23" s="1" customFormat="1" x14ac:dyDescent="0.6">
      <c r="D123" s="174"/>
      <c r="E123" s="174"/>
      <c r="F123" s="179"/>
      <c r="G123" s="21"/>
      <c r="H123" s="21"/>
      <c r="I123" s="920"/>
      <c r="J123" s="506"/>
      <c r="K123" s="506"/>
      <c r="L123" s="506"/>
      <c r="M123" s="506"/>
      <c r="N123" s="506"/>
      <c r="O123" s="506"/>
      <c r="P123" s="506"/>
      <c r="Q123" s="156"/>
      <c r="R123" s="70"/>
      <c r="S123" s="70"/>
      <c r="T123" s="70"/>
      <c r="U123" s="85"/>
      <c r="V123" s="17"/>
      <c r="W123" s="17"/>
    </row>
    <row r="124" spans="4:23" s="1" customFormat="1" x14ac:dyDescent="0.6">
      <c r="D124" s="174"/>
      <c r="E124" s="174"/>
      <c r="F124" s="179"/>
      <c r="G124" s="21"/>
      <c r="H124" s="21"/>
      <c r="I124" s="920"/>
      <c r="J124" s="506"/>
      <c r="K124" s="506"/>
      <c r="L124" s="506"/>
      <c r="M124" s="506"/>
      <c r="N124" s="506"/>
      <c r="O124" s="506"/>
      <c r="P124" s="506"/>
      <c r="Q124" s="156"/>
      <c r="R124" s="70"/>
      <c r="S124" s="70"/>
      <c r="T124" s="70"/>
      <c r="U124" s="85"/>
      <c r="V124" s="17"/>
      <c r="W124" s="17"/>
    </row>
    <row r="125" spans="4:23" s="1" customFormat="1" x14ac:dyDescent="0.6">
      <c r="D125" s="174"/>
      <c r="E125" s="174"/>
      <c r="F125" s="179"/>
      <c r="G125" s="21"/>
      <c r="H125" s="21"/>
      <c r="I125" s="920"/>
      <c r="J125" s="506"/>
      <c r="K125" s="506"/>
      <c r="L125" s="506"/>
      <c r="M125" s="506"/>
      <c r="N125" s="506"/>
      <c r="O125" s="506"/>
      <c r="P125" s="506"/>
      <c r="Q125" s="156"/>
      <c r="R125" s="70"/>
      <c r="S125" s="70"/>
      <c r="T125" s="70"/>
      <c r="U125" s="85"/>
      <c r="V125" s="17"/>
      <c r="W125" s="17"/>
    </row>
    <row r="126" spans="4:23" s="1" customFormat="1" x14ac:dyDescent="0.6">
      <c r="D126" s="174"/>
      <c r="E126" s="174"/>
      <c r="F126" s="179"/>
      <c r="G126" s="21"/>
      <c r="H126" s="21"/>
      <c r="I126" s="920"/>
      <c r="J126" s="506"/>
      <c r="K126" s="506"/>
      <c r="L126" s="506"/>
      <c r="M126" s="506"/>
      <c r="N126" s="506"/>
      <c r="O126" s="506"/>
      <c r="P126" s="506"/>
      <c r="Q126" s="156"/>
      <c r="R126" s="70"/>
      <c r="S126" s="70"/>
      <c r="T126" s="70"/>
      <c r="U126" s="85"/>
      <c r="V126" s="17"/>
      <c r="W126" s="17"/>
    </row>
    <row r="127" spans="4:23" s="1" customFormat="1" x14ac:dyDescent="0.6">
      <c r="D127" s="174"/>
      <c r="E127" s="174"/>
      <c r="F127" s="179"/>
      <c r="G127" s="21"/>
      <c r="H127" s="21"/>
      <c r="I127" s="920"/>
      <c r="J127" s="506"/>
      <c r="K127" s="506"/>
      <c r="L127" s="506"/>
      <c r="M127" s="506"/>
      <c r="N127" s="506"/>
      <c r="O127" s="506"/>
      <c r="P127" s="506"/>
      <c r="Q127" s="156"/>
      <c r="R127" s="70"/>
      <c r="S127" s="70"/>
      <c r="T127" s="70"/>
      <c r="U127" s="85"/>
      <c r="V127" s="17"/>
      <c r="W127" s="17"/>
    </row>
    <row r="128" spans="4:23" s="1" customFormat="1" x14ac:dyDescent="0.6">
      <c r="D128" s="174"/>
      <c r="E128" s="174"/>
      <c r="F128" s="179"/>
      <c r="G128" s="21"/>
      <c r="H128" s="21"/>
      <c r="I128" s="920"/>
      <c r="J128" s="506"/>
      <c r="K128" s="506"/>
      <c r="L128" s="506"/>
      <c r="M128" s="506"/>
      <c r="N128" s="506"/>
      <c r="O128" s="506"/>
      <c r="P128" s="506"/>
      <c r="Q128" s="156"/>
      <c r="R128" s="70"/>
      <c r="S128" s="70"/>
      <c r="T128" s="70"/>
      <c r="U128" s="85"/>
      <c r="V128" s="17"/>
      <c r="W128" s="17"/>
    </row>
    <row r="129" spans="4:23" s="1" customFormat="1" x14ac:dyDescent="0.6">
      <c r="D129" s="174"/>
      <c r="E129" s="174"/>
      <c r="F129" s="179"/>
      <c r="G129" s="21"/>
      <c r="H129" s="21"/>
      <c r="I129" s="920"/>
      <c r="J129" s="506"/>
      <c r="K129" s="506"/>
      <c r="L129" s="506"/>
      <c r="M129" s="506"/>
      <c r="N129" s="506"/>
      <c r="O129" s="506"/>
      <c r="P129" s="506"/>
      <c r="Q129" s="156"/>
      <c r="R129" s="70"/>
      <c r="S129" s="70"/>
      <c r="T129" s="70"/>
      <c r="U129" s="85"/>
      <c r="V129" s="17"/>
      <c r="W129" s="17"/>
    </row>
    <row r="130" spans="4:23" s="1" customFormat="1" x14ac:dyDescent="0.6">
      <c r="D130" s="174"/>
      <c r="E130" s="174"/>
      <c r="F130" s="179"/>
      <c r="G130" s="21"/>
      <c r="H130" s="21"/>
      <c r="I130" s="920"/>
      <c r="J130" s="506"/>
      <c r="K130" s="506"/>
      <c r="L130" s="506"/>
      <c r="M130" s="506"/>
      <c r="N130" s="506"/>
      <c r="O130" s="506"/>
      <c r="P130" s="506"/>
      <c r="Q130" s="156"/>
      <c r="R130" s="70"/>
      <c r="S130" s="70"/>
      <c r="T130" s="70"/>
      <c r="U130" s="85"/>
      <c r="V130" s="17"/>
      <c r="W130" s="17"/>
    </row>
    <row r="131" spans="4:23" s="1" customFormat="1" x14ac:dyDescent="0.6">
      <c r="D131" s="174"/>
      <c r="E131" s="174"/>
      <c r="F131" s="179"/>
      <c r="G131" s="21"/>
      <c r="H131" s="21"/>
      <c r="I131" s="920"/>
      <c r="J131" s="506"/>
      <c r="K131" s="506"/>
      <c r="L131" s="506"/>
      <c r="M131" s="506"/>
      <c r="N131" s="506"/>
      <c r="O131" s="506"/>
      <c r="P131" s="506"/>
      <c r="Q131" s="156"/>
      <c r="R131" s="70"/>
      <c r="S131" s="70"/>
      <c r="T131" s="70"/>
      <c r="U131" s="85"/>
      <c r="V131" s="17"/>
      <c r="W131" s="17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G81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2.84765625" style="1" customWidth="1"/>
    <col min="3" max="3" width="11.59765625" style="21" bestFit="1" customWidth="1"/>
    <col min="4" max="6" width="11.59765625" style="21" customWidth="1"/>
    <col min="7" max="7" width="16.84765625" style="88" customWidth="1"/>
    <col min="8" max="8" width="11.84765625" style="21" customWidth="1"/>
    <col min="9" max="9" width="8.09765625" style="28" customWidth="1"/>
    <col min="10" max="10" width="10.59765625" style="13" customWidth="1"/>
    <col min="11" max="11" width="17.34765625" style="13" customWidth="1"/>
    <col min="12" max="12" width="13.34765625" style="55" customWidth="1"/>
    <col min="13" max="13" width="8.59765625" style="5" customWidth="1"/>
    <col min="14" max="14" width="11.5" style="85" customWidth="1"/>
    <col min="15" max="15" width="11.09765625" style="506" customWidth="1"/>
    <col min="16" max="16" width="16" style="271" bestFit="1" customWidth="1"/>
    <col min="17" max="17" width="10" style="416" customWidth="1"/>
    <col min="18" max="18" width="9.34765625" style="506" customWidth="1"/>
    <col min="19" max="19" width="9.5" style="28" customWidth="1"/>
    <col min="20" max="20" width="9.5" style="330" customWidth="1"/>
    <col min="21" max="22" width="9.5" style="10" customWidth="1"/>
    <col min="23" max="23" width="16.5" style="17" customWidth="1"/>
    <col min="24" max="24" width="9.5" style="271" customWidth="1"/>
    <col min="25" max="25" width="15" style="271" bestFit="1" customWidth="1"/>
    <col min="26" max="26" width="7.84765625" style="10" bestFit="1" customWidth="1"/>
    <col min="27" max="27" width="15" style="70" customWidth="1"/>
    <col min="28" max="28" width="14" style="53" customWidth="1"/>
    <col min="29" max="29" width="12.34765625" style="53" customWidth="1"/>
    <col min="30" max="30" width="19.84765625" style="527" customWidth="1"/>
    <col min="31" max="31" width="10.59765625" style="10" bestFit="1" customWidth="1"/>
    <col min="32" max="32" width="18.5" style="17" bestFit="1" customWidth="1"/>
    <col min="33" max="33" width="18.5" bestFit="1" customWidth="1"/>
    <col min="34" max="16384" width="10.84765625" style="1"/>
  </cols>
  <sheetData>
    <row r="1" spans="1:33" x14ac:dyDescent="0.6">
      <c r="A1" s="24" t="s">
        <v>684</v>
      </c>
      <c r="C1" s="496">
        <v>2015</v>
      </c>
      <c r="J1" s="81"/>
      <c r="K1" s="14" t="s">
        <v>238</v>
      </c>
      <c r="L1" s="64"/>
      <c r="R1" s="506">
        <f>LARGE(R6:R34,3)</f>
        <v>1.203891562866354</v>
      </c>
      <c r="AD1" s="415"/>
      <c r="AG1" s="1"/>
    </row>
    <row r="2" spans="1:33" s="2" customFormat="1" x14ac:dyDescent="0.6">
      <c r="C2" s="64" t="s">
        <v>42</v>
      </c>
      <c r="D2" s="64"/>
      <c r="E2" s="64"/>
      <c r="F2" s="64"/>
      <c r="G2" s="492" t="s">
        <v>123</v>
      </c>
      <c r="H2" s="501"/>
      <c r="I2" s="71"/>
      <c r="J2" s="14" t="s">
        <v>128</v>
      </c>
      <c r="K2" s="14" t="s">
        <v>597</v>
      </c>
      <c r="L2" s="56"/>
      <c r="M2" s="6" t="s">
        <v>124</v>
      </c>
      <c r="N2" s="508" t="s">
        <v>638</v>
      </c>
      <c r="O2" s="508" t="s">
        <v>638</v>
      </c>
      <c r="P2" s="272" t="s">
        <v>42</v>
      </c>
      <c r="Q2" s="507" t="s">
        <v>627</v>
      </c>
      <c r="R2" s="508" t="s">
        <v>627</v>
      </c>
      <c r="S2" s="71" t="s">
        <v>194</v>
      </c>
      <c r="T2" s="497" t="s">
        <v>194</v>
      </c>
      <c r="U2" s="11" t="s">
        <v>194</v>
      </c>
      <c r="V2" s="11" t="s">
        <v>650</v>
      </c>
      <c r="W2" s="18" t="s">
        <v>397</v>
      </c>
      <c r="X2" s="272" t="s">
        <v>881</v>
      </c>
      <c r="Y2" s="272" t="s">
        <v>1747</v>
      </c>
      <c r="Z2" s="11" t="s">
        <v>1623</v>
      </c>
      <c r="AA2" s="114"/>
      <c r="AB2" s="114" t="s">
        <v>123</v>
      </c>
      <c r="AC2" s="114" t="s">
        <v>42</v>
      </c>
      <c r="AD2" s="528"/>
      <c r="AE2" s="11" t="s">
        <v>645</v>
      </c>
      <c r="AF2" s="18"/>
    </row>
    <row r="3" spans="1:33" s="2" customFormat="1" x14ac:dyDescent="0.6">
      <c r="C3" s="64" t="s">
        <v>132</v>
      </c>
      <c r="D3" s="64" t="s">
        <v>131</v>
      </c>
      <c r="E3" s="64" t="s">
        <v>196</v>
      </c>
      <c r="F3" s="64" t="s">
        <v>100</v>
      </c>
      <c r="G3" s="492" t="s">
        <v>133</v>
      </c>
      <c r="H3" s="64" t="s">
        <v>134</v>
      </c>
      <c r="I3" s="71" t="s">
        <v>135</v>
      </c>
      <c r="J3" s="14" t="s">
        <v>682</v>
      </c>
      <c r="K3" s="14" t="s">
        <v>128</v>
      </c>
      <c r="L3" s="56" t="s">
        <v>41</v>
      </c>
      <c r="M3" s="6" t="s">
        <v>674</v>
      </c>
      <c r="N3" s="508" t="s">
        <v>648</v>
      </c>
      <c r="O3" s="508" t="s">
        <v>639</v>
      </c>
      <c r="P3" s="272" t="s">
        <v>1684</v>
      </c>
      <c r="Q3" s="507" t="s">
        <v>683</v>
      </c>
      <c r="R3" s="508" t="s">
        <v>606</v>
      </c>
      <c r="S3" s="71" t="s">
        <v>84</v>
      </c>
      <c r="T3" s="497" t="s">
        <v>651</v>
      </c>
      <c r="U3" s="11" t="s">
        <v>652</v>
      </c>
      <c r="V3" s="11" t="s">
        <v>403</v>
      </c>
      <c r="W3" s="18" t="s">
        <v>85</v>
      </c>
      <c r="X3" s="272" t="s">
        <v>79</v>
      </c>
      <c r="Y3" s="272" t="s">
        <v>85</v>
      </c>
      <c r="Z3" s="11" t="s">
        <v>198</v>
      </c>
      <c r="AA3" s="114" t="s">
        <v>602</v>
      </c>
      <c r="AB3" s="114" t="s">
        <v>76</v>
      </c>
      <c r="AC3" s="114" t="s">
        <v>77</v>
      </c>
      <c r="AD3" s="528" t="s">
        <v>34</v>
      </c>
      <c r="AE3" s="11" t="s">
        <v>639</v>
      </c>
      <c r="AF3" s="18" t="s">
        <v>642</v>
      </c>
    </row>
    <row r="4" spans="1:33" x14ac:dyDescent="0.6">
      <c r="A4" s="61">
        <v>1</v>
      </c>
      <c r="B4" s="44" t="s">
        <v>37</v>
      </c>
      <c r="C4" s="290">
        <v>3780836</v>
      </c>
      <c r="D4" s="290">
        <v>1401616</v>
      </c>
      <c r="E4" s="290">
        <v>1359480</v>
      </c>
      <c r="F4" s="348">
        <f>C4-D4-E4</f>
        <v>1019740</v>
      </c>
      <c r="G4" s="504">
        <v>4317159</v>
      </c>
      <c r="H4" s="66">
        <f>1470997+38837+1372570</f>
        <v>2882404</v>
      </c>
      <c r="I4" s="79">
        <f>H4/G4</f>
        <v>0.66766222879444559</v>
      </c>
      <c r="J4" s="26">
        <f>Assumptions!$C$62</f>
        <v>27296</v>
      </c>
      <c r="K4" s="26">
        <f>F4*I4*J4</f>
        <v>18584259988.985386</v>
      </c>
      <c r="L4" s="399">
        <v>1</v>
      </c>
      <c r="M4" s="852">
        <f>Assumptions!$C$64</f>
        <v>3.6635404454865184E-2</v>
      </c>
      <c r="N4" s="861"/>
      <c r="O4" s="458">
        <f>'State Elec Ind'!N60</f>
        <v>2.4546212273933987</v>
      </c>
      <c r="P4" s="1047">
        <f>O4*K4</f>
        <v>45617319064.361336</v>
      </c>
      <c r="Q4" s="509"/>
      <c r="R4" s="306"/>
      <c r="S4" s="361"/>
      <c r="T4" s="362"/>
      <c r="U4" s="320"/>
      <c r="V4" s="320"/>
      <c r="W4" s="847"/>
      <c r="X4" s="1460">
        <f>'State Elec Ind'!T63</f>
        <v>0.10929310212411356</v>
      </c>
      <c r="Y4" s="1047">
        <f>X4*K4</f>
        <v>2031131424.8772573</v>
      </c>
      <c r="Z4" s="881"/>
      <c r="AA4" s="366">
        <f>Y4-W4</f>
        <v>2031131424.8772573</v>
      </c>
      <c r="AB4" s="336">
        <f>-'OECD electricity subsidies'!E3</f>
        <v>0</v>
      </c>
      <c r="AC4" s="342">
        <f>AB4*L4</f>
        <v>0</v>
      </c>
      <c r="AD4" s="849">
        <f>AA4+AC4</f>
        <v>2031131424.8772573</v>
      </c>
      <c r="AE4" s="320">
        <f>'State Elec Ind'!M60</f>
        <v>2.6452875786400898</v>
      </c>
      <c r="AF4" s="342">
        <f>AE4*K4+AC4</f>
        <v>49160712107.081055</v>
      </c>
      <c r="AG4" s="17"/>
    </row>
    <row r="5" spans="1:33" s="2" customFormat="1" x14ac:dyDescent="0.6">
      <c r="A5" s="46"/>
      <c r="B5" s="40" t="s">
        <v>35</v>
      </c>
      <c r="C5" s="356"/>
      <c r="D5" s="356"/>
      <c r="E5" s="356"/>
      <c r="F5" s="356"/>
      <c r="G5" s="493"/>
      <c r="H5" s="65"/>
      <c r="I5" s="79">
        <f>G5*H5</f>
        <v>0</v>
      </c>
      <c r="J5" s="31"/>
      <c r="K5" s="31"/>
      <c r="L5" s="418"/>
      <c r="M5" s="853"/>
      <c r="N5" s="862"/>
      <c r="O5" s="863"/>
      <c r="P5" s="1052"/>
      <c r="Q5" s="510"/>
      <c r="R5" s="511"/>
      <c r="S5" s="372"/>
      <c r="T5" s="498"/>
      <c r="U5" s="316"/>
      <c r="V5" s="316"/>
      <c r="W5" s="343"/>
      <c r="X5" s="1051"/>
      <c r="Y5" s="1052"/>
      <c r="Z5" s="845"/>
      <c r="AA5" s="367"/>
      <c r="AB5" s="338"/>
      <c r="AC5" s="343"/>
      <c r="AD5" s="850"/>
      <c r="AE5" s="316"/>
      <c r="AF5" s="343"/>
    </row>
    <row r="6" spans="1:33" x14ac:dyDescent="0.6">
      <c r="A6" s="46">
        <f>A4+1</f>
        <v>2</v>
      </c>
      <c r="B6" s="44" t="s">
        <v>0</v>
      </c>
      <c r="C6" s="290">
        <v>81714</v>
      </c>
      <c r="D6" s="290">
        <v>18835</v>
      </c>
      <c r="E6" s="290">
        <v>21755</v>
      </c>
      <c r="F6" s="290">
        <f t="shared" ref="F6:F63" si="0">C6-D6-E6</f>
        <v>41124</v>
      </c>
      <c r="G6" s="494">
        <v>70648</v>
      </c>
      <c r="H6" s="66">
        <f>4248+209+22816</f>
        <v>27273</v>
      </c>
      <c r="I6" s="79">
        <f t="shared" ref="I6:I63" si="1">H6/G6</f>
        <v>0.38604065224776357</v>
      </c>
      <c r="J6" s="26">
        <f>Assumptions!$C$62</f>
        <v>27296</v>
      </c>
      <c r="K6" s="26">
        <f t="shared" ref="K6:K65" si="2">F6*I6*J6</f>
        <v>433338624.73377872</v>
      </c>
      <c r="L6" s="391">
        <f>Assumptions!$H$3</f>
        <v>1.1863330000000001</v>
      </c>
      <c r="M6" s="852">
        <f>Assumptions!$C$64</f>
        <v>3.6635404454865184E-2</v>
      </c>
      <c r="N6" s="1522">
        <v>77.900000000000006</v>
      </c>
      <c r="O6" s="458">
        <f t="shared" ref="O6:O11" si="3">N6*M6*L6</f>
        <v>3.3856733843786642</v>
      </c>
      <c r="P6" s="1047">
        <f t="shared" ref="P6:P65" si="4">O6*K6</f>
        <v>1467143048.1844084</v>
      </c>
      <c r="Q6" s="512">
        <v>17.7</v>
      </c>
      <c r="R6" s="306">
        <f t="shared" ref="R6:R26" si="5">Q6*M6*L6</f>
        <v>0.7692736701348184</v>
      </c>
      <c r="S6" s="373"/>
      <c r="T6" s="499">
        <f>S6*O6</f>
        <v>0</v>
      </c>
      <c r="U6" s="281">
        <f>S6*R6</f>
        <v>0</v>
      </c>
      <c r="V6" s="281">
        <f>T6+U6</f>
        <v>0</v>
      </c>
      <c r="W6" s="342">
        <f t="shared" ref="W6:W39" si="6">T6*K6</f>
        <v>0</v>
      </c>
      <c r="X6" s="1053">
        <f t="shared" ref="X6:X41" si="7">R6+V6</f>
        <v>0.7692736701348184</v>
      </c>
      <c r="Y6" s="1047">
        <f t="shared" ref="Y6:Y26" si="8">X6*K6</f>
        <v>333355994.26012874</v>
      </c>
      <c r="Z6" s="535">
        <f>U6+R6</f>
        <v>0.7692736701348184</v>
      </c>
      <c r="AA6" s="366">
        <f>Z6*K6</f>
        <v>333355994.26012874</v>
      </c>
      <c r="AB6" s="336">
        <f>-'OECD electricity subsidies'!E14</f>
        <v>0</v>
      </c>
      <c r="AC6" s="342">
        <f t="shared" ref="AC6:AC39" si="9">AB6*L6</f>
        <v>0</v>
      </c>
      <c r="AD6" s="849">
        <f t="shared" ref="AD6:AD26" si="10">AA6+AC6</f>
        <v>333355994.26012874</v>
      </c>
      <c r="AE6" s="281">
        <f t="shared" ref="AE6:AE26" si="11">(O6+R6)*(1+S6)</f>
        <v>4.1549470545134826</v>
      </c>
      <c r="AF6" s="342">
        <f>AE6*K6+AC6</f>
        <v>1800499042.4445372</v>
      </c>
      <c r="AG6" s="17"/>
    </row>
    <row r="7" spans="1:33" x14ac:dyDescent="0.6">
      <c r="A7" s="46">
        <f>A6+1</f>
        <v>3</v>
      </c>
      <c r="B7" s="44" t="s">
        <v>1</v>
      </c>
      <c r="C7" s="290">
        <v>54474</v>
      </c>
      <c r="D7" s="290">
        <v>14382</v>
      </c>
      <c r="E7" s="290">
        <v>14875</v>
      </c>
      <c r="F7" s="290">
        <f t="shared" si="0"/>
        <v>25217</v>
      </c>
      <c r="G7" s="494">
        <v>83892</v>
      </c>
      <c r="H7" s="66">
        <f>43837+94+2264</f>
        <v>46195</v>
      </c>
      <c r="I7" s="79">
        <f t="shared" si="1"/>
        <v>0.55064845277261243</v>
      </c>
      <c r="J7" s="26">
        <f>Assumptions!$C$62</f>
        <v>27296</v>
      </c>
      <c r="K7" s="26">
        <f t="shared" si="2"/>
        <v>379024122.70824397</v>
      </c>
      <c r="L7" s="391">
        <f>Assumptions!$H$15</f>
        <v>4.5997000000000003E-2</v>
      </c>
      <c r="M7" s="852">
        <f>Assumptions!$C$64</f>
        <v>3.6635404454865184E-2</v>
      </c>
      <c r="N7" s="864">
        <v>2364</v>
      </c>
      <c r="O7" s="458">
        <f t="shared" si="3"/>
        <v>3.9836206037514663</v>
      </c>
      <c r="P7" s="1047">
        <f t="shared" si="4"/>
        <v>1509888304.5393846</v>
      </c>
      <c r="Q7" s="513">
        <v>28</v>
      </c>
      <c r="R7" s="306">
        <f t="shared" si="5"/>
        <v>4.7183323563892154E-2</v>
      </c>
      <c r="S7" s="373"/>
      <c r="T7" s="499">
        <f t="shared" ref="T7:T39" si="12">S7*O7</f>
        <v>0</v>
      </c>
      <c r="U7" s="281">
        <f t="shared" ref="U7:U39" si="13">S7*R7</f>
        <v>0</v>
      </c>
      <c r="V7" s="281">
        <f t="shared" ref="V7:V39" si="14">T7+U7</f>
        <v>0</v>
      </c>
      <c r="W7" s="342">
        <f t="shared" si="6"/>
        <v>0</v>
      </c>
      <c r="X7" s="1053">
        <f t="shared" si="7"/>
        <v>4.7183323563892154E-2</v>
      </c>
      <c r="Y7" s="1047">
        <f t="shared" si="8"/>
        <v>17883617.820263438</v>
      </c>
      <c r="Z7" s="535">
        <f t="shared" ref="Z7:Z39" si="15">U7+R7</f>
        <v>4.7183323563892154E-2</v>
      </c>
      <c r="AA7" s="366">
        <f t="shared" ref="AA7:AA39" si="16">Z7*K7</f>
        <v>17883617.820263438</v>
      </c>
      <c r="AB7" s="336">
        <f>-'OECD electricity subsidies'!E19</f>
        <v>0</v>
      </c>
      <c r="AC7" s="342">
        <f t="shared" si="9"/>
        <v>0</v>
      </c>
      <c r="AD7" s="849">
        <f t="shared" si="10"/>
        <v>17883617.820263438</v>
      </c>
      <c r="AE7" s="281">
        <f t="shared" si="11"/>
        <v>4.0308039273153584</v>
      </c>
      <c r="AF7" s="342">
        <f t="shared" ref="AF7:AF65" si="17">AE7*K7+AC7</f>
        <v>1527771922.359648</v>
      </c>
      <c r="AG7" s="1"/>
    </row>
    <row r="8" spans="1:33" x14ac:dyDescent="0.6">
      <c r="A8" s="46">
        <f t="shared" ref="A8:A26" si="18">A7+1</f>
        <v>4</v>
      </c>
      <c r="B8" s="44" t="s">
        <v>2</v>
      </c>
      <c r="C8" s="290">
        <v>30700</v>
      </c>
      <c r="D8" s="290">
        <v>10177</v>
      </c>
      <c r="E8" s="290">
        <v>9945</v>
      </c>
      <c r="F8" s="290">
        <f t="shared" si="0"/>
        <v>10578</v>
      </c>
      <c r="G8" s="494">
        <v>28947</v>
      </c>
      <c r="H8" s="66">
        <f>7105+313+1816</f>
        <v>9234</v>
      </c>
      <c r="I8" s="79">
        <f t="shared" si="1"/>
        <v>0.3189967872318375</v>
      </c>
      <c r="J8" s="26">
        <f>Assumptions!$C$62</f>
        <v>27296</v>
      </c>
      <c r="K8" s="26">
        <f t="shared" si="2"/>
        <v>92106203.426676348</v>
      </c>
      <c r="L8" s="391">
        <f>Assumptions!$H$16</f>
        <v>0.15934999999999999</v>
      </c>
      <c r="M8" s="852">
        <f>Assumptions!$C$64</f>
        <v>3.6635404454865184E-2</v>
      </c>
      <c r="N8" s="865">
        <v>506</v>
      </c>
      <c r="O8" s="458">
        <f t="shared" si="3"/>
        <v>2.95395296014068</v>
      </c>
      <c r="P8" s="1047">
        <f t="shared" si="4"/>
        <v>272077392.25955021</v>
      </c>
      <c r="Q8" s="514">
        <v>4</v>
      </c>
      <c r="R8" s="306">
        <f t="shared" si="5"/>
        <v>2.3351406799531068E-2</v>
      </c>
      <c r="S8" s="373"/>
      <c r="T8" s="499">
        <f t="shared" si="12"/>
        <v>0</v>
      </c>
      <c r="U8" s="281">
        <f t="shared" si="13"/>
        <v>0</v>
      </c>
      <c r="V8" s="281">
        <f t="shared" si="14"/>
        <v>0</v>
      </c>
      <c r="W8" s="342">
        <f t="shared" si="6"/>
        <v>0</v>
      </c>
      <c r="X8" s="1053">
        <f t="shared" si="7"/>
        <v>2.3351406799531068E-2</v>
      </c>
      <c r="Y8" s="1047">
        <f t="shared" si="8"/>
        <v>2150809.4249766818</v>
      </c>
      <c r="Z8" s="535">
        <f t="shared" si="15"/>
        <v>2.3351406799531068E-2</v>
      </c>
      <c r="AA8" s="366">
        <f t="shared" si="16"/>
        <v>2150809.4249766818</v>
      </c>
      <c r="AB8" s="336">
        <f>-'OECD electricity subsidies'!E21</f>
        <v>0</v>
      </c>
      <c r="AC8" s="342">
        <f t="shared" si="9"/>
        <v>0</v>
      </c>
      <c r="AD8" s="849">
        <f t="shared" si="10"/>
        <v>2150809.4249766818</v>
      </c>
      <c r="AE8" s="281">
        <f t="shared" si="11"/>
        <v>2.9773043669402108</v>
      </c>
      <c r="AF8" s="342">
        <f t="shared" si="17"/>
        <v>274228201.68452692</v>
      </c>
      <c r="AG8" s="1"/>
    </row>
    <row r="9" spans="1:33" x14ac:dyDescent="0.6">
      <c r="A9" s="46">
        <f t="shared" si="18"/>
        <v>5</v>
      </c>
      <c r="B9" s="44" t="s">
        <v>3</v>
      </c>
      <c r="C9" s="290">
        <v>514731</v>
      </c>
      <c r="D9" s="290">
        <v>128700</v>
      </c>
      <c r="E9" s="290">
        <v>149872</v>
      </c>
      <c r="F9" s="290">
        <f t="shared" si="0"/>
        <v>236159</v>
      </c>
      <c r="G9" s="494">
        <v>646888</v>
      </c>
      <c r="H9" s="66">
        <f>283710+6209+63017</f>
        <v>352936</v>
      </c>
      <c r="I9" s="79">
        <f t="shared" si="1"/>
        <v>0.54559058136802663</v>
      </c>
      <c r="J9" s="26">
        <f>Assumptions!$C$62</f>
        <v>27296</v>
      </c>
      <c r="K9" s="26">
        <f t="shared" si="2"/>
        <v>3516983858.1700449</v>
      </c>
      <c r="L9" s="391">
        <f>Assumptions!$H$3</f>
        <v>1.1863330000000001</v>
      </c>
      <c r="M9" s="852">
        <f>Assumptions!$C$64</f>
        <v>3.6635404454865184E-2</v>
      </c>
      <c r="N9" s="1522">
        <v>68.8</v>
      </c>
      <c r="O9" s="458">
        <f t="shared" si="3"/>
        <v>2.9901711019929667</v>
      </c>
      <c r="P9" s="1047">
        <f t="shared" si="4"/>
        <v>10516383498.875799</v>
      </c>
      <c r="Q9" s="475">
        <v>63</v>
      </c>
      <c r="R9" s="306">
        <f t="shared" si="5"/>
        <v>2.7380927242086757</v>
      </c>
      <c r="S9" s="373"/>
      <c r="T9" s="499">
        <f t="shared" si="12"/>
        <v>0</v>
      </c>
      <c r="U9" s="281">
        <f t="shared" si="13"/>
        <v>0</v>
      </c>
      <c r="V9" s="281">
        <f t="shared" si="14"/>
        <v>0</v>
      </c>
      <c r="W9" s="342">
        <f t="shared" si="6"/>
        <v>0</v>
      </c>
      <c r="X9" s="1053">
        <f t="shared" si="7"/>
        <v>2.7380927242086757</v>
      </c>
      <c r="Y9" s="1047">
        <f t="shared" si="8"/>
        <v>9629827913.214756</v>
      </c>
      <c r="Z9" s="535">
        <f t="shared" si="15"/>
        <v>2.7380927242086757</v>
      </c>
      <c r="AA9" s="366">
        <f t="shared" si="16"/>
        <v>9629827913.214756</v>
      </c>
      <c r="AB9" s="336">
        <f>-'OECD electricity subsidies'!E23</f>
        <v>0</v>
      </c>
      <c r="AC9" s="342">
        <f t="shared" si="9"/>
        <v>0</v>
      </c>
      <c r="AD9" s="849">
        <f t="shared" si="10"/>
        <v>9629827913.214756</v>
      </c>
      <c r="AE9" s="281">
        <f t="shared" si="11"/>
        <v>5.7282638262016423</v>
      </c>
      <c r="AF9" s="342">
        <f t="shared" si="17"/>
        <v>20146211412.090557</v>
      </c>
      <c r="AG9" s="1"/>
    </row>
    <row r="10" spans="1:33" x14ac:dyDescent="0.6">
      <c r="A10" s="46">
        <f t="shared" si="18"/>
        <v>6</v>
      </c>
      <c r="B10" s="44" t="s">
        <v>4</v>
      </c>
      <c r="C10" s="290">
        <v>6852</v>
      </c>
      <c r="D10" s="290">
        <v>1728</v>
      </c>
      <c r="E10" s="290">
        <v>2813</v>
      </c>
      <c r="F10" s="290">
        <f t="shared" si="0"/>
        <v>2311</v>
      </c>
      <c r="G10" s="494">
        <v>10417</v>
      </c>
      <c r="H10" s="66">
        <f>8597+128+62</f>
        <v>8787</v>
      </c>
      <c r="I10" s="79">
        <f t="shared" si="1"/>
        <v>0.84352500719976964</v>
      </c>
      <c r="J10" s="26">
        <f>Assumptions!$C$62</f>
        <v>27296</v>
      </c>
      <c r="K10" s="26">
        <f t="shared" si="2"/>
        <v>53210448.216569073</v>
      </c>
      <c r="L10" s="391">
        <f>Assumptions!$H$3</f>
        <v>1.1863330000000001</v>
      </c>
      <c r="M10" s="852">
        <f>Assumptions!$C$64</f>
        <v>3.6635404454865184E-2</v>
      </c>
      <c r="N10" s="1522">
        <v>73.099999999999994</v>
      </c>
      <c r="O10" s="458">
        <f t="shared" si="3"/>
        <v>3.1770567958675269</v>
      </c>
      <c r="P10" s="1047">
        <f t="shared" si="4"/>
        <v>169052616.11760789</v>
      </c>
      <c r="Q10" s="475">
        <v>13.3</v>
      </c>
      <c r="R10" s="306">
        <f t="shared" si="5"/>
        <v>0.57804179733294259</v>
      </c>
      <c r="S10" s="373"/>
      <c r="T10" s="499">
        <f t="shared" si="12"/>
        <v>0</v>
      </c>
      <c r="U10" s="281">
        <f t="shared" si="13"/>
        <v>0</v>
      </c>
      <c r="V10" s="281">
        <f t="shared" si="14"/>
        <v>0</v>
      </c>
      <c r="W10" s="342">
        <f t="shared" si="6"/>
        <v>0</v>
      </c>
      <c r="X10" s="1053">
        <f t="shared" si="7"/>
        <v>0.57804179733294259</v>
      </c>
      <c r="Y10" s="1047">
        <f t="shared" si="8"/>
        <v>30757863.123997055</v>
      </c>
      <c r="Z10" s="535">
        <f t="shared" si="15"/>
        <v>0.57804179733294259</v>
      </c>
      <c r="AA10" s="366">
        <f t="shared" si="16"/>
        <v>30757863.123997055</v>
      </c>
      <c r="AB10" s="336">
        <f>-'OECD electricity subsidies'!E25</f>
        <v>0</v>
      </c>
      <c r="AC10" s="342">
        <f t="shared" si="9"/>
        <v>0</v>
      </c>
      <c r="AD10" s="849">
        <f t="shared" si="10"/>
        <v>30757863.123997055</v>
      </c>
      <c r="AE10" s="281">
        <f t="shared" si="11"/>
        <v>3.7550985932004695</v>
      </c>
      <c r="AF10" s="342">
        <f t="shared" si="17"/>
        <v>199810479.24160495</v>
      </c>
      <c r="AG10" s="1"/>
    </row>
    <row r="11" spans="1:33" x14ac:dyDescent="0.6">
      <c r="A11" s="46">
        <f t="shared" si="18"/>
        <v>7</v>
      </c>
      <c r="B11" s="44" t="s">
        <v>5</v>
      </c>
      <c r="C11" s="290">
        <v>50787</v>
      </c>
      <c r="D11" s="290">
        <v>17538</v>
      </c>
      <c r="E11" s="290">
        <v>17926</v>
      </c>
      <c r="F11" s="290">
        <f t="shared" si="0"/>
        <v>15323</v>
      </c>
      <c r="G11" s="494">
        <v>51874</v>
      </c>
      <c r="H11" s="66">
        <f>22107+5663+9090</f>
        <v>36860</v>
      </c>
      <c r="I11" s="79">
        <f t="shared" si="1"/>
        <v>0.71056791456220847</v>
      </c>
      <c r="J11" s="26">
        <f>Assumptions!$C$62</f>
        <v>27296</v>
      </c>
      <c r="K11" s="26">
        <f t="shared" si="2"/>
        <v>297199725.69842315</v>
      </c>
      <c r="L11" s="391">
        <f>Assumptions!$H$3</f>
        <v>1.1863330000000001</v>
      </c>
      <c r="M11" s="852">
        <f>Assumptions!$C$64</f>
        <v>3.6635404454865184E-2</v>
      </c>
      <c r="N11" s="1522">
        <v>82</v>
      </c>
      <c r="O11" s="458">
        <f t="shared" si="3"/>
        <v>3.5638667203985936</v>
      </c>
      <c r="P11" s="1047">
        <f t="shared" si="4"/>
        <v>1059180211.7282009</v>
      </c>
      <c r="Q11" s="475">
        <v>18.2</v>
      </c>
      <c r="R11" s="306">
        <f t="shared" si="5"/>
        <v>0.79100456477139514</v>
      </c>
      <c r="S11" s="373"/>
      <c r="T11" s="499">
        <f t="shared" si="12"/>
        <v>0</v>
      </c>
      <c r="U11" s="281">
        <f t="shared" si="13"/>
        <v>0</v>
      </c>
      <c r="V11" s="281">
        <f t="shared" si="14"/>
        <v>0</v>
      </c>
      <c r="W11" s="342">
        <f t="shared" si="6"/>
        <v>0</v>
      </c>
      <c r="X11" s="1053">
        <f t="shared" si="7"/>
        <v>0.79100456477139514</v>
      </c>
      <c r="Y11" s="1047">
        <f t="shared" si="8"/>
        <v>235086339.67625922</v>
      </c>
      <c r="Z11" s="535">
        <f t="shared" si="15"/>
        <v>0.79100456477139514</v>
      </c>
      <c r="AA11" s="366">
        <f t="shared" si="16"/>
        <v>235086339.67625922</v>
      </c>
      <c r="AB11" s="336">
        <f>-'OECD electricity subsidies'!E27</f>
        <v>0</v>
      </c>
      <c r="AC11" s="342">
        <f t="shared" si="9"/>
        <v>0</v>
      </c>
      <c r="AD11" s="849">
        <f t="shared" si="10"/>
        <v>235086339.67625922</v>
      </c>
      <c r="AE11" s="281">
        <f t="shared" si="11"/>
        <v>4.3548712851699891</v>
      </c>
      <c r="AF11" s="342">
        <f t="shared" si="17"/>
        <v>1294266551.4044602</v>
      </c>
      <c r="AG11" s="1"/>
    </row>
    <row r="12" spans="1:33" x14ac:dyDescent="0.6">
      <c r="A12" s="46">
        <f t="shared" si="18"/>
        <v>8</v>
      </c>
      <c r="B12" s="44" t="s">
        <v>6</v>
      </c>
      <c r="C12" s="290">
        <v>232038</v>
      </c>
      <c r="D12" s="290">
        <v>70056</v>
      </c>
      <c r="E12" s="290">
        <v>72001</v>
      </c>
      <c r="F12" s="290">
        <f t="shared" si="0"/>
        <v>89981</v>
      </c>
      <c r="G12" s="494">
        <v>281020</v>
      </c>
      <c r="H12" s="66">
        <f>52676+17241+52498</f>
        <v>122415</v>
      </c>
      <c r="I12" s="79">
        <f t="shared" si="1"/>
        <v>0.43560956515550492</v>
      </c>
      <c r="J12" s="26">
        <f>Assumptions!$C$62</f>
        <v>27296</v>
      </c>
      <c r="K12" s="26">
        <f t="shared" si="2"/>
        <v>1069909964.5685003</v>
      </c>
      <c r="L12" s="391">
        <f>Assumptions!$H$3</f>
        <v>1.1863330000000001</v>
      </c>
      <c r="M12" s="852">
        <f>Assumptions!$C$64</f>
        <v>3.6635404454865184E-2</v>
      </c>
      <c r="N12" s="1551"/>
      <c r="O12" s="1077">
        <f>'Electricity - Res'!O12*0.625</f>
        <v>3.1254579425556854</v>
      </c>
      <c r="P12" s="1047">
        <f t="shared" si="4"/>
        <v>3343958596.580091</v>
      </c>
      <c r="Q12" s="475"/>
      <c r="R12" s="306">
        <f t="shared" si="5"/>
        <v>0</v>
      </c>
      <c r="S12" s="373"/>
      <c r="T12" s="499">
        <f t="shared" si="12"/>
        <v>0</v>
      </c>
      <c r="U12" s="281">
        <f t="shared" si="13"/>
        <v>0</v>
      </c>
      <c r="V12" s="281">
        <f t="shared" si="14"/>
        <v>0</v>
      </c>
      <c r="W12" s="342">
        <f t="shared" si="6"/>
        <v>0</v>
      </c>
      <c r="X12" s="1053">
        <f t="shared" si="7"/>
        <v>0</v>
      </c>
      <c r="Y12" s="1047">
        <f t="shared" si="8"/>
        <v>0</v>
      </c>
      <c r="Z12" s="535">
        <f t="shared" si="15"/>
        <v>0</v>
      </c>
      <c r="AA12" s="366">
        <f t="shared" si="16"/>
        <v>0</v>
      </c>
      <c r="AB12" s="336">
        <f>-'OECD electricity subsidies'!E29</f>
        <v>-335514564</v>
      </c>
      <c r="AC12" s="342">
        <f t="shared" si="9"/>
        <v>-398031999.25381202</v>
      </c>
      <c r="AD12" s="849">
        <f t="shared" si="10"/>
        <v>-398031999.25381202</v>
      </c>
      <c r="AE12" s="281">
        <f t="shared" si="11"/>
        <v>3.1254579425556854</v>
      </c>
      <c r="AF12" s="342">
        <f t="shared" si="17"/>
        <v>2945926597.3262792</v>
      </c>
      <c r="AG12" s="1"/>
    </row>
    <row r="13" spans="1:33" x14ac:dyDescent="0.6">
      <c r="A13" s="46">
        <f t="shared" si="18"/>
        <v>9</v>
      </c>
      <c r="B13" s="44" t="s">
        <v>7</v>
      </c>
      <c r="C13" s="290">
        <v>424919</v>
      </c>
      <c r="D13" s="290">
        <v>142441</v>
      </c>
      <c r="E13" s="290">
        <v>146269</v>
      </c>
      <c r="F13" s="290">
        <f t="shared" si="0"/>
        <v>136209</v>
      </c>
      <c r="G13" s="494">
        <v>568454</v>
      </c>
      <c r="H13" s="66">
        <f>12174+2156+19794</f>
        <v>34124</v>
      </c>
      <c r="I13" s="79">
        <f t="shared" si="1"/>
        <v>6.0029483476235546E-2</v>
      </c>
      <c r="J13" s="26">
        <f>Assumptions!$C$62</f>
        <v>27296</v>
      </c>
      <c r="K13" s="26">
        <f t="shared" si="2"/>
        <v>223187270.25077844</v>
      </c>
      <c r="L13" s="391">
        <f>Assumptions!$H$3</f>
        <v>1.1863330000000001</v>
      </c>
      <c r="M13" s="852">
        <f>Assumptions!$C$64</f>
        <v>3.6635404454865184E-2</v>
      </c>
      <c r="N13" s="1522">
        <v>76.41</v>
      </c>
      <c r="O13" s="458">
        <f t="shared" ref="O13:O26" si="19">N13*M13*L13</f>
        <v>3.3209153183616649</v>
      </c>
      <c r="P13" s="1047">
        <f t="shared" si="4"/>
        <v>741186024.63913476</v>
      </c>
      <c r="Q13" s="475">
        <v>22.24</v>
      </c>
      <c r="R13" s="306">
        <f t="shared" si="5"/>
        <v>0.96659019343493557</v>
      </c>
      <c r="S13" s="373"/>
      <c r="T13" s="499">
        <f t="shared" si="12"/>
        <v>0</v>
      </c>
      <c r="U13" s="281">
        <f t="shared" si="13"/>
        <v>0</v>
      </c>
      <c r="V13" s="281">
        <f t="shared" si="14"/>
        <v>0</v>
      </c>
      <c r="W13" s="342">
        <f t="shared" si="6"/>
        <v>0</v>
      </c>
      <c r="X13" s="1053">
        <f t="shared" si="7"/>
        <v>0.96659019343493557</v>
      </c>
      <c r="Y13" s="1047">
        <f t="shared" si="8"/>
        <v>215730626.72391516</v>
      </c>
      <c r="Z13" s="535">
        <f t="shared" si="15"/>
        <v>0.96659019343493557</v>
      </c>
      <c r="AA13" s="366">
        <f t="shared" si="16"/>
        <v>215730626.72391516</v>
      </c>
      <c r="AB13" s="336">
        <f>-'OECD electricity subsidies'!E32</f>
        <v>-720000</v>
      </c>
      <c r="AC13" s="342">
        <f t="shared" si="9"/>
        <v>-854159.76</v>
      </c>
      <c r="AD13" s="849">
        <f t="shared" si="10"/>
        <v>214876466.96391517</v>
      </c>
      <c r="AE13" s="281">
        <f t="shared" si="11"/>
        <v>4.2875055117966001</v>
      </c>
      <c r="AF13" s="342">
        <f t="shared" si="17"/>
        <v>956062491.60304987</v>
      </c>
      <c r="AG13" s="1"/>
    </row>
    <row r="14" spans="1:33" x14ac:dyDescent="0.6">
      <c r="A14" s="46">
        <f t="shared" si="18"/>
        <v>10</v>
      </c>
      <c r="B14" s="44" t="s">
        <v>8</v>
      </c>
      <c r="C14" s="290">
        <v>25070</v>
      </c>
      <c r="D14" s="290">
        <v>7881</v>
      </c>
      <c r="E14" s="290">
        <v>6746</v>
      </c>
      <c r="F14" s="290">
        <f t="shared" si="0"/>
        <v>10443</v>
      </c>
      <c r="G14" s="494">
        <v>23387</v>
      </c>
      <c r="H14" s="66">
        <f>7393+407+12367</f>
        <v>20167</v>
      </c>
      <c r="I14" s="79">
        <f t="shared" si="1"/>
        <v>0.8623166716551931</v>
      </c>
      <c r="J14" s="26">
        <f>Assumptions!$C$62</f>
        <v>27296</v>
      </c>
      <c r="K14" s="26">
        <f t="shared" si="2"/>
        <v>245805202.26519009</v>
      </c>
      <c r="L14" s="391">
        <f>Assumptions!$H$3</f>
        <v>1.1863330000000001</v>
      </c>
      <c r="M14" s="852">
        <f>Assumptions!$C$64</f>
        <v>3.6635404454865184E-2</v>
      </c>
      <c r="N14" s="1522">
        <v>122.2</v>
      </c>
      <c r="O14" s="458">
        <f t="shared" si="19"/>
        <v>5.3110306491793677</v>
      </c>
      <c r="P14" s="1047">
        <f t="shared" si="4"/>
        <v>1305478962.9581583</v>
      </c>
      <c r="Q14" s="475"/>
      <c r="R14" s="306">
        <f t="shared" si="5"/>
        <v>0</v>
      </c>
      <c r="S14" s="373"/>
      <c r="T14" s="499">
        <f t="shared" si="12"/>
        <v>0</v>
      </c>
      <c r="U14" s="281">
        <f t="shared" si="13"/>
        <v>0</v>
      </c>
      <c r="V14" s="281">
        <f t="shared" si="14"/>
        <v>0</v>
      </c>
      <c r="W14" s="342">
        <f t="shared" si="6"/>
        <v>0</v>
      </c>
      <c r="X14" s="1053">
        <f t="shared" si="7"/>
        <v>0</v>
      </c>
      <c r="Y14" s="1047">
        <f t="shared" si="8"/>
        <v>0</v>
      </c>
      <c r="Z14" s="535">
        <f t="shared" si="15"/>
        <v>0</v>
      </c>
      <c r="AA14" s="366">
        <f t="shared" si="16"/>
        <v>0</v>
      </c>
      <c r="AB14" s="336">
        <f>-'OECD electricity subsidies'!E39</f>
        <v>0</v>
      </c>
      <c r="AC14" s="342">
        <f t="shared" si="9"/>
        <v>0</v>
      </c>
      <c r="AD14" s="849">
        <f t="shared" si="10"/>
        <v>0</v>
      </c>
      <c r="AE14" s="281">
        <f t="shared" si="11"/>
        <v>5.3110306491793677</v>
      </c>
      <c r="AF14" s="342">
        <f t="shared" si="17"/>
        <v>1305478962.9581583</v>
      </c>
      <c r="AG14" s="1"/>
    </row>
    <row r="15" spans="1:33" x14ac:dyDescent="0.6">
      <c r="A15" s="46">
        <f t="shared" si="18"/>
        <v>11</v>
      </c>
      <c r="B15" s="44" t="s">
        <v>9</v>
      </c>
      <c r="C15" s="290">
        <v>287483</v>
      </c>
      <c r="D15" s="290">
        <v>66187</v>
      </c>
      <c r="E15" s="290">
        <v>92085</v>
      </c>
      <c r="F15" s="290">
        <f t="shared" si="0"/>
        <v>129211</v>
      </c>
      <c r="G15" s="494">
        <v>282994</v>
      </c>
      <c r="H15" s="66">
        <f>45388+13384+110860</f>
        <v>169632</v>
      </c>
      <c r="I15" s="79">
        <f t="shared" si="1"/>
        <v>0.59941906895552555</v>
      </c>
      <c r="J15" s="26">
        <f>Assumptions!$C$62</f>
        <v>27296</v>
      </c>
      <c r="K15" s="26">
        <f t="shared" si="2"/>
        <v>2114117162.6543036</v>
      </c>
      <c r="L15" s="391">
        <f>Assumptions!$H$3</f>
        <v>1.1863330000000001</v>
      </c>
      <c r="M15" s="852">
        <f>Assumptions!$C$64</f>
        <v>3.6635404454865184E-2</v>
      </c>
      <c r="N15" s="1522">
        <v>135.19999999999999</v>
      </c>
      <c r="O15" s="458">
        <f t="shared" si="19"/>
        <v>5.8760339097303635</v>
      </c>
      <c r="P15" s="1047">
        <f t="shared" si="4"/>
        <v>12422624136.89963</v>
      </c>
      <c r="Q15" s="475">
        <v>100.3</v>
      </c>
      <c r="R15" s="306">
        <f t="shared" si="5"/>
        <v>4.3592174640973038</v>
      </c>
      <c r="S15" s="373"/>
      <c r="T15" s="499">
        <f t="shared" si="12"/>
        <v>0</v>
      </c>
      <c r="U15" s="281">
        <f t="shared" si="13"/>
        <v>0</v>
      </c>
      <c r="V15" s="281">
        <f t="shared" si="14"/>
        <v>0</v>
      </c>
      <c r="W15" s="342">
        <f t="shared" si="6"/>
        <v>0</v>
      </c>
      <c r="X15" s="1053">
        <f t="shared" si="7"/>
        <v>4.3592174640973038</v>
      </c>
      <c r="Y15" s="1047">
        <f t="shared" si="8"/>
        <v>9215896456.5904808</v>
      </c>
      <c r="Z15" s="535">
        <f t="shared" si="15"/>
        <v>4.3592174640973038</v>
      </c>
      <c r="AA15" s="366">
        <f t="shared" si="16"/>
        <v>9215896456.5904808</v>
      </c>
      <c r="AB15" s="336">
        <f>-'OECD electricity subsidies'!E41</f>
        <v>-359350083</v>
      </c>
      <c r="AC15" s="342">
        <f t="shared" si="9"/>
        <v>-426308862.01563901</v>
      </c>
      <c r="AD15" s="849">
        <f t="shared" si="10"/>
        <v>8789587594.5748425</v>
      </c>
      <c r="AE15" s="281">
        <f t="shared" si="11"/>
        <v>10.235251373827667</v>
      </c>
      <c r="AF15" s="342">
        <f t="shared" si="17"/>
        <v>21212211731.474472</v>
      </c>
      <c r="AG15" s="1"/>
    </row>
    <row r="16" spans="1:33" x14ac:dyDescent="0.6">
      <c r="A16" s="46">
        <f t="shared" si="18"/>
        <v>12</v>
      </c>
      <c r="B16" s="44" t="s">
        <v>10</v>
      </c>
      <c r="C16" s="290">
        <v>6221</v>
      </c>
      <c r="D16" s="290">
        <v>900</v>
      </c>
      <c r="E16" s="290">
        <v>2000</v>
      </c>
      <c r="F16" s="290">
        <f t="shared" si="0"/>
        <v>3321</v>
      </c>
      <c r="G16" s="494">
        <v>2762</v>
      </c>
      <c r="H16" s="66">
        <v>834</v>
      </c>
      <c r="I16" s="79">
        <f t="shared" si="1"/>
        <v>0.30195510499637945</v>
      </c>
      <c r="J16" s="26">
        <f>Assumptions!$C$62</f>
        <v>27296</v>
      </c>
      <c r="K16" s="26">
        <f t="shared" si="2"/>
        <v>27372235.099203479</v>
      </c>
      <c r="L16" s="391">
        <f>Assumptions!$H$3</f>
        <v>1.1863330000000001</v>
      </c>
      <c r="M16" s="852">
        <f>Assumptions!$C$64</f>
        <v>3.6635404454865184E-2</v>
      </c>
      <c r="N16" s="1522">
        <v>55.2</v>
      </c>
      <c r="O16" s="458">
        <f t="shared" si="19"/>
        <v>2.3990907678780777</v>
      </c>
      <c r="P16" s="1047">
        <f t="shared" si="4"/>
        <v>65668476.522687346</v>
      </c>
      <c r="Q16" s="475">
        <v>8.6</v>
      </c>
      <c r="R16" s="306">
        <f t="shared" si="5"/>
        <v>0.37377138774912083</v>
      </c>
      <c r="S16" s="373"/>
      <c r="T16" s="499">
        <f t="shared" si="12"/>
        <v>0</v>
      </c>
      <c r="U16" s="281">
        <f t="shared" si="13"/>
        <v>0</v>
      </c>
      <c r="V16" s="281">
        <f t="shared" si="14"/>
        <v>0</v>
      </c>
      <c r="W16" s="342">
        <f t="shared" si="6"/>
        <v>0</v>
      </c>
      <c r="X16" s="1053">
        <f t="shared" si="7"/>
        <v>0.37377138774912083</v>
      </c>
      <c r="Y16" s="1047">
        <f t="shared" si="8"/>
        <v>10230958.298824478</v>
      </c>
      <c r="Z16" s="535">
        <f t="shared" si="15"/>
        <v>0.37377138774912083</v>
      </c>
      <c r="AA16" s="366">
        <f t="shared" si="16"/>
        <v>10230958.298824478</v>
      </c>
      <c r="AB16" s="336">
        <f>-'OECD electricity subsidies'!E49</f>
        <v>0</v>
      </c>
      <c r="AC16" s="342">
        <f t="shared" si="9"/>
        <v>0</v>
      </c>
      <c r="AD16" s="849">
        <f t="shared" si="10"/>
        <v>10230958.298824478</v>
      </c>
      <c r="AE16" s="281">
        <f t="shared" si="11"/>
        <v>2.7728621556271986</v>
      </c>
      <c r="AF16" s="342">
        <f t="shared" si="17"/>
        <v>75899434.82151182</v>
      </c>
      <c r="AG16" s="1"/>
    </row>
    <row r="17" spans="1:33" x14ac:dyDescent="0.6">
      <c r="A17" s="46">
        <f t="shared" si="18"/>
        <v>13</v>
      </c>
      <c r="B17" s="44" t="s">
        <v>11</v>
      </c>
      <c r="C17" s="290">
        <v>36193</v>
      </c>
      <c r="D17" s="290">
        <v>10839</v>
      </c>
      <c r="E17" s="290">
        <v>7937</v>
      </c>
      <c r="F17" s="290">
        <f t="shared" si="0"/>
        <v>17417</v>
      </c>
      <c r="G17" s="494">
        <v>30342</v>
      </c>
      <c r="H17" s="66">
        <f>5908+77+5108</f>
        <v>11093</v>
      </c>
      <c r="I17" s="79">
        <f t="shared" si="1"/>
        <v>0.36559883989189901</v>
      </c>
      <c r="J17" s="26">
        <f>Assumptions!$C$62</f>
        <v>27296</v>
      </c>
      <c r="K17" s="26">
        <f t="shared" si="2"/>
        <v>173810964.80706611</v>
      </c>
      <c r="L17" s="391">
        <f>Assumptions!$H$17</f>
        <v>3.8049999999999998E-3</v>
      </c>
      <c r="M17" s="852">
        <f>Assumptions!$C$64</f>
        <v>3.6635404454865184E-2</v>
      </c>
      <c r="N17" s="866">
        <v>24746</v>
      </c>
      <c r="O17" s="458">
        <f t="shared" si="19"/>
        <v>3.4495358294255567</v>
      </c>
      <c r="P17" s="1047">
        <f t="shared" si="4"/>
        <v>599567150.64899909</v>
      </c>
      <c r="Q17" s="515">
        <v>2731</v>
      </c>
      <c r="R17" s="306">
        <f t="shared" si="5"/>
        <v>0.38069515679953109</v>
      </c>
      <c r="S17" s="373"/>
      <c r="T17" s="499">
        <f t="shared" si="12"/>
        <v>0</v>
      </c>
      <c r="U17" s="281">
        <f t="shared" si="13"/>
        <v>0</v>
      </c>
      <c r="V17" s="281">
        <f t="shared" si="14"/>
        <v>0</v>
      </c>
      <c r="W17" s="342">
        <f t="shared" si="6"/>
        <v>0</v>
      </c>
      <c r="X17" s="1053">
        <f t="shared" si="7"/>
        <v>0.38069515679953109</v>
      </c>
      <c r="Y17" s="1047">
        <f t="shared" si="8"/>
        <v>66168992.500703812</v>
      </c>
      <c r="Z17" s="535">
        <f t="shared" si="15"/>
        <v>0.38069515679953109</v>
      </c>
      <c r="AA17" s="366">
        <f t="shared" si="16"/>
        <v>66168992.500703812</v>
      </c>
      <c r="AB17" s="336">
        <f>-'OECD electricity subsidies'!E51</f>
        <v>0</v>
      </c>
      <c r="AC17" s="342">
        <f t="shared" si="9"/>
        <v>0</v>
      </c>
      <c r="AD17" s="849">
        <f t="shared" si="10"/>
        <v>66168992.500703812</v>
      </c>
      <c r="AE17" s="281">
        <f t="shared" si="11"/>
        <v>3.8302309862250876</v>
      </c>
      <c r="AF17" s="342">
        <f t="shared" si="17"/>
        <v>665736143.14970279</v>
      </c>
      <c r="AG17" s="1"/>
    </row>
    <row r="18" spans="1:33" x14ac:dyDescent="0.6">
      <c r="A18" s="46">
        <f t="shared" si="18"/>
        <v>14</v>
      </c>
      <c r="B18" s="44" t="s">
        <v>12</v>
      </c>
      <c r="C18" s="290">
        <v>103112</v>
      </c>
      <c r="D18" s="290">
        <v>22682</v>
      </c>
      <c r="E18" s="290">
        <v>35752</v>
      </c>
      <c r="F18" s="290">
        <f t="shared" si="0"/>
        <v>44678</v>
      </c>
      <c r="G18" s="494">
        <v>110070</v>
      </c>
      <c r="H18" s="66">
        <f>42546+1431+46357</f>
        <v>90334</v>
      </c>
      <c r="I18" s="79">
        <f t="shared" si="1"/>
        <v>0.82069592077768694</v>
      </c>
      <c r="J18" s="26">
        <f>Assumptions!$C$62</f>
        <v>27296</v>
      </c>
      <c r="K18" s="26">
        <f t="shared" si="2"/>
        <v>1000863860.904806</v>
      </c>
      <c r="L18" s="391">
        <f>Assumptions!$H$3</f>
        <v>1.1863330000000001</v>
      </c>
      <c r="M18" s="852">
        <f>Assumptions!$C$64</f>
        <v>3.6635404454865184E-2</v>
      </c>
      <c r="N18" s="1522">
        <v>67.099999999999994</v>
      </c>
      <c r="O18" s="458">
        <f t="shared" si="19"/>
        <v>2.9162860602286051</v>
      </c>
      <c r="P18" s="1047">
        <f t="shared" si="4"/>
        <v>2918805325.7432675</v>
      </c>
      <c r="Q18" s="475">
        <v>14.6</v>
      </c>
      <c r="R18" s="306">
        <f t="shared" si="5"/>
        <v>0.63454212338804228</v>
      </c>
      <c r="S18" s="373"/>
      <c r="T18" s="499">
        <f t="shared" si="12"/>
        <v>0</v>
      </c>
      <c r="U18" s="281">
        <f t="shared" si="13"/>
        <v>0</v>
      </c>
      <c r="V18" s="281">
        <f t="shared" si="14"/>
        <v>0</v>
      </c>
      <c r="W18" s="342">
        <f t="shared" si="6"/>
        <v>0</v>
      </c>
      <c r="X18" s="1053">
        <f t="shared" si="7"/>
        <v>0.63454212338804228</v>
      </c>
      <c r="Y18" s="1047">
        <f t="shared" si="8"/>
        <v>635090279.52088976</v>
      </c>
      <c r="Z18" s="535">
        <f t="shared" si="15"/>
        <v>0.63454212338804228</v>
      </c>
      <c r="AA18" s="366">
        <f t="shared" si="16"/>
        <v>635090279.52088976</v>
      </c>
      <c r="AB18" s="336">
        <f>-'OECD electricity subsidies'!E53</f>
        <v>-26665544</v>
      </c>
      <c r="AC18" s="342">
        <f t="shared" si="9"/>
        <v>-31634214.810152002</v>
      </c>
      <c r="AD18" s="849">
        <f t="shared" si="10"/>
        <v>603456064.71073771</v>
      </c>
      <c r="AE18" s="281">
        <f t="shared" si="11"/>
        <v>3.5508281836166473</v>
      </c>
      <c r="AF18" s="342">
        <f t="shared" si="17"/>
        <v>3522261390.4540052</v>
      </c>
      <c r="AG18" s="1"/>
    </row>
    <row r="19" spans="1:33" x14ac:dyDescent="0.6">
      <c r="A19" s="46">
        <f t="shared" si="18"/>
        <v>15</v>
      </c>
      <c r="B19" s="44" t="s">
        <v>13</v>
      </c>
      <c r="C19" s="290">
        <v>60813</v>
      </c>
      <c r="D19" s="290">
        <v>16874</v>
      </c>
      <c r="E19" s="290">
        <v>12385</v>
      </c>
      <c r="F19" s="290">
        <f t="shared" si="0"/>
        <v>31554</v>
      </c>
      <c r="G19" s="494">
        <v>65299</v>
      </c>
      <c r="H19" s="66">
        <f>5081+861+7783</f>
        <v>13725</v>
      </c>
      <c r="I19" s="79">
        <f t="shared" si="1"/>
        <v>0.2101869860181626</v>
      </c>
      <c r="J19" s="26">
        <f>Assumptions!$C$62</f>
        <v>27296</v>
      </c>
      <c r="K19" s="26">
        <f t="shared" si="2"/>
        <v>181033627.32047963</v>
      </c>
      <c r="L19" s="391">
        <f>Assumptions!$H$3</f>
        <v>1.1863330000000001</v>
      </c>
      <c r="M19" s="852">
        <f>Assumptions!$C$64</f>
        <v>3.6635404454865184E-2</v>
      </c>
      <c r="N19" s="1522">
        <v>70.3</v>
      </c>
      <c r="O19" s="458">
        <f t="shared" si="19"/>
        <v>3.0553637859026965</v>
      </c>
      <c r="P19" s="1047">
        <f t="shared" si="4"/>
        <v>553123588.94559848</v>
      </c>
      <c r="Q19" s="512">
        <v>27.7</v>
      </c>
      <c r="R19" s="306">
        <f t="shared" si="5"/>
        <v>1.203891562866354</v>
      </c>
      <c r="S19" s="373"/>
      <c r="T19" s="499">
        <f t="shared" si="12"/>
        <v>0</v>
      </c>
      <c r="U19" s="281">
        <f t="shared" si="13"/>
        <v>0</v>
      </c>
      <c r="V19" s="281">
        <f t="shared" si="14"/>
        <v>0</v>
      </c>
      <c r="W19" s="342">
        <f t="shared" si="6"/>
        <v>0</v>
      </c>
      <c r="X19" s="1053">
        <f t="shared" si="7"/>
        <v>1.203891562866354</v>
      </c>
      <c r="Y19" s="1047">
        <f t="shared" si="8"/>
        <v>217944856.52621731</v>
      </c>
      <c r="Z19" s="535">
        <f t="shared" si="15"/>
        <v>1.203891562866354</v>
      </c>
      <c r="AA19" s="366">
        <f t="shared" si="16"/>
        <v>217944856.52621731</v>
      </c>
      <c r="AB19" s="336">
        <f>-'OECD electricity subsidies'!E55</f>
        <v>-51350239</v>
      </c>
      <c r="AC19" s="342">
        <f t="shared" si="9"/>
        <v>-60918483.083587006</v>
      </c>
      <c r="AD19" s="849">
        <f t="shared" si="10"/>
        <v>157026373.44263029</v>
      </c>
      <c r="AE19" s="281">
        <f t="shared" si="11"/>
        <v>4.2592553487690505</v>
      </c>
      <c r="AF19" s="342">
        <f t="shared" si="17"/>
        <v>710149962.38822877</v>
      </c>
      <c r="AG19" s="1"/>
    </row>
    <row r="20" spans="1:33" x14ac:dyDescent="0.6">
      <c r="A20" s="46">
        <f t="shared" si="18"/>
        <v>16</v>
      </c>
      <c r="B20" s="44" t="s">
        <v>14</v>
      </c>
      <c r="C20" s="290">
        <v>127819</v>
      </c>
      <c r="D20" s="290">
        <v>28280</v>
      </c>
      <c r="E20" s="290">
        <v>45443</v>
      </c>
      <c r="F20" s="290">
        <f t="shared" si="0"/>
        <v>54096</v>
      </c>
      <c r="G20" s="494">
        <v>164944</v>
      </c>
      <c r="H20" s="66">
        <f>132962+2118+6387</f>
        <v>141467</v>
      </c>
      <c r="I20" s="79">
        <f t="shared" si="1"/>
        <v>0.85766684450480168</v>
      </c>
      <c r="J20" s="26">
        <f>Assumptions!$C$62</f>
        <v>27296</v>
      </c>
      <c r="K20" s="26">
        <f t="shared" si="2"/>
        <v>1266434650.0525756</v>
      </c>
      <c r="L20" s="391">
        <f>Assumptions!$H$18</f>
        <v>0.28262100000000001</v>
      </c>
      <c r="M20" s="852">
        <f>Assumptions!$C$64</f>
        <v>3.6635404454865184E-2</v>
      </c>
      <c r="N20" s="532">
        <v>313.8</v>
      </c>
      <c r="O20" s="458">
        <f t="shared" si="19"/>
        <v>3.2490646907971867</v>
      </c>
      <c r="P20" s="1047">
        <f t="shared" si="4"/>
        <v>4114728104.6879148</v>
      </c>
      <c r="Q20" s="1550">
        <v>20</v>
      </c>
      <c r="R20" s="306">
        <f t="shared" si="5"/>
        <v>0.20707869284876906</v>
      </c>
      <c r="S20" s="373"/>
      <c r="T20" s="499">
        <f t="shared" si="12"/>
        <v>0</v>
      </c>
      <c r="U20" s="281">
        <f t="shared" si="13"/>
        <v>0</v>
      </c>
      <c r="V20" s="281">
        <f t="shared" si="14"/>
        <v>0</v>
      </c>
      <c r="W20" s="342">
        <f t="shared" si="6"/>
        <v>0</v>
      </c>
      <c r="X20" s="1053">
        <f t="shared" si="7"/>
        <v>0.20707869284876906</v>
      </c>
      <c r="Y20" s="1047">
        <f t="shared" si="8"/>
        <v>262251631.91127563</v>
      </c>
      <c r="Z20" s="535">
        <f t="shared" si="15"/>
        <v>0.20707869284876906</v>
      </c>
      <c r="AA20" s="366">
        <f t="shared" si="16"/>
        <v>262251631.91127563</v>
      </c>
      <c r="AB20" s="336">
        <f>-'OECD electricity subsidies'!E57</f>
        <v>0</v>
      </c>
      <c r="AC20" s="342">
        <f t="shared" si="9"/>
        <v>0</v>
      </c>
      <c r="AD20" s="849">
        <f t="shared" si="10"/>
        <v>262251631.91127563</v>
      </c>
      <c r="AE20" s="281">
        <f t="shared" si="11"/>
        <v>3.4561433836459559</v>
      </c>
      <c r="AF20" s="342">
        <f t="shared" si="17"/>
        <v>4376979736.5991907</v>
      </c>
      <c r="AG20" s="1"/>
    </row>
    <row r="21" spans="1:33" x14ac:dyDescent="0.6">
      <c r="A21" s="46">
        <f t="shared" si="18"/>
        <v>17</v>
      </c>
      <c r="B21" s="44" t="s">
        <v>15</v>
      </c>
      <c r="C21" s="290">
        <v>45812</v>
      </c>
      <c r="D21" s="290">
        <v>11974</v>
      </c>
      <c r="E21" s="290">
        <v>17193</v>
      </c>
      <c r="F21" s="290">
        <f t="shared" si="0"/>
        <v>16645</v>
      </c>
      <c r="G21" s="494">
        <v>52420</v>
      </c>
      <c r="H21" s="66">
        <f>14727+1312+10562</f>
        <v>26601</v>
      </c>
      <c r="I21" s="79">
        <f t="shared" si="1"/>
        <v>0.50745898512018317</v>
      </c>
      <c r="J21" s="26">
        <f>Assumptions!$C$62</f>
        <v>27296</v>
      </c>
      <c r="K21" s="26">
        <f t="shared" si="2"/>
        <v>230559889.62075546</v>
      </c>
      <c r="L21" s="391">
        <f>Assumptions!$H$3</f>
        <v>1.1863330000000001</v>
      </c>
      <c r="M21" s="852">
        <f>Assumptions!$C$64</f>
        <v>3.6635404454865184E-2</v>
      </c>
      <c r="N21" s="1522">
        <v>113</v>
      </c>
      <c r="O21" s="458">
        <f t="shared" si="19"/>
        <v>4.9111821878663555</v>
      </c>
      <c r="P21" s="1047">
        <f t="shared" si="4"/>
        <v>1132321623.1418872</v>
      </c>
      <c r="Q21" s="475">
        <v>1</v>
      </c>
      <c r="R21" s="306">
        <f t="shared" si="5"/>
        <v>4.3461789273153584E-2</v>
      </c>
      <c r="S21" s="373"/>
      <c r="T21" s="499">
        <f t="shared" si="12"/>
        <v>0</v>
      </c>
      <c r="U21" s="281">
        <f t="shared" si="13"/>
        <v>0</v>
      </c>
      <c r="V21" s="281">
        <f t="shared" si="14"/>
        <v>0</v>
      </c>
      <c r="W21" s="342">
        <f t="shared" si="6"/>
        <v>0</v>
      </c>
      <c r="X21" s="1053">
        <f t="shared" si="7"/>
        <v>4.3461789273153584E-2</v>
      </c>
      <c r="Y21" s="1047">
        <f t="shared" si="8"/>
        <v>10020545.337538823</v>
      </c>
      <c r="Z21" s="535">
        <f t="shared" si="15"/>
        <v>4.3461789273153584E-2</v>
      </c>
      <c r="AA21" s="366">
        <f t="shared" si="16"/>
        <v>10020545.337538823</v>
      </c>
      <c r="AB21" s="336">
        <f>-'OECD electricity subsidies'!E59</f>
        <v>0</v>
      </c>
      <c r="AC21" s="342">
        <f t="shared" si="9"/>
        <v>0</v>
      </c>
      <c r="AD21" s="849">
        <f t="shared" si="10"/>
        <v>10020545.337538823</v>
      </c>
      <c r="AE21" s="281">
        <f t="shared" si="11"/>
        <v>4.9546439771395088</v>
      </c>
      <c r="AF21" s="342">
        <f t="shared" si="17"/>
        <v>1142342168.4794259</v>
      </c>
      <c r="AG21" s="1"/>
    </row>
    <row r="22" spans="1:33" x14ac:dyDescent="0.6">
      <c r="A22" s="46">
        <f t="shared" si="18"/>
        <v>18</v>
      </c>
      <c r="B22" s="44" t="s">
        <v>16</v>
      </c>
      <c r="C22" s="290">
        <v>12788</v>
      </c>
      <c r="D22" s="290">
        <v>3205</v>
      </c>
      <c r="E22" s="290">
        <v>3232</v>
      </c>
      <c r="F22" s="290">
        <f t="shared" si="0"/>
        <v>6351</v>
      </c>
      <c r="G22" s="494">
        <v>15100</v>
      </c>
      <c r="H22" s="66">
        <f>4385+17+404</f>
        <v>4806</v>
      </c>
      <c r="I22" s="79">
        <f t="shared" si="1"/>
        <v>0.31827814569536422</v>
      </c>
      <c r="J22" s="26">
        <f>Assumptions!$C$62</f>
        <v>27296</v>
      </c>
      <c r="K22" s="26">
        <f t="shared" si="2"/>
        <v>55175711.402384102</v>
      </c>
      <c r="L22" s="391">
        <f>Assumptions!$H$3</f>
        <v>1.1863330000000001</v>
      </c>
      <c r="M22" s="852">
        <f>Assumptions!$C$64</f>
        <v>3.6635404454865184E-2</v>
      </c>
      <c r="N22" s="1519">
        <v>65.599999999999994</v>
      </c>
      <c r="O22" s="458">
        <f t="shared" si="19"/>
        <v>2.8510933763188744</v>
      </c>
      <c r="P22" s="1047">
        <f t="shared" si="4"/>
        <v>157311105.3130191</v>
      </c>
      <c r="Q22" s="475">
        <v>10.6</v>
      </c>
      <c r="R22" s="306">
        <f t="shared" si="5"/>
        <v>0.46069496629542794</v>
      </c>
      <c r="S22" s="373"/>
      <c r="T22" s="499">
        <f t="shared" si="12"/>
        <v>0</v>
      </c>
      <c r="U22" s="281">
        <f t="shared" si="13"/>
        <v>0</v>
      </c>
      <c r="V22" s="281">
        <f t="shared" si="14"/>
        <v>0</v>
      </c>
      <c r="W22" s="342">
        <f t="shared" si="6"/>
        <v>0</v>
      </c>
      <c r="X22" s="1053">
        <f t="shared" si="7"/>
        <v>0.46069496629542794</v>
      </c>
      <c r="Y22" s="1047">
        <f t="shared" si="8"/>
        <v>25419172.504847605</v>
      </c>
      <c r="Z22" s="535">
        <f t="shared" si="15"/>
        <v>0.46069496629542794</v>
      </c>
      <c r="AA22" s="366">
        <f t="shared" si="16"/>
        <v>25419172.504847605</v>
      </c>
      <c r="AB22" s="336">
        <f>-'OECD electricity subsidies'!E61</f>
        <v>0</v>
      </c>
      <c r="AC22" s="342">
        <f t="shared" si="9"/>
        <v>0</v>
      </c>
      <c r="AD22" s="849">
        <f t="shared" si="10"/>
        <v>25419172.504847605</v>
      </c>
      <c r="AE22" s="281">
        <f t="shared" si="11"/>
        <v>3.3117883426143022</v>
      </c>
      <c r="AF22" s="342">
        <f t="shared" si="17"/>
        <v>182730277.81786671</v>
      </c>
      <c r="AG22" s="1"/>
    </row>
    <row r="23" spans="1:33" x14ac:dyDescent="0.6">
      <c r="A23" s="46">
        <f t="shared" si="18"/>
        <v>19</v>
      </c>
      <c r="B23" s="44" t="s">
        <v>17</v>
      </c>
      <c r="C23" s="290">
        <v>24371</v>
      </c>
      <c r="D23" s="290">
        <v>5035</v>
      </c>
      <c r="E23" s="290">
        <v>6866</v>
      </c>
      <c r="F23" s="290">
        <f t="shared" si="0"/>
        <v>12470</v>
      </c>
      <c r="G23" s="494">
        <v>26903</v>
      </c>
      <c r="H23" s="66">
        <f>3332+384+1604</f>
        <v>5320</v>
      </c>
      <c r="I23" s="79">
        <f t="shared" si="1"/>
        <v>0.19774746310820354</v>
      </c>
      <c r="J23" s="26">
        <f>Assumptions!$C$62</f>
        <v>27296</v>
      </c>
      <c r="K23" s="26">
        <f t="shared" si="2"/>
        <v>67309502.969928995</v>
      </c>
      <c r="L23" s="391">
        <f>Assumptions!$H$3</f>
        <v>1.1863330000000001</v>
      </c>
      <c r="M23" s="852">
        <f>Assumptions!$C$64</f>
        <v>3.6635404454865184E-2</v>
      </c>
      <c r="N23" s="1519">
        <v>117</v>
      </c>
      <c r="O23" s="458">
        <f t="shared" si="19"/>
        <v>5.0850293449589694</v>
      </c>
      <c r="P23" s="1047">
        <f t="shared" si="4"/>
        <v>342270797.79669183</v>
      </c>
      <c r="Q23" s="475"/>
      <c r="R23" s="306">
        <f t="shared" si="5"/>
        <v>0</v>
      </c>
      <c r="S23" s="373"/>
      <c r="T23" s="499">
        <f t="shared" si="12"/>
        <v>0</v>
      </c>
      <c r="U23" s="281">
        <f t="shared" si="13"/>
        <v>0</v>
      </c>
      <c r="V23" s="281">
        <f t="shared" si="14"/>
        <v>0</v>
      </c>
      <c r="W23" s="342">
        <f t="shared" si="6"/>
        <v>0</v>
      </c>
      <c r="X23" s="1053">
        <f t="shared" si="7"/>
        <v>0</v>
      </c>
      <c r="Y23" s="1047">
        <f t="shared" si="8"/>
        <v>0</v>
      </c>
      <c r="Z23" s="535">
        <f t="shared" si="15"/>
        <v>0</v>
      </c>
      <c r="AA23" s="366">
        <f t="shared" si="16"/>
        <v>0</v>
      </c>
      <c r="AB23" s="336">
        <f>-'OECD electricity subsidies'!E63</f>
        <v>0</v>
      </c>
      <c r="AC23" s="342">
        <f t="shared" si="9"/>
        <v>0</v>
      </c>
      <c r="AD23" s="849">
        <f t="shared" si="10"/>
        <v>0</v>
      </c>
      <c r="AE23" s="281">
        <f t="shared" si="11"/>
        <v>5.0850293449589694</v>
      </c>
      <c r="AF23" s="342">
        <f t="shared" si="17"/>
        <v>342270797.79669183</v>
      </c>
      <c r="AG23" s="1"/>
    </row>
    <row r="24" spans="1:33" x14ac:dyDescent="0.6">
      <c r="A24" s="46">
        <f t="shared" si="18"/>
        <v>20</v>
      </c>
      <c r="B24" s="44" t="s">
        <v>18</v>
      </c>
      <c r="C24" s="290">
        <v>78466</v>
      </c>
      <c r="D24" s="290">
        <v>20917</v>
      </c>
      <c r="E24" s="290">
        <v>17433</v>
      </c>
      <c r="F24" s="290">
        <f t="shared" si="0"/>
        <v>40116</v>
      </c>
      <c r="G24" s="494">
        <v>68598</v>
      </c>
      <c r="H24" s="66">
        <f>8787+212+5195</f>
        <v>14194</v>
      </c>
      <c r="I24" s="79">
        <f t="shared" si="1"/>
        <v>0.20691565351759528</v>
      </c>
      <c r="J24" s="26">
        <f>Assumptions!$C$62</f>
        <v>27296</v>
      </c>
      <c r="K24" s="26">
        <f t="shared" si="2"/>
        <v>226573951.61934751</v>
      </c>
      <c r="L24" s="391">
        <f>Assumptions!$H$3</f>
        <v>1.1863330000000001</v>
      </c>
      <c r="M24" s="852">
        <f>Assumptions!$C$64</f>
        <v>3.6635404454865184E-2</v>
      </c>
      <c r="N24" s="1519">
        <v>67.8</v>
      </c>
      <c r="O24" s="458">
        <f t="shared" si="19"/>
        <v>2.9467093127198125</v>
      </c>
      <c r="P24" s="1047">
        <f t="shared" si="4"/>
        <v>667647573.25645959</v>
      </c>
      <c r="Q24" s="475">
        <v>7</v>
      </c>
      <c r="R24" s="306">
        <f t="shared" si="5"/>
        <v>0.30423252491207509</v>
      </c>
      <c r="S24" s="373"/>
      <c r="T24" s="499">
        <f t="shared" si="12"/>
        <v>0</v>
      </c>
      <c r="U24" s="281">
        <f t="shared" si="13"/>
        <v>0</v>
      </c>
      <c r="V24" s="281">
        <f t="shared" si="14"/>
        <v>0</v>
      </c>
      <c r="W24" s="342">
        <f t="shared" si="6"/>
        <v>0</v>
      </c>
      <c r="X24" s="1053">
        <f t="shared" si="7"/>
        <v>0.30423252491207509</v>
      </c>
      <c r="Y24" s="1047">
        <f t="shared" si="8"/>
        <v>68931165.380460441</v>
      </c>
      <c r="Z24" s="535">
        <f t="shared" si="15"/>
        <v>0.30423252491207509</v>
      </c>
      <c r="AA24" s="366">
        <f t="shared" si="16"/>
        <v>68931165.380460441</v>
      </c>
      <c r="AB24" s="336">
        <f>-'OECD electricity subsidies'!E65</f>
        <v>0</v>
      </c>
      <c r="AC24" s="342">
        <f t="shared" si="9"/>
        <v>0</v>
      </c>
      <c r="AD24" s="849">
        <f t="shared" si="10"/>
        <v>68931165.380460441</v>
      </c>
      <c r="AE24" s="281">
        <f t="shared" si="11"/>
        <v>3.2509418376318875</v>
      </c>
      <c r="AF24" s="342">
        <f t="shared" si="17"/>
        <v>736578738.63691998</v>
      </c>
      <c r="AG24" s="1"/>
    </row>
    <row r="25" spans="1:33" x14ac:dyDescent="0.6">
      <c r="A25" s="46">
        <f t="shared" si="18"/>
        <v>21</v>
      </c>
      <c r="B25" s="44" t="s">
        <v>19</v>
      </c>
      <c r="C25" s="290">
        <v>124859</v>
      </c>
      <c r="D25" s="290">
        <v>42987</v>
      </c>
      <c r="E25" s="290">
        <v>27736</v>
      </c>
      <c r="F25" s="290">
        <f t="shared" si="0"/>
        <v>54136</v>
      </c>
      <c r="G25" s="494">
        <v>162058</v>
      </c>
      <c r="H25" s="66">
        <f>1261+252+425</f>
        <v>1938</v>
      </c>
      <c r="I25" s="79">
        <f t="shared" si="1"/>
        <v>1.1958681459724296E-2</v>
      </c>
      <c r="J25" s="26">
        <f>Assumptions!$C$62</f>
        <v>27296</v>
      </c>
      <c r="K25" s="26">
        <f t="shared" si="2"/>
        <v>17671298.819731206</v>
      </c>
      <c r="L25" s="391">
        <f>Assumptions!$H$19</f>
        <v>0.119739</v>
      </c>
      <c r="M25" s="852">
        <f>Assumptions!$C$64</f>
        <v>3.6635404454865184E-2</v>
      </c>
      <c r="N25" s="865">
        <v>504</v>
      </c>
      <c r="O25" s="458">
        <f t="shared" si="19"/>
        <v>2.2108900937866354</v>
      </c>
      <c r="P25" s="1047">
        <f t="shared" si="4"/>
        <v>39069299.504887186</v>
      </c>
      <c r="Q25" s="517">
        <v>5</v>
      </c>
      <c r="R25" s="306">
        <f t="shared" si="5"/>
        <v>2.1933433470105512E-2</v>
      </c>
      <c r="S25" s="373"/>
      <c r="T25" s="499">
        <f t="shared" si="12"/>
        <v>0</v>
      </c>
      <c r="U25" s="281">
        <f t="shared" si="13"/>
        <v>0</v>
      </c>
      <c r="V25" s="281">
        <f t="shared" si="14"/>
        <v>0</v>
      </c>
      <c r="W25" s="342">
        <f t="shared" si="6"/>
        <v>0</v>
      </c>
      <c r="X25" s="1053">
        <f t="shared" si="7"/>
        <v>2.1933433470105512E-2</v>
      </c>
      <c r="Y25" s="1047">
        <f t="shared" si="8"/>
        <v>387592.25699292845</v>
      </c>
      <c r="Z25" s="535">
        <f t="shared" si="15"/>
        <v>2.1933433470105512E-2</v>
      </c>
      <c r="AA25" s="366">
        <f t="shared" si="16"/>
        <v>387592.25699292845</v>
      </c>
      <c r="AB25" s="336">
        <f>-'OECD electricity subsidies'!E67</f>
        <v>0</v>
      </c>
      <c r="AC25" s="342">
        <f t="shared" si="9"/>
        <v>0</v>
      </c>
      <c r="AD25" s="849">
        <f t="shared" si="10"/>
        <v>387592.25699292845</v>
      </c>
      <c r="AE25" s="281">
        <f t="shared" si="11"/>
        <v>2.2328235272567407</v>
      </c>
      <c r="AF25" s="342">
        <f t="shared" si="17"/>
        <v>39456891.761880107</v>
      </c>
      <c r="AG25" s="1"/>
    </row>
    <row r="26" spans="1:33" ht="15.9" thickBot="1" x14ac:dyDescent="0.65">
      <c r="A26" s="15">
        <f t="shared" si="18"/>
        <v>22</v>
      </c>
      <c r="B26" s="47" t="s">
        <v>20</v>
      </c>
      <c r="C26" s="291">
        <v>302850</v>
      </c>
      <c r="D26" s="291">
        <v>108157</v>
      </c>
      <c r="E26" s="291">
        <v>93680</v>
      </c>
      <c r="F26" s="291">
        <f t="shared" si="0"/>
        <v>101013</v>
      </c>
      <c r="G26" s="495">
        <v>339095</v>
      </c>
      <c r="H26" s="67">
        <f>76711+2133+100033</f>
        <v>178877</v>
      </c>
      <c r="I26" s="92">
        <f t="shared" si="1"/>
        <v>0.52751293885194417</v>
      </c>
      <c r="J26" s="38">
        <f>Assumptions!$C$62</f>
        <v>27296</v>
      </c>
      <c r="K26" s="38">
        <f t="shared" si="2"/>
        <v>1454485497.9804952</v>
      </c>
      <c r="L26" s="505">
        <f>Assumptions!$H$20</f>
        <v>1.337591</v>
      </c>
      <c r="M26" s="854">
        <f>Assumptions!$C$64</f>
        <v>3.6635404454865184E-2</v>
      </c>
      <c r="N26" s="1555">
        <v>91.2</v>
      </c>
      <c r="O26" s="371">
        <f t="shared" si="19"/>
        <v>4.4690906799531067</v>
      </c>
      <c r="P26" s="1048">
        <f t="shared" si="4"/>
        <v>6500227583.1515846</v>
      </c>
      <c r="Q26" s="518">
        <v>2.2999999999999998</v>
      </c>
      <c r="R26" s="309">
        <f t="shared" si="5"/>
        <v>0.11270733074443141</v>
      </c>
      <c r="S26" s="374"/>
      <c r="T26" s="500">
        <f t="shared" si="12"/>
        <v>0</v>
      </c>
      <c r="U26" s="318">
        <f t="shared" si="13"/>
        <v>0</v>
      </c>
      <c r="V26" s="318">
        <f t="shared" si="14"/>
        <v>0</v>
      </c>
      <c r="W26" s="344">
        <f t="shared" si="6"/>
        <v>0</v>
      </c>
      <c r="X26" s="1054">
        <f t="shared" si="7"/>
        <v>0.11270733074443141</v>
      </c>
      <c r="Y26" s="1048">
        <f t="shared" si="8"/>
        <v>163931178.08386672</v>
      </c>
      <c r="Z26" s="846">
        <f t="shared" si="15"/>
        <v>0.11270733074443141</v>
      </c>
      <c r="AA26" s="368">
        <f t="shared" si="16"/>
        <v>163931178.08386672</v>
      </c>
      <c r="AB26" s="340">
        <f>-'OECD electricity subsidies'!E69</f>
        <v>0</v>
      </c>
      <c r="AC26" s="344">
        <f t="shared" si="9"/>
        <v>0</v>
      </c>
      <c r="AD26" s="851">
        <f t="shared" si="10"/>
        <v>163931178.08386672</v>
      </c>
      <c r="AE26" s="318">
        <f t="shared" si="11"/>
        <v>4.581798010697538</v>
      </c>
      <c r="AF26" s="344">
        <f t="shared" si="17"/>
        <v>6664158761.2354507</v>
      </c>
      <c r="AG26" s="1"/>
    </row>
    <row r="27" spans="1:33" ht="15.9" thickTop="1" x14ac:dyDescent="0.6">
      <c r="A27" s="48" t="s">
        <v>36</v>
      </c>
      <c r="B27" s="44"/>
      <c r="C27" s="290"/>
      <c r="D27" s="290"/>
      <c r="E27" s="290"/>
      <c r="F27" s="290"/>
      <c r="G27" s="494"/>
      <c r="H27" s="66"/>
      <c r="I27" s="79"/>
      <c r="J27" s="26"/>
      <c r="K27" s="26"/>
      <c r="L27" s="399"/>
      <c r="M27" s="852"/>
      <c r="N27" s="867"/>
      <c r="O27" s="458"/>
      <c r="P27" s="1047"/>
      <c r="Q27" s="519"/>
      <c r="R27" s="306"/>
      <c r="S27" s="322"/>
      <c r="T27" s="362"/>
      <c r="U27" s="320"/>
      <c r="V27" s="320"/>
      <c r="W27" s="847"/>
      <c r="X27" s="1053"/>
      <c r="Y27" s="1047"/>
      <c r="Z27" s="844"/>
      <c r="AA27" s="366">
        <f t="shared" si="16"/>
        <v>0</v>
      </c>
      <c r="AB27" s="336"/>
      <c r="AC27" s="342"/>
      <c r="AD27" s="849"/>
      <c r="AE27" s="320"/>
      <c r="AF27" s="342"/>
      <c r="AG27" s="1"/>
    </row>
    <row r="28" spans="1:33" x14ac:dyDescent="0.6">
      <c r="A28" s="61">
        <f>A26+1</f>
        <v>23</v>
      </c>
      <c r="B28" s="44" t="s">
        <v>38</v>
      </c>
      <c r="C28" s="290">
        <v>503065</v>
      </c>
      <c r="D28" s="290">
        <v>169016</v>
      </c>
      <c r="E28" s="290">
        <v>118122</v>
      </c>
      <c r="F28" s="290">
        <f t="shared" si="0"/>
        <v>215927</v>
      </c>
      <c r="G28" s="494">
        <v>670851</v>
      </c>
      <c r="H28" s="66">
        <f>65977+8148+67181</f>
        <v>141306</v>
      </c>
      <c r="I28" s="79">
        <f t="shared" si="1"/>
        <v>0.2106369372632671</v>
      </c>
      <c r="J28" s="26">
        <f>Assumptions!$C$62</f>
        <v>27296</v>
      </c>
      <c r="K28" s="26">
        <f t="shared" si="2"/>
        <v>1241482184.4939516</v>
      </c>
      <c r="L28" s="399">
        <f>Assumptions!$H$4</f>
        <v>0.78824099999999997</v>
      </c>
      <c r="M28" s="852">
        <f>Assumptions!$C$64</f>
        <v>3.6635404454865184E-2</v>
      </c>
      <c r="N28" s="861"/>
      <c r="O28" s="458">
        <f>(AE28-R28)/(1+S28)</f>
        <v>4.1323742343200474</v>
      </c>
      <c r="P28" s="1047">
        <f t="shared" si="4"/>
        <v>5130268991.5701733</v>
      </c>
      <c r="Q28" s="509"/>
      <c r="R28" s="306">
        <f t="shared" ref="R28:R34" si="20">Q28*M28*L28</f>
        <v>0</v>
      </c>
      <c r="S28" s="322"/>
      <c r="T28" s="362">
        <f t="shared" si="12"/>
        <v>0</v>
      </c>
      <c r="U28" s="320">
        <f t="shared" si="13"/>
        <v>0</v>
      </c>
      <c r="V28" s="320">
        <f t="shared" si="14"/>
        <v>0</v>
      </c>
      <c r="W28" s="847">
        <f t="shared" si="6"/>
        <v>0</v>
      </c>
      <c r="X28" s="1053">
        <f t="shared" si="7"/>
        <v>0</v>
      </c>
      <c r="Y28" s="1047">
        <f t="shared" ref="Y28:Y34" si="21">X28*K28</f>
        <v>0</v>
      </c>
      <c r="Z28" s="844">
        <f t="shared" si="15"/>
        <v>0</v>
      </c>
      <c r="AA28" s="366">
        <f t="shared" si="16"/>
        <v>0</v>
      </c>
      <c r="AB28" s="336">
        <f>-'OECD electricity subsidies'!E71</f>
        <v>0</v>
      </c>
      <c r="AC28" s="342">
        <f t="shared" si="9"/>
        <v>0</v>
      </c>
      <c r="AD28" s="849">
        <f t="shared" ref="AD28:AD34" si="22">AA28+AC28</f>
        <v>0</v>
      </c>
      <c r="AE28" s="320">
        <f>0.1431*1000*M28*L28</f>
        <v>4.1323742343200474</v>
      </c>
      <c r="AF28" s="342">
        <f t="shared" si="17"/>
        <v>5130268991.5701733</v>
      </c>
      <c r="AG28" s="1"/>
    </row>
    <row r="29" spans="1:33" x14ac:dyDescent="0.6">
      <c r="A29" s="61">
        <f t="shared" ref="A29:A34" si="23">A28+1</f>
        <v>24</v>
      </c>
      <c r="B29" s="44" t="s">
        <v>39</v>
      </c>
      <c r="C29" s="290">
        <v>110768</v>
      </c>
      <c r="D29" s="290">
        <v>37288</v>
      </c>
      <c r="E29" s="290">
        <v>25543</v>
      </c>
      <c r="F29" s="290">
        <f t="shared" si="0"/>
        <v>47937</v>
      </c>
      <c r="G29" s="494">
        <v>145021</v>
      </c>
      <c r="H29" s="66">
        <f>151+29+2598</f>
        <v>2778</v>
      </c>
      <c r="I29" s="79">
        <f t="shared" si="1"/>
        <v>1.9155846394660083E-2</v>
      </c>
      <c r="J29" s="26">
        <f>Assumptions!$C$62</f>
        <v>27296</v>
      </c>
      <c r="K29" s="26">
        <f t="shared" si="2"/>
        <v>25065201.880113915</v>
      </c>
      <c r="L29" s="399">
        <f>Assumptions!$H$5</f>
        <v>0.12035</v>
      </c>
      <c r="M29" s="852">
        <f>Assumptions!$C$64</f>
        <v>3.6635404454865184E-2</v>
      </c>
      <c r="N29" s="868">
        <v>222</v>
      </c>
      <c r="O29" s="458">
        <f>L29*N29*M29</f>
        <v>0.97881374560375156</v>
      </c>
      <c r="P29" s="1047">
        <f t="shared" si="4"/>
        <v>24534164.136588495</v>
      </c>
      <c r="Q29" s="478">
        <v>0</v>
      </c>
      <c r="R29" s="306">
        <f t="shared" si="20"/>
        <v>0</v>
      </c>
      <c r="S29" s="322"/>
      <c r="T29" s="362">
        <f t="shared" si="12"/>
        <v>0</v>
      </c>
      <c r="U29" s="320">
        <f t="shared" si="13"/>
        <v>0</v>
      </c>
      <c r="V29" s="320">
        <f t="shared" si="14"/>
        <v>0</v>
      </c>
      <c r="W29" s="847">
        <f t="shared" si="6"/>
        <v>0</v>
      </c>
      <c r="X29" s="1053">
        <f t="shared" si="7"/>
        <v>0</v>
      </c>
      <c r="Y29" s="1047">
        <f t="shared" si="21"/>
        <v>0</v>
      </c>
      <c r="Z29" s="844">
        <f t="shared" si="15"/>
        <v>0</v>
      </c>
      <c r="AA29" s="366">
        <f t="shared" si="16"/>
        <v>0</v>
      </c>
      <c r="AB29" s="336">
        <f>-'OECD electricity subsidies'!E78</f>
        <v>0</v>
      </c>
      <c r="AC29" s="342">
        <f t="shared" si="9"/>
        <v>0</v>
      </c>
      <c r="AD29" s="849">
        <f t="shared" si="22"/>
        <v>0</v>
      </c>
      <c r="AE29" s="281">
        <f>(O29+R29)*(1+S29)</f>
        <v>0.97881374560375156</v>
      </c>
      <c r="AF29" s="342">
        <f t="shared" si="17"/>
        <v>24534164.136588495</v>
      </c>
      <c r="AG29" s="1"/>
    </row>
    <row r="30" spans="1:33" x14ac:dyDescent="0.6">
      <c r="A30" s="61">
        <f t="shared" si="23"/>
        <v>25</v>
      </c>
      <c r="B30" s="44" t="s">
        <v>40</v>
      </c>
      <c r="C30" s="290">
        <v>58239</v>
      </c>
      <c r="D30" s="290">
        <v>18761</v>
      </c>
      <c r="E30" s="290">
        <v>17367</v>
      </c>
      <c r="F30" s="290">
        <f t="shared" si="0"/>
        <v>22111</v>
      </c>
      <c r="G30" s="494">
        <v>67720</v>
      </c>
      <c r="H30" s="66">
        <f>45+662</f>
        <v>707</v>
      </c>
      <c r="I30" s="79">
        <f t="shared" si="1"/>
        <v>1.0440047253396338E-2</v>
      </c>
      <c r="J30" s="26">
        <f>Assumptions!$C$62</f>
        <v>27296</v>
      </c>
      <c r="K30" s="26">
        <f t="shared" si="2"/>
        <v>6301005.4960425282</v>
      </c>
      <c r="L30" s="399">
        <f>Assumptions!$H$6</f>
        <v>1.010632</v>
      </c>
      <c r="M30" s="852">
        <f>Assumptions!$C$64</f>
        <v>3.6635404454865184E-2</v>
      </c>
      <c r="N30" s="869">
        <v>106.8</v>
      </c>
      <c r="O30" s="458">
        <f>L30*N30*M30</f>
        <v>3.9542606096131299</v>
      </c>
      <c r="P30" s="1047">
        <f t="shared" si="4"/>
        <v>24915817.833956808</v>
      </c>
      <c r="Q30" s="520">
        <v>11</v>
      </c>
      <c r="R30" s="306">
        <f t="shared" si="20"/>
        <v>0.40727403282532243</v>
      </c>
      <c r="S30" s="322"/>
      <c r="T30" s="362">
        <f t="shared" si="12"/>
        <v>0</v>
      </c>
      <c r="U30" s="320">
        <f t="shared" si="13"/>
        <v>0</v>
      </c>
      <c r="V30" s="320">
        <f t="shared" si="14"/>
        <v>0</v>
      </c>
      <c r="W30" s="847">
        <f t="shared" si="6"/>
        <v>0</v>
      </c>
      <c r="X30" s="1053">
        <f t="shared" si="7"/>
        <v>0.40727403282532243</v>
      </c>
      <c r="Y30" s="1047">
        <f t="shared" si="21"/>
        <v>2566235.9192277617</v>
      </c>
      <c r="Z30" s="844">
        <f t="shared" si="15"/>
        <v>0.40727403282532243</v>
      </c>
      <c r="AA30" s="366">
        <f t="shared" si="16"/>
        <v>2566235.9192277617</v>
      </c>
      <c r="AB30" s="336">
        <f>-'OECD electricity subsidies'!E80</f>
        <v>0</v>
      </c>
      <c r="AC30" s="342">
        <f t="shared" si="9"/>
        <v>0</v>
      </c>
      <c r="AD30" s="849">
        <f t="shared" si="22"/>
        <v>2566235.9192277617</v>
      </c>
      <c r="AE30" s="281">
        <f>(O30+R30)*(1+S30)</f>
        <v>4.3615346424384525</v>
      </c>
      <c r="AF30" s="342">
        <f t="shared" si="17"/>
        <v>27482053.753184572</v>
      </c>
      <c r="AG30" s="1"/>
    </row>
    <row r="31" spans="1:33" x14ac:dyDescent="0.6">
      <c r="A31" s="61">
        <f t="shared" si="23"/>
        <v>26</v>
      </c>
      <c r="B31" s="44" t="s">
        <v>31</v>
      </c>
      <c r="C31" s="290">
        <v>949234</v>
      </c>
      <c r="D31" s="290">
        <v>267638</v>
      </c>
      <c r="E31" s="290">
        <v>326740</v>
      </c>
      <c r="F31" s="290">
        <f t="shared" si="0"/>
        <v>354856</v>
      </c>
      <c r="G31" s="494">
        <v>1041343</v>
      </c>
      <c r="H31" s="66">
        <f>343219+102524+409833</f>
        <v>855576</v>
      </c>
      <c r="I31" s="79">
        <f t="shared" si="1"/>
        <v>0.82160825011547589</v>
      </c>
      <c r="J31" s="26">
        <f>Assumptions!$C$62</f>
        <v>27296</v>
      </c>
      <c r="K31" s="26">
        <f t="shared" si="2"/>
        <v>7958220239.1724682</v>
      </c>
      <c r="L31" s="399">
        <f>Assumptions!$H$7</f>
        <v>8.829E-3</v>
      </c>
      <c r="M31" s="852">
        <f>Assumptions!$C$64</f>
        <v>3.6635404454865184E-2</v>
      </c>
      <c r="N31" s="870">
        <v>18576</v>
      </c>
      <c r="O31" s="458">
        <f>L31*N31*M31</f>
        <v>6.0084812426729197</v>
      </c>
      <c r="P31" s="1047">
        <f t="shared" si="4"/>
        <v>47816817032.127769</v>
      </c>
      <c r="Q31" s="521">
        <v>375</v>
      </c>
      <c r="R31" s="306">
        <f t="shared" si="20"/>
        <v>0.12129524472450176</v>
      </c>
      <c r="S31" s="322"/>
      <c r="T31" s="362">
        <f t="shared" si="12"/>
        <v>0</v>
      </c>
      <c r="U31" s="320">
        <f t="shared" si="13"/>
        <v>0</v>
      </c>
      <c r="V31" s="320">
        <f t="shared" si="14"/>
        <v>0</v>
      </c>
      <c r="W31" s="847">
        <f t="shared" si="6"/>
        <v>0</v>
      </c>
      <c r="X31" s="1053">
        <f t="shared" si="7"/>
        <v>0.12129524472450176</v>
      </c>
      <c r="Y31" s="1047">
        <f t="shared" si="21"/>
        <v>965294271.48190749</v>
      </c>
      <c r="Z31" s="844">
        <f t="shared" si="15"/>
        <v>0.12129524472450176</v>
      </c>
      <c r="AA31" s="366">
        <f t="shared" si="16"/>
        <v>965294271.48190749</v>
      </c>
      <c r="AB31" s="336">
        <f>-'OECD electricity subsidies'!E82</f>
        <v>0</v>
      </c>
      <c r="AC31" s="342">
        <f t="shared" si="9"/>
        <v>0</v>
      </c>
      <c r="AD31" s="849">
        <f t="shared" si="22"/>
        <v>965294271.48190749</v>
      </c>
      <c r="AE31" s="281">
        <f>(O31+R31)*(1+S31)</f>
        <v>6.1297764873974216</v>
      </c>
      <c r="AF31" s="342">
        <f t="shared" si="17"/>
        <v>48782111303.60968</v>
      </c>
      <c r="AG31" s="1"/>
    </row>
    <row r="32" spans="1:33" x14ac:dyDescent="0.6">
      <c r="A32" s="61">
        <f t="shared" si="23"/>
        <v>27</v>
      </c>
      <c r="B32" s="44" t="s">
        <v>47</v>
      </c>
      <c r="C32" s="290">
        <v>495311</v>
      </c>
      <c r="D32" s="290">
        <v>63802</v>
      </c>
      <c r="E32" s="290">
        <v>152278</v>
      </c>
      <c r="F32" s="290">
        <f t="shared" si="0"/>
        <v>279231</v>
      </c>
      <c r="G32" s="494">
        <v>552876</v>
      </c>
      <c r="H32" s="66">
        <f>236586+12518+122856</f>
        <v>371960</v>
      </c>
      <c r="I32" s="79">
        <f t="shared" si="1"/>
        <v>0.67277291833973618</v>
      </c>
      <c r="J32" s="26">
        <f>Assumptions!$C$62</f>
        <v>27296</v>
      </c>
      <c r="K32" s="26">
        <f t="shared" si="2"/>
        <v>5127800758.7541513</v>
      </c>
      <c r="L32" s="399">
        <f>Assumptions!$H$8</f>
        <v>9.3000000000000005E-4</v>
      </c>
      <c r="M32" s="852">
        <f>Assumptions!$C$64</f>
        <v>3.6635404454865184E-2</v>
      </c>
      <c r="N32" s="1552">
        <f>O32/M32/L32</f>
        <v>107000</v>
      </c>
      <c r="O32" s="458">
        <f>AE32/(1+S32)</f>
        <v>3.6455890973036347</v>
      </c>
      <c r="P32" s="1047">
        <f t="shared" si="4"/>
        <v>18693854539.259441</v>
      </c>
      <c r="Q32" s="522"/>
      <c r="R32" s="306">
        <f t="shared" si="20"/>
        <v>0</v>
      </c>
      <c r="S32" s="322"/>
      <c r="T32" s="362">
        <f t="shared" si="12"/>
        <v>0</v>
      </c>
      <c r="U32" s="320">
        <f t="shared" si="13"/>
        <v>0</v>
      </c>
      <c r="V32" s="320">
        <f t="shared" si="14"/>
        <v>0</v>
      </c>
      <c r="W32" s="847">
        <f t="shared" si="6"/>
        <v>0</v>
      </c>
      <c r="X32" s="1053">
        <f t="shared" si="7"/>
        <v>0</v>
      </c>
      <c r="Y32" s="1047">
        <f t="shared" si="21"/>
        <v>0</v>
      </c>
      <c r="Z32" s="844">
        <f t="shared" si="15"/>
        <v>0</v>
      </c>
      <c r="AA32" s="366">
        <f t="shared" si="16"/>
        <v>0</v>
      </c>
      <c r="AB32" s="336">
        <f>-'OECD electricity subsidies'!E84</f>
        <v>0</v>
      </c>
      <c r="AC32" s="342">
        <f t="shared" si="9"/>
        <v>0</v>
      </c>
      <c r="AD32" s="849">
        <f t="shared" si="22"/>
        <v>0</v>
      </c>
      <c r="AE32" s="320">
        <f>107000*M32*L32</f>
        <v>3.6455890973036347</v>
      </c>
      <c r="AF32" s="342">
        <f t="shared" si="17"/>
        <v>18693854539.259441</v>
      </c>
      <c r="AG32" s="1"/>
    </row>
    <row r="33" spans="1:33" x14ac:dyDescent="0.6">
      <c r="A33" s="61">
        <f t="shared" si="23"/>
        <v>28</v>
      </c>
      <c r="B33" s="44" t="s">
        <v>32</v>
      </c>
      <c r="C33" s="290">
        <v>211318</v>
      </c>
      <c r="D33" s="290">
        <v>59273</v>
      </c>
      <c r="E33" s="290">
        <v>67126</v>
      </c>
      <c r="F33" s="290">
        <f t="shared" si="0"/>
        <v>84919</v>
      </c>
      <c r="G33" s="494">
        <v>252360</v>
      </c>
      <c r="H33" s="66">
        <f>158610+6799+52462</f>
        <v>217871</v>
      </c>
      <c r="I33" s="79">
        <f t="shared" si="1"/>
        <v>0.86333412585195757</v>
      </c>
      <c r="J33" s="26">
        <f>Assumptions!$C$62</f>
        <v>27296</v>
      </c>
      <c r="K33" s="26">
        <f t="shared" si="2"/>
        <v>2001164494.4044383</v>
      </c>
      <c r="L33" s="399">
        <f>Assumptions!$H$9</f>
        <v>0.77382200000000001</v>
      </c>
      <c r="M33" s="852">
        <f>Assumptions!$C$64</f>
        <v>3.6635404454865184E-2</v>
      </c>
      <c r="N33" s="1553"/>
      <c r="O33" s="458">
        <f>AE33/(1+S33)-R33</f>
        <v>6.2651913100820638</v>
      </c>
      <c r="P33" s="1047">
        <f t="shared" si="4"/>
        <v>12537678400.387453</v>
      </c>
      <c r="Q33" s="509"/>
      <c r="R33" s="306">
        <f t="shared" si="20"/>
        <v>0</v>
      </c>
      <c r="S33" s="322"/>
      <c r="T33" s="362">
        <f t="shared" si="12"/>
        <v>0</v>
      </c>
      <c r="U33" s="320">
        <f t="shared" si="13"/>
        <v>0</v>
      </c>
      <c r="V33" s="320">
        <f t="shared" si="14"/>
        <v>0</v>
      </c>
      <c r="W33" s="847">
        <f t="shared" si="6"/>
        <v>0</v>
      </c>
      <c r="X33" s="1053">
        <f t="shared" si="7"/>
        <v>0</v>
      </c>
      <c r="Y33" s="1047">
        <f t="shared" si="21"/>
        <v>0</v>
      </c>
      <c r="Z33" s="844">
        <f t="shared" si="15"/>
        <v>0</v>
      </c>
      <c r="AA33" s="366">
        <f t="shared" si="16"/>
        <v>0</v>
      </c>
      <c r="AB33" s="336">
        <f>-'OECD electricity subsidies'!E86</f>
        <v>0</v>
      </c>
      <c r="AC33" s="342">
        <f t="shared" si="9"/>
        <v>0</v>
      </c>
      <c r="AD33" s="849">
        <f t="shared" si="22"/>
        <v>0</v>
      </c>
      <c r="AE33" s="320">
        <f>0.221*1000*M33*L33</f>
        <v>6.2651913100820638</v>
      </c>
      <c r="AF33" s="342">
        <f t="shared" si="17"/>
        <v>12537678400.387453</v>
      </c>
      <c r="AG33" s="1"/>
    </row>
    <row r="34" spans="1:33" ht="15.9" thickBot="1" x14ac:dyDescent="0.65">
      <c r="A34" s="62">
        <f t="shared" si="23"/>
        <v>29</v>
      </c>
      <c r="B34" s="47" t="s">
        <v>33</v>
      </c>
      <c r="C34" s="291">
        <v>39134</v>
      </c>
      <c r="D34" s="291">
        <v>12550</v>
      </c>
      <c r="E34" s="291">
        <v>9512</v>
      </c>
      <c r="F34" s="291">
        <f t="shared" si="0"/>
        <v>17072</v>
      </c>
      <c r="G34" s="495">
        <v>44205</v>
      </c>
      <c r="H34" s="67">
        <f>1880+1+6867</f>
        <v>8748</v>
      </c>
      <c r="I34" s="92">
        <f t="shared" si="1"/>
        <v>0.19789616559212758</v>
      </c>
      <c r="J34" s="38">
        <f>Assumptions!$C$62</f>
        <v>27296</v>
      </c>
      <c r="K34" s="38">
        <f t="shared" si="2"/>
        <v>92219081.221038342</v>
      </c>
      <c r="L34" s="417">
        <f>Assumptions!$H$10</f>
        <v>0.70460400000000001</v>
      </c>
      <c r="M34" s="854">
        <f>Assumptions!$C$64</f>
        <v>3.6635404454865184E-2</v>
      </c>
      <c r="N34" s="1554">
        <v>247.5</v>
      </c>
      <c r="O34" s="371">
        <f>L34*N34*M34</f>
        <v>6.3888294988276675</v>
      </c>
      <c r="P34" s="1048">
        <f t="shared" si="4"/>
        <v>589171986.45975435</v>
      </c>
      <c r="Q34" s="477"/>
      <c r="R34" s="309">
        <f t="shared" si="20"/>
        <v>0</v>
      </c>
      <c r="S34" s="359"/>
      <c r="T34" s="365">
        <f t="shared" si="12"/>
        <v>0</v>
      </c>
      <c r="U34" s="321">
        <f t="shared" si="13"/>
        <v>0</v>
      </c>
      <c r="V34" s="321">
        <f t="shared" si="14"/>
        <v>0</v>
      </c>
      <c r="W34" s="848">
        <f t="shared" si="6"/>
        <v>0</v>
      </c>
      <c r="X34" s="1054">
        <f t="shared" si="7"/>
        <v>0</v>
      </c>
      <c r="Y34" s="1048">
        <f t="shared" si="21"/>
        <v>0</v>
      </c>
      <c r="Z34" s="617">
        <f t="shared" si="15"/>
        <v>0</v>
      </c>
      <c r="AA34" s="368">
        <f t="shared" si="16"/>
        <v>0</v>
      </c>
      <c r="AB34" s="340">
        <f>-'OECD electricity subsidies'!E113</f>
        <v>0</v>
      </c>
      <c r="AC34" s="344">
        <f t="shared" si="9"/>
        <v>0</v>
      </c>
      <c r="AD34" s="851">
        <f t="shared" si="22"/>
        <v>0</v>
      </c>
      <c r="AE34" s="321">
        <f>(O34+R34)*(1+S34)</f>
        <v>6.3888294988276675</v>
      </c>
      <c r="AF34" s="344">
        <f t="shared" si="17"/>
        <v>589171986.45975435</v>
      </c>
      <c r="AG34" s="1"/>
    </row>
    <row r="35" spans="1:33" ht="15.9" thickTop="1" x14ac:dyDescent="0.6">
      <c r="A35" s="49" t="s">
        <v>78</v>
      </c>
      <c r="B35" s="50"/>
      <c r="C35" s="290"/>
      <c r="D35" s="290"/>
      <c r="E35" s="290"/>
      <c r="F35" s="290"/>
      <c r="G35" s="494"/>
      <c r="H35" s="66"/>
      <c r="I35" s="79"/>
      <c r="J35" s="26"/>
      <c r="K35" s="26"/>
      <c r="L35" s="391"/>
      <c r="M35" s="852">
        <f>Assumptions!$C$64</f>
        <v>3.6635404454865184E-2</v>
      </c>
      <c r="N35" s="873"/>
      <c r="O35" s="863"/>
      <c r="P35" s="1047"/>
      <c r="Q35" s="523"/>
      <c r="R35" s="306"/>
      <c r="S35" s="322"/>
      <c r="T35" s="362"/>
      <c r="U35" s="320"/>
      <c r="V35" s="320"/>
      <c r="W35" s="847">
        <f t="shared" si="6"/>
        <v>0</v>
      </c>
      <c r="X35" s="1053"/>
      <c r="Y35" s="1047"/>
      <c r="Z35" s="844"/>
      <c r="AA35" s="366">
        <f t="shared" si="16"/>
        <v>0</v>
      </c>
      <c r="AB35" s="336"/>
      <c r="AC35" s="342"/>
      <c r="AD35" s="849"/>
      <c r="AE35" s="320"/>
      <c r="AF35" s="342"/>
      <c r="AG35" s="1"/>
    </row>
    <row r="36" spans="1:33" x14ac:dyDescent="0.6">
      <c r="A36" s="61">
        <f>A34+1</f>
        <v>30</v>
      </c>
      <c r="B36" s="50" t="s">
        <v>46</v>
      </c>
      <c r="C36" s="290">
        <v>4876755</v>
      </c>
      <c r="D36" s="290">
        <v>756521</v>
      </c>
      <c r="E36" s="290">
        <v>304692</v>
      </c>
      <c r="F36" s="290">
        <f t="shared" si="0"/>
        <v>3815542</v>
      </c>
      <c r="G36" s="494">
        <v>5859958</v>
      </c>
      <c r="H36" s="66">
        <f>4108994+9679+145346</f>
        <v>4264019</v>
      </c>
      <c r="I36" s="79">
        <f t="shared" si="1"/>
        <v>0.72765350877941448</v>
      </c>
      <c r="J36" s="26">
        <f>Assumptions!$C$62</f>
        <v>27296</v>
      </c>
      <c r="K36" s="66">
        <f t="shared" si="2"/>
        <v>75784410340.432846</v>
      </c>
      <c r="L36" s="399">
        <f>Assumptions!$H$11</f>
        <v>0.152529</v>
      </c>
      <c r="M36" s="852">
        <f>Assumptions!$C$64</f>
        <v>3.6635404454865184E-2</v>
      </c>
      <c r="N36" s="874"/>
      <c r="O36" s="666">
        <f t="shared" ref="O36:O39" si="24">AE36/(1+S36)-R36</f>
        <v>3.228495017584994</v>
      </c>
      <c r="P36" s="1047">
        <f t="shared" si="4"/>
        <v>244669591194.70413</v>
      </c>
      <c r="Q36" s="523"/>
      <c r="R36" s="306">
        <f>Q36*M36*L36</f>
        <v>0</v>
      </c>
      <c r="S36" s="322"/>
      <c r="T36" s="362">
        <f t="shared" si="12"/>
        <v>0</v>
      </c>
      <c r="U36" s="320">
        <f t="shared" si="13"/>
        <v>0</v>
      </c>
      <c r="V36" s="320">
        <f t="shared" si="14"/>
        <v>0</v>
      </c>
      <c r="W36" s="847">
        <f t="shared" si="6"/>
        <v>0</v>
      </c>
      <c r="X36" s="1053">
        <f t="shared" si="7"/>
        <v>0</v>
      </c>
      <c r="Y36" s="1047">
        <f>X36*K36</f>
        <v>0</v>
      </c>
      <c r="Z36" s="844">
        <f t="shared" si="15"/>
        <v>0</v>
      </c>
      <c r="AA36" s="366">
        <f t="shared" si="16"/>
        <v>0</v>
      </c>
      <c r="AB36" s="336">
        <f>-'OECD electricity subsidies'!E115</f>
        <v>0</v>
      </c>
      <c r="AC36" s="342">
        <f t="shared" si="9"/>
        <v>0</v>
      </c>
      <c r="AD36" s="849">
        <f>AA36+AC36</f>
        <v>0</v>
      </c>
      <c r="AE36" s="320">
        <f>'Electricity - Res'!AE36*0.625</f>
        <v>3.228495017584994</v>
      </c>
      <c r="AF36" s="342">
        <f t="shared" si="17"/>
        <v>244669591194.70413</v>
      </c>
      <c r="AG36" s="1"/>
    </row>
    <row r="37" spans="1:33" x14ac:dyDescent="0.6">
      <c r="A37" s="46">
        <f>A36+1</f>
        <v>31</v>
      </c>
      <c r="B37" s="50" t="s">
        <v>49</v>
      </c>
      <c r="C37" s="290">
        <v>1026946</v>
      </c>
      <c r="D37" s="290">
        <v>247004</v>
      </c>
      <c r="E37" s="290">
        <v>93127</v>
      </c>
      <c r="F37" s="290">
        <f t="shared" si="0"/>
        <v>686815</v>
      </c>
      <c r="G37" s="494">
        <v>1383004</v>
      </c>
      <c r="H37" s="66">
        <f>1041532+22951+68088</f>
        <v>1132571</v>
      </c>
      <c r="I37" s="79">
        <f t="shared" si="1"/>
        <v>0.81892098649027767</v>
      </c>
      <c r="J37" s="26">
        <f>Assumptions!$C$62</f>
        <v>27296</v>
      </c>
      <c r="K37" s="66">
        <f t="shared" si="2"/>
        <v>15352559244.412193</v>
      </c>
      <c r="L37" s="399">
        <f>Assumptions!$H$12</f>
        <v>1.5587E-2</v>
      </c>
      <c r="M37" s="852">
        <f>Assumptions!$C$64</f>
        <v>3.6635404454865184E-2</v>
      </c>
      <c r="N37" s="873"/>
      <c r="O37" s="666">
        <f t="shared" si="24"/>
        <v>4.2817628956623679</v>
      </c>
      <c r="P37" s="1047">
        <f t="shared" si="4"/>
        <v>65736018526.182411</v>
      </c>
      <c r="Q37" s="523"/>
      <c r="R37" s="306">
        <f>Q37*M37*L37</f>
        <v>0</v>
      </c>
      <c r="S37" s="322"/>
      <c r="T37" s="362">
        <f t="shared" si="12"/>
        <v>0</v>
      </c>
      <c r="U37" s="320">
        <f t="shared" si="13"/>
        <v>0</v>
      </c>
      <c r="V37" s="320">
        <f t="shared" si="14"/>
        <v>0</v>
      </c>
      <c r="W37" s="847">
        <f t="shared" si="6"/>
        <v>0</v>
      </c>
      <c r="X37" s="1053">
        <f t="shared" si="7"/>
        <v>0</v>
      </c>
      <c r="Y37" s="1047">
        <f>X37*K37</f>
        <v>0</v>
      </c>
      <c r="Z37" s="844">
        <f t="shared" si="15"/>
        <v>0</v>
      </c>
      <c r="AA37" s="366">
        <f t="shared" si="16"/>
        <v>0</v>
      </c>
      <c r="AB37" s="336">
        <f>-'OECD electricity subsidies'!E117</f>
        <v>0</v>
      </c>
      <c r="AC37" s="342">
        <f t="shared" si="9"/>
        <v>0</v>
      </c>
      <c r="AD37" s="849">
        <f>AA37+AC37</f>
        <v>0</v>
      </c>
      <c r="AE37" s="320">
        <f>'Electricity - Res'!AE37*0.625</f>
        <v>4.2817628956623679</v>
      </c>
      <c r="AF37" s="342">
        <f t="shared" si="17"/>
        <v>65736018526.182411</v>
      </c>
      <c r="AG37" s="1"/>
    </row>
    <row r="38" spans="1:33" x14ac:dyDescent="0.6">
      <c r="A38" s="46">
        <f>A37+1</f>
        <v>32</v>
      </c>
      <c r="B38" s="44" t="s">
        <v>50</v>
      </c>
      <c r="C38" s="290">
        <v>491650</v>
      </c>
      <c r="D38" s="290">
        <v>131315</v>
      </c>
      <c r="E38" s="290">
        <v>134084</v>
      </c>
      <c r="F38" s="290">
        <f t="shared" si="0"/>
        <v>226251</v>
      </c>
      <c r="G38" s="494">
        <v>581652</v>
      </c>
      <c r="H38" s="66">
        <f>278468+29340+79490</f>
        <v>387298</v>
      </c>
      <c r="I38" s="79">
        <f t="shared" si="1"/>
        <v>0.66585862336929991</v>
      </c>
      <c r="J38" s="26">
        <f>Assumptions!$C$62</f>
        <v>27296</v>
      </c>
      <c r="K38" s="66">
        <f t="shared" si="2"/>
        <v>4112174592.7912359</v>
      </c>
      <c r="L38" s="399">
        <f>Assumptions!$H$13</f>
        <v>0.30204900000000001</v>
      </c>
      <c r="M38" s="852">
        <f>Assumptions!$C$64</f>
        <v>3.6635404454865184E-2</v>
      </c>
      <c r="N38" s="875"/>
      <c r="O38" s="458">
        <f t="shared" si="24"/>
        <v>3.281158411488863</v>
      </c>
      <c r="P38" s="1047">
        <f t="shared" si="4"/>
        <v>13492696254.647755</v>
      </c>
      <c r="Q38" s="524"/>
      <c r="R38" s="306">
        <f>Q38*M38*L38</f>
        <v>0</v>
      </c>
      <c r="S38" s="322"/>
      <c r="T38" s="362">
        <f t="shared" si="12"/>
        <v>0</v>
      </c>
      <c r="U38" s="320">
        <f t="shared" si="13"/>
        <v>0</v>
      </c>
      <c r="V38" s="320">
        <f t="shared" si="14"/>
        <v>0</v>
      </c>
      <c r="W38" s="847">
        <f t="shared" si="6"/>
        <v>0</v>
      </c>
      <c r="X38" s="1053">
        <f t="shared" si="7"/>
        <v>0</v>
      </c>
      <c r="Y38" s="1047">
        <f>X38*K38</f>
        <v>0</v>
      </c>
      <c r="Z38" s="844">
        <f t="shared" si="15"/>
        <v>0</v>
      </c>
      <c r="AA38" s="366">
        <f t="shared" si="16"/>
        <v>0</v>
      </c>
      <c r="AB38" s="336">
        <f>-'OECD electricity subsidies'!E119</f>
        <v>0</v>
      </c>
      <c r="AC38" s="342">
        <f t="shared" si="9"/>
        <v>0</v>
      </c>
      <c r="AD38" s="849">
        <f>AA38+AC38</f>
        <v>0</v>
      </c>
      <c r="AE38" s="320">
        <f>'Electricity - Res'!AE38*0.625</f>
        <v>3.281158411488863</v>
      </c>
      <c r="AF38" s="342">
        <f t="shared" si="17"/>
        <v>13492696254.647755</v>
      </c>
      <c r="AG38" s="1"/>
    </row>
    <row r="39" spans="1:33" ht="15.9" thickBot="1" x14ac:dyDescent="0.65">
      <c r="A39" s="15">
        <f>A38+1</f>
        <v>33</v>
      </c>
      <c r="B39" s="47" t="s">
        <v>51</v>
      </c>
      <c r="C39" s="291">
        <v>726318</v>
      </c>
      <c r="D39" s="291">
        <v>146538</v>
      </c>
      <c r="E39" s="291">
        <v>152172</v>
      </c>
      <c r="F39" s="291">
        <f t="shared" si="0"/>
        <v>427608</v>
      </c>
      <c r="G39" s="495">
        <v>1067544</v>
      </c>
      <c r="H39" s="67">
        <f>158550+10102+529749</f>
        <v>698401</v>
      </c>
      <c r="I39" s="92">
        <f t="shared" si="1"/>
        <v>0.65421284743298636</v>
      </c>
      <c r="J39" s="38">
        <f>Assumptions!$C$62</f>
        <v>27296</v>
      </c>
      <c r="K39" s="67">
        <f t="shared" si="2"/>
        <v>7635964483.7488365</v>
      </c>
      <c r="L39" s="417">
        <f>Assumptions!$H$14</f>
        <v>1.7344999999999999E-2</v>
      </c>
      <c r="M39" s="854">
        <f>Assumptions!$C$64</f>
        <v>3.6635404454865184E-2</v>
      </c>
      <c r="N39" s="876"/>
      <c r="O39" s="371">
        <f t="shared" si="24"/>
        <v>2.5873754396248536</v>
      </c>
      <c r="P39" s="1048">
        <f t="shared" si="4"/>
        <v>19757106963.099415</v>
      </c>
      <c r="Q39" s="525"/>
      <c r="R39" s="309">
        <f>Q39*M39*L39</f>
        <v>0</v>
      </c>
      <c r="S39" s="359"/>
      <c r="T39" s="365">
        <f t="shared" si="12"/>
        <v>0</v>
      </c>
      <c r="U39" s="321">
        <f t="shared" si="13"/>
        <v>0</v>
      </c>
      <c r="V39" s="321">
        <f t="shared" si="14"/>
        <v>0</v>
      </c>
      <c r="W39" s="848">
        <f t="shared" si="6"/>
        <v>0</v>
      </c>
      <c r="X39" s="1054">
        <f t="shared" si="7"/>
        <v>0</v>
      </c>
      <c r="Y39" s="1048">
        <f>X39*K39</f>
        <v>0</v>
      </c>
      <c r="Z39" s="617">
        <f t="shared" si="15"/>
        <v>0</v>
      </c>
      <c r="AA39" s="368">
        <f t="shared" si="16"/>
        <v>0</v>
      </c>
      <c r="AB39" s="340">
        <f>-'OECD electricity subsidies'!E121</f>
        <v>0</v>
      </c>
      <c r="AC39" s="344">
        <f t="shared" si="9"/>
        <v>0</v>
      </c>
      <c r="AD39" s="851">
        <f>AA39+AC39</f>
        <v>0</v>
      </c>
      <c r="AE39" s="321">
        <f>'Electricity - Res'!AE39*0.625</f>
        <v>2.5873754396248536</v>
      </c>
      <c r="AF39" s="344">
        <f t="shared" si="17"/>
        <v>19757106963.099415</v>
      </c>
      <c r="AG39" s="1"/>
    </row>
    <row r="40" spans="1:33" ht="15.9" thickTop="1" x14ac:dyDescent="0.6">
      <c r="A40" s="1527" t="s">
        <v>52</v>
      </c>
      <c r="B40" s="44"/>
      <c r="C40" s="290"/>
      <c r="D40" s="290"/>
      <c r="E40" s="290"/>
      <c r="F40" s="985"/>
      <c r="G40" s="1001"/>
      <c r="H40" s="1002"/>
      <c r="I40" s="93"/>
      <c r="J40" s="26"/>
      <c r="K40" s="66"/>
      <c r="L40" s="391"/>
      <c r="M40" s="852"/>
      <c r="N40" s="875"/>
      <c r="O40" s="458"/>
      <c r="P40" s="1047"/>
      <c r="Q40" s="393"/>
      <c r="R40" s="394"/>
      <c r="S40" s="322"/>
      <c r="T40" s="329"/>
      <c r="U40" s="320"/>
      <c r="V40" s="320"/>
      <c r="W40" s="314"/>
      <c r="X40" s="1046"/>
      <c r="Y40" s="1047"/>
      <c r="Z40" s="395"/>
      <c r="AA40" s="396"/>
      <c r="AB40" s="542"/>
      <c r="AC40" s="543"/>
      <c r="AD40" s="663"/>
      <c r="AE40" s="571"/>
      <c r="AF40" s="548"/>
      <c r="AG40" s="1"/>
    </row>
    <row r="41" spans="1:33" s="85" customFormat="1" x14ac:dyDescent="0.6">
      <c r="A41" s="61">
        <f>A39+1</f>
        <v>34</v>
      </c>
      <c r="B41" s="86" t="s">
        <v>48</v>
      </c>
      <c r="C41" s="290">
        <v>257450</v>
      </c>
      <c r="D41" s="290">
        <v>55986</v>
      </c>
      <c r="E41" s="290">
        <v>23779</v>
      </c>
      <c r="F41" s="348">
        <f t="shared" si="0"/>
        <v>177685</v>
      </c>
      <c r="G41" s="1003">
        <v>311138</v>
      </c>
      <c r="H41" s="66">
        <f>33808+31577+186251</f>
        <v>251636</v>
      </c>
      <c r="I41" s="94">
        <f t="shared" si="1"/>
        <v>0.80876010001992682</v>
      </c>
      <c r="J41" s="66">
        <f>Assumptions!$C$62</f>
        <v>27296</v>
      </c>
      <c r="K41" s="66">
        <f t="shared" si="2"/>
        <v>3922559079.403223</v>
      </c>
      <c r="L41" s="1020">
        <f>Assumptions!$H$25</f>
        <v>5.0333999999999997E-2</v>
      </c>
      <c r="M41" s="855">
        <f>Assumptions!$C$64</f>
        <v>3.6635404454865184E-2</v>
      </c>
      <c r="N41" s="1440">
        <v>1249</v>
      </c>
      <c r="O41" s="458">
        <f>N41*M41*L41</f>
        <v>2.303164053341149</v>
      </c>
      <c r="P41" s="1047">
        <f t="shared" si="4"/>
        <v>9034297068.7884541</v>
      </c>
      <c r="Q41" s="393"/>
      <c r="R41" s="394"/>
      <c r="S41" s="322">
        <f>Gasoline!K41</f>
        <v>0.16</v>
      </c>
      <c r="T41" s="329">
        <f>S41*O41</f>
        <v>0.36850624853458386</v>
      </c>
      <c r="U41" s="320"/>
      <c r="V41" s="320">
        <f>U41+T41</f>
        <v>0.36850624853458386</v>
      </c>
      <c r="W41" s="314">
        <f>T41*K41</f>
        <v>1445487531.0061526</v>
      </c>
      <c r="X41" s="1053">
        <f t="shared" si="7"/>
        <v>0.36850624853458386</v>
      </c>
      <c r="Y41" s="1047">
        <f t="shared" ref="Y41:Y65" si="25">X41*J41</f>
        <v>10058.746560000001</v>
      </c>
      <c r="Z41" s="395"/>
      <c r="AA41" s="396">
        <f t="shared" ref="AA41:AA57" si="26">K41*V41</f>
        <v>1445487531.0061526</v>
      </c>
      <c r="AB41" s="1007"/>
      <c r="AC41" s="847"/>
      <c r="AD41" s="607"/>
      <c r="AE41" s="281">
        <f t="shared" ref="AE41" si="27">(O41+R41)*(1+S41)</f>
        <v>2.6716703018757326</v>
      </c>
      <c r="AF41" s="847">
        <f t="shared" si="17"/>
        <v>10479784599.794605</v>
      </c>
    </row>
    <row r="42" spans="1:33" s="85" customFormat="1" x14ac:dyDescent="0.6">
      <c r="A42" s="61">
        <f>A41+1</f>
        <v>35</v>
      </c>
      <c r="B42" s="86" t="s">
        <v>53</v>
      </c>
      <c r="C42" s="290">
        <v>50153</v>
      </c>
      <c r="D42" s="290">
        <v>19672</v>
      </c>
      <c r="E42" s="290">
        <v>0</v>
      </c>
      <c r="F42" s="348">
        <f t="shared" si="0"/>
        <v>30481</v>
      </c>
      <c r="G42" s="1003">
        <v>68798</v>
      </c>
      <c r="H42" s="66">
        <f>908+67668</f>
        <v>68576</v>
      </c>
      <c r="I42" s="94">
        <f t="shared" si="1"/>
        <v>0.99677316201052357</v>
      </c>
      <c r="J42" s="66">
        <f>Assumptions!$C$62</f>
        <v>27296</v>
      </c>
      <c r="K42" s="66">
        <f t="shared" si="2"/>
        <v>829324616.53792262</v>
      </c>
      <c r="L42" s="1005"/>
      <c r="M42" s="855">
        <f>Assumptions!$C$64</f>
        <v>3.6635404454865184E-2</v>
      </c>
      <c r="N42" s="877"/>
      <c r="O42" s="458">
        <f t="shared" ref="O42:O65" si="28">AE42/(1+S42)-R42</f>
        <v>0.64111957796014074</v>
      </c>
      <c r="P42" s="1047">
        <f t="shared" si="4"/>
        <v>531696248.14674848</v>
      </c>
      <c r="Q42" s="393"/>
      <c r="R42" s="394"/>
      <c r="S42" s="322">
        <f>Gasoline!K42</f>
        <v>0</v>
      </c>
      <c r="T42" s="329">
        <f>S42*O42</f>
        <v>0</v>
      </c>
      <c r="U42" s="320"/>
      <c r="V42" s="320">
        <f>U42+T42</f>
        <v>0</v>
      </c>
      <c r="W42" s="314">
        <f t="shared" ref="W42:W65" si="29">T42*K42</f>
        <v>0</v>
      </c>
      <c r="X42" s="1046"/>
      <c r="Y42" s="1047">
        <f t="shared" si="25"/>
        <v>0</v>
      </c>
      <c r="Z42" s="395"/>
      <c r="AA42" s="394">
        <f t="shared" si="26"/>
        <v>0</v>
      </c>
      <c r="AB42" s="1007"/>
      <c r="AC42" s="847"/>
      <c r="AD42" s="607"/>
      <c r="AE42" s="363">
        <f>'Electricity - Res'!AE42*0.625</f>
        <v>0.64111957796014074</v>
      </c>
      <c r="AF42" s="847">
        <f t="shared" si="17"/>
        <v>531696248.14674848</v>
      </c>
    </row>
    <row r="43" spans="1:33" s="85" customFormat="1" x14ac:dyDescent="0.6">
      <c r="A43" s="61">
        <f t="shared" ref="A43:A65" si="30">A42+1</f>
        <v>36</v>
      </c>
      <c r="B43" s="86" t="s">
        <v>54</v>
      </c>
      <c r="C43" s="290">
        <v>8423</v>
      </c>
      <c r="D43" s="290">
        <v>5583</v>
      </c>
      <c r="E43" s="290">
        <v>0</v>
      </c>
      <c r="F43" s="348">
        <f t="shared" si="0"/>
        <v>2840</v>
      </c>
      <c r="G43" s="1003">
        <v>9764</v>
      </c>
      <c r="H43" s="66">
        <v>4572</v>
      </c>
      <c r="I43" s="94">
        <f t="shared" si="1"/>
        <v>0.46825071691929537</v>
      </c>
      <c r="J43" s="66">
        <f>Assumptions!$C$62</f>
        <v>27296</v>
      </c>
      <c r="K43" s="66">
        <f t="shared" si="2"/>
        <v>36299095.256042607</v>
      </c>
      <c r="L43" s="1005"/>
      <c r="M43" s="855">
        <f>Assumptions!$C$64</f>
        <v>3.6635404454865184E-2</v>
      </c>
      <c r="N43" s="877"/>
      <c r="O43" s="458">
        <f t="shared" si="28"/>
        <v>1.2891082942555687</v>
      </c>
      <c r="P43" s="1047">
        <f t="shared" si="4"/>
        <v>46793464.768537492</v>
      </c>
      <c r="Q43" s="393"/>
      <c r="R43" s="394"/>
      <c r="S43" s="322">
        <f>Gasoline!K43</f>
        <v>0</v>
      </c>
      <c r="T43" s="329">
        <f t="shared" ref="T43:T65" si="31">S43*O43</f>
        <v>0</v>
      </c>
      <c r="U43" s="320"/>
      <c r="V43" s="320">
        <f t="shared" ref="V43:V65" si="32">U43+T43</f>
        <v>0</v>
      </c>
      <c r="W43" s="314">
        <f t="shared" si="29"/>
        <v>0</v>
      </c>
      <c r="X43" s="1046"/>
      <c r="Y43" s="1047">
        <f t="shared" si="25"/>
        <v>0</v>
      </c>
      <c r="Z43" s="395"/>
      <c r="AA43" s="396">
        <f t="shared" si="26"/>
        <v>0</v>
      </c>
      <c r="AB43" s="1007"/>
      <c r="AC43" s="847"/>
      <c r="AD43" s="607"/>
      <c r="AE43" s="363">
        <f>'Electricity - Res'!AE43*0.625</f>
        <v>1.2891082942555687</v>
      </c>
      <c r="AF43" s="847">
        <f t="shared" si="17"/>
        <v>46793464.768537492</v>
      </c>
    </row>
    <row r="44" spans="1:33" s="85" customFormat="1" x14ac:dyDescent="0.6">
      <c r="A44" s="61">
        <f t="shared" si="30"/>
        <v>37</v>
      </c>
      <c r="B44" s="86" t="s">
        <v>55</v>
      </c>
      <c r="C44" s="290">
        <v>17619</v>
      </c>
      <c r="D44" s="290">
        <v>7938</v>
      </c>
      <c r="E44" s="290">
        <v>5133</v>
      </c>
      <c r="F44" s="348">
        <f t="shared" si="0"/>
        <v>4548</v>
      </c>
      <c r="G44" s="1003">
        <v>24688</v>
      </c>
      <c r="H44" s="66">
        <f>1607+21252</f>
        <v>22859</v>
      </c>
      <c r="I44" s="94">
        <f t="shared" si="1"/>
        <v>0.92591542449773168</v>
      </c>
      <c r="J44" s="66">
        <f>Assumptions!$C$62</f>
        <v>27296</v>
      </c>
      <c r="K44" s="66">
        <f t="shared" si="2"/>
        <v>114945185.21840571</v>
      </c>
      <c r="L44" s="1005"/>
      <c r="M44" s="855">
        <f>Assumptions!$C$64</f>
        <v>3.6635404454865184E-2</v>
      </c>
      <c r="N44" s="877"/>
      <c r="O44" s="458">
        <f t="shared" si="28"/>
        <v>1.6096680832356389</v>
      </c>
      <c r="P44" s="1047">
        <f t="shared" si="4"/>
        <v>185023595.96767661</v>
      </c>
      <c r="Q44" s="393"/>
      <c r="R44" s="394"/>
      <c r="S44" s="322">
        <f>Gasoline!K44</f>
        <v>0</v>
      </c>
      <c r="T44" s="329">
        <f t="shared" si="31"/>
        <v>0</v>
      </c>
      <c r="U44" s="320"/>
      <c r="V44" s="320">
        <f t="shared" si="32"/>
        <v>0</v>
      </c>
      <c r="W44" s="314">
        <f t="shared" si="29"/>
        <v>0</v>
      </c>
      <c r="X44" s="1046"/>
      <c r="Y44" s="1047">
        <f t="shared" si="25"/>
        <v>0</v>
      </c>
      <c r="Z44" s="395"/>
      <c r="AA44" s="396">
        <f t="shared" si="26"/>
        <v>0</v>
      </c>
      <c r="AB44" s="1007"/>
      <c r="AC44" s="847"/>
      <c r="AD44" s="607"/>
      <c r="AE44" s="363">
        <f>'Electricity - Res'!AE44*0.625</f>
        <v>1.6096680832356389</v>
      </c>
      <c r="AF44" s="847">
        <f t="shared" si="17"/>
        <v>185023595.96767661</v>
      </c>
    </row>
    <row r="45" spans="1:33" s="85" customFormat="1" x14ac:dyDescent="0.6">
      <c r="A45" s="61">
        <f t="shared" si="30"/>
        <v>38</v>
      </c>
      <c r="B45" s="86" t="s">
        <v>56</v>
      </c>
      <c r="C45" s="290">
        <v>27814</v>
      </c>
      <c r="D45" s="290">
        <v>7626</v>
      </c>
      <c r="E45" s="290">
        <v>6141</v>
      </c>
      <c r="F45" s="348">
        <f t="shared" si="0"/>
        <v>14047</v>
      </c>
      <c r="G45" s="1003">
        <v>28484</v>
      </c>
      <c r="H45" s="66">
        <f>9+28475</f>
        <v>28484</v>
      </c>
      <c r="I45" s="94">
        <f t="shared" si="1"/>
        <v>1</v>
      </c>
      <c r="J45" s="66">
        <f>Assumptions!$C$62</f>
        <v>27296</v>
      </c>
      <c r="K45" s="66">
        <f t="shared" si="2"/>
        <v>383426912</v>
      </c>
      <c r="L45" s="1005"/>
      <c r="M45" s="855">
        <f>Assumptions!$C$64</f>
        <v>3.6635404454865184E-2</v>
      </c>
      <c r="N45" s="877"/>
      <c r="O45" s="458">
        <f t="shared" si="28"/>
        <v>1.0532678780773741</v>
      </c>
      <c r="P45" s="1047">
        <f t="shared" si="4"/>
        <v>403851250.00000006</v>
      </c>
      <c r="Q45" s="393"/>
      <c r="R45" s="394"/>
      <c r="S45" s="322">
        <f>Gasoline!K45</f>
        <v>0</v>
      </c>
      <c r="T45" s="329">
        <f t="shared" si="31"/>
        <v>0</v>
      </c>
      <c r="U45" s="320"/>
      <c r="V45" s="320">
        <f t="shared" si="32"/>
        <v>0</v>
      </c>
      <c r="W45" s="314">
        <f t="shared" si="29"/>
        <v>0</v>
      </c>
      <c r="X45" s="1046"/>
      <c r="Y45" s="1047">
        <f t="shared" si="25"/>
        <v>0</v>
      </c>
      <c r="Z45" s="395"/>
      <c r="AA45" s="396">
        <f t="shared" si="26"/>
        <v>0</v>
      </c>
      <c r="AB45" s="1007"/>
      <c r="AC45" s="847"/>
      <c r="AD45" s="607"/>
      <c r="AE45" s="363">
        <f>'Electricity - Res'!AE45*0.625</f>
        <v>1.0532678780773741</v>
      </c>
      <c r="AF45" s="847">
        <f t="shared" si="17"/>
        <v>403851250.00000006</v>
      </c>
    </row>
    <row r="46" spans="1:33" s="85" customFormat="1" x14ac:dyDescent="0.6">
      <c r="A46" s="61">
        <f t="shared" si="30"/>
        <v>39</v>
      </c>
      <c r="B46" s="86" t="s">
        <v>57</v>
      </c>
      <c r="C46" s="290">
        <v>3391</v>
      </c>
      <c r="D46" s="290">
        <v>1368</v>
      </c>
      <c r="E46" s="290">
        <v>1834</v>
      </c>
      <c r="F46" s="348">
        <f t="shared" si="0"/>
        <v>189</v>
      </c>
      <c r="G46" s="1003">
        <v>4200</v>
      </c>
      <c r="H46" s="66">
        <f>42+4156</f>
        <v>4198</v>
      </c>
      <c r="I46" s="94">
        <f t="shared" si="1"/>
        <v>0.99952380952380948</v>
      </c>
      <c r="J46" s="66">
        <f>Assumptions!$C$62</f>
        <v>27296</v>
      </c>
      <c r="K46" s="66">
        <f t="shared" si="2"/>
        <v>5156487.3600000003</v>
      </c>
      <c r="L46" s="1005"/>
      <c r="M46" s="855">
        <f>Assumptions!$C$64</f>
        <v>3.6635404454865184E-2</v>
      </c>
      <c r="N46" s="877"/>
      <c r="O46" s="458">
        <f t="shared" si="28"/>
        <v>1.2982671453692851</v>
      </c>
      <c r="P46" s="1047">
        <f t="shared" si="4"/>
        <v>6694498.1250000019</v>
      </c>
      <c r="Q46" s="393"/>
      <c r="R46" s="394"/>
      <c r="S46" s="322">
        <f>Gasoline!K46</f>
        <v>0</v>
      </c>
      <c r="T46" s="329">
        <f t="shared" si="31"/>
        <v>0</v>
      </c>
      <c r="U46" s="320"/>
      <c r="V46" s="320">
        <f t="shared" si="32"/>
        <v>0</v>
      </c>
      <c r="W46" s="314">
        <f t="shared" si="29"/>
        <v>0</v>
      </c>
      <c r="X46" s="1046"/>
      <c r="Y46" s="1047">
        <f t="shared" si="25"/>
        <v>0</v>
      </c>
      <c r="Z46" s="395"/>
      <c r="AA46" s="396">
        <f t="shared" si="26"/>
        <v>0</v>
      </c>
      <c r="AB46" s="1007"/>
      <c r="AC46" s="847"/>
      <c r="AD46" s="607"/>
      <c r="AE46" s="363">
        <f>'Electricity - Res'!AE46*0.625</f>
        <v>1.2982671453692851</v>
      </c>
      <c r="AF46" s="847">
        <f t="shared" si="17"/>
        <v>6694498.1250000019</v>
      </c>
    </row>
    <row r="47" spans="1:33" s="85" customFormat="1" x14ac:dyDescent="0.6">
      <c r="A47" s="61">
        <f t="shared" si="30"/>
        <v>40</v>
      </c>
      <c r="B47" s="86" t="s">
        <v>58</v>
      </c>
      <c r="C47" s="290">
        <v>22867</v>
      </c>
      <c r="D47" s="290">
        <v>6906</v>
      </c>
      <c r="E47" s="290">
        <v>5059</v>
      </c>
      <c r="F47" s="348">
        <f t="shared" si="0"/>
        <v>10902</v>
      </c>
      <c r="G47" s="1003">
        <v>25830</v>
      </c>
      <c r="H47" s="66">
        <f>8919+3272</f>
        <v>12191</v>
      </c>
      <c r="I47" s="94">
        <f t="shared" si="1"/>
        <v>0.47197057684862564</v>
      </c>
      <c r="J47" s="66">
        <f>Assumptions!$C$62</f>
        <v>27296</v>
      </c>
      <c r="K47" s="66">
        <f t="shared" si="2"/>
        <v>140449472.45342624</v>
      </c>
      <c r="L47" s="1005"/>
      <c r="M47" s="855">
        <f>Assumptions!$C$64</f>
        <v>3.6635404454865184E-2</v>
      </c>
      <c r="N47" s="877"/>
      <c r="O47" s="458">
        <f t="shared" si="28"/>
        <v>2.1752271395076201</v>
      </c>
      <c r="P47" s="1047">
        <f t="shared" si="4"/>
        <v>305509504.21022063</v>
      </c>
      <c r="Q47" s="393"/>
      <c r="R47" s="394"/>
      <c r="S47" s="322">
        <f>Gasoline!K47</f>
        <v>0</v>
      </c>
      <c r="T47" s="329">
        <f t="shared" si="31"/>
        <v>0</v>
      </c>
      <c r="U47" s="320"/>
      <c r="V47" s="320">
        <f t="shared" si="32"/>
        <v>0</v>
      </c>
      <c r="W47" s="314">
        <f t="shared" si="29"/>
        <v>0</v>
      </c>
      <c r="X47" s="1046"/>
      <c r="Y47" s="1047">
        <f t="shared" si="25"/>
        <v>0</v>
      </c>
      <c r="Z47" s="395"/>
      <c r="AA47" s="403">
        <f t="shared" si="26"/>
        <v>0</v>
      </c>
      <c r="AB47" s="1007"/>
      <c r="AC47" s="847"/>
      <c r="AD47" s="607"/>
      <c r="AE47" s="363">
        <f>'Electricity - Res'!AE47*0.625</f>
        <v>2.1752271395076201</v>
      </c>
      <c r="AF47" s="847">
        <f t="shared" si="17"/>
        <v>305509504.21022063</v>
      </c>
    </row>
    <row r="48" spans="1:33" s="85" customFormat="1" x14ac:dyDescent="0.6">
      <c r="A48" s="61">
        <f t="shared" si="30"/>
        <v>41</v>
      </c>
      <c r="B48" s="86" t="s">
        <v>59</v>
      </c>
      <c r="C48" s="290">
        <v>154205</v>
      </c>
      <c r="D48" s="290">
        <v>67238</v>
      </c>
      <c r="E48" s="290">
        <v>40170</v>
      </c>
      <c r="F48" s="348">
        <f t="shared" si="0"/>
        <v>46797</v>
      </c>
      <c r="G48" s="1003">
        <v>181977</v>
      </c>
      <c r="H48" s="66">
        <f>38237+128710</f>
        <v>166947</v>
      </c>
      <c r="I48" s="94">
        <f t="shared" si="1"/>
        <v>0.91740714485896568</v>
      </c>
      <c r="J48" s="66">
        <f>Assumptions!$C$62</f>
        <v>27296</v>
      </c>
      <c r="K48" s="66">
        <f t="shared" si="2"/>
        <v>1171869201.303813</v>
      </c>
      <c r="L48" s="1025">
        <f>Assumptions!$H$26</f>
        <v>0.13106999999999999</v>
      </c>
      <c r="M48" s="855">
        <f>Assumptions!$C$64</f>
        <v>3.6635404454865184E-2</v>
      </c>
      <c r="N48" s="877"/>
      <c r="O48" s="458">
        <f t="shared" si="28"/>
        <v>2.5347120457209851</v>
      </c>
      <c r="P48" s="1047">
        <f t="shared" si="4"/>
        <v>2970350980.5542045</v>
      </c>
      <c r="Q48" s="393"/>
      <c r="R48" s="394"/>
      <c r="S48" s="322">
        <f>Gasoline!K48</f>
        <v>0</v>
      </c>
      <c r="T48" s="329">
        <f t="shared" si="31"/>
        <v>0</v>
      </c>
      <c r="U48" s="320"/>
      <c r="V48" s="320">
        <f t="shared" si="32"/>
        <v>0</v>
      </c>
      <c r="W48" s="314">
        <f t="shared" si="29"/>
        <v>0</v>
      </c>
      <c r="X48" s="1046"/>
      <c r="Y48" s="1047">
        <f t="shared" si="25"/>
        <v>0</v>
      </c>
      <c r="Z48" s="395"/>
      <c r="AA48" s="396">
        <f t="shared" si="26"/>
        <v>0</v>
      </c>
      <c r="AB48" s="1007"/>
      <c r="AC48" s="847"/>
      <c r="AD48" s="607"/>
      <c r="AE48" s="363">
        <f>'Electricity - Res'!AE48*0.625</f>
        <v>2.5347120457209851</v>
      </c>
      <c r="AF48" s="847">
        <f t="shared" si="17"/>
        <v>2970350980.5542045</v>
      </c>
    </row>
    <row r="49" spans="1:32" s="85" customFormat="1" x14ac:dyDescent="0.6">
      <c r="A49" s="61">
        <f t="shared" si="30"/>
        <v>42</v>
      </c>
      <c r="B49" s="86" t="s">
        <v>60</v>
      </c>
      <c r="C49" s="290">
        <v>1852</v>
      </c>
      <c r="D49" s="290">
        <v>963</v>
      </c>
      <c r="E49" s="290">
        <v>279</v>
      </c>
      <c r="F49" s="348">
        <f t="shared" si="0"/>
        <v>610</v>
      </c>
      <c r="G49" s="1003">
        <v>2126</v>
      </c>
      <c r="H49" s="66">
        <f>217+989</f>
        <v>1206</v>
      </c>
      <c r="I49" s="94">
        <f t="shared" si="1"/>
        <v>0.56726246472248354</v>
      </c>
      <c r="J49" s="66">
        <f>Assumptions!$C$62</f>
        <v>27296</v>
      </c>
      <c r="K49" s="66">
        <f t="shared" si="2"/>
        <v>9445237.7046095952</v>
      </c>
      <c r="L49" s="1005"/>
      <c r="M49" s="855">
        <f>Assumptions!$C$64</f>
        <v>3.6635404454865184E-2</v>
      </c>
      <c r="N49" s="877"/>
      <c r="O49" s="458">
        <f t="shared" si="28"/>
        <v>5.0373681125439624</v>
      </c>
      <c r="P49" s="1047">
        <f t="shared" si="4"/>
        <v>47579139.228598304</v>
      </c>
      <c r="Q49" s="393"/>
      <c r="R49" s="394"/>
      <c r="S49" s="322">
        <f>Gasoline!K49</f>
        <v>0</v>
      </c>
      <c r="T49" s="329">
        <f t="shared" si="31"/>
        <v>0</v>
      </c>
      <c r="U49" s="320"/>
      <c r="V49" s="320">
        <f t="shared" si="32"/>
        <v>0</v>
      </c>
      <c r="W49" s="314">
        <f t="shared" si="29"/>
        <v>0</v>
      </c>
      <c r="X49" s="1046"/>
      <c r="Y49" s="1047">
        <f t="shared" si="25"/>
        <v>0</v>
      </c>
      <c r="Z49" s="395"/>
      <c r="AA49" s="396">
        <f t="shared" si="26"/>
        <v>0</v>
      </c>
      <c r="AB49" s="1007"/>
      <c r="AC49" s="847"/>
      <c r="AD49" s="607"/>
      <c r="AE49" s="363">
        <f>'Electricity - Res'!AE49*0.625</f>
        <v>5.0373681125439624</v>
      </c>
      <c r="AF49" s="847">
        <f t="shared" si="17"/>
        <v>47579139.228598304</v>
      </c>
    </row>
    <row r="50" spans="1:32" s="85" customFormat="1" x14ac:dyDescent="0.6">
      <c r="A50" s="61">
        <f t="shared" si="30"/>
        <v>43</v>
      </c>
      <c r="B50" s="86" t="s">
        <v>61</v>
      </c>
      <c r="C50" s="290">
        <v>202848</v>
      </c>
      <c r="D50" s="290">
        <v>86054</v>
      </c>
      <c r="E50" s="290">
        <v>50085</v>
      </c>
      <c r="F50" s="348">
        <f t="shared" si="0"/>
        <v>66709</v>
      </c>
      <c r="G50" s="1003">
        <v>233984</v>
      </c>
      <c r="H50" s="66">
        <f>130508+19650+58894</f>
        <v>209052</v>
      </c>
      <c r="I50" s="94">
        <f t="shared" si="1"/>
        <v>0.89344570568927795</v>
      </c>
      <c r="J50" s="66">
        <f>Assumptions!$C$62</f>
        <v>27296</v>
      </c>
      <c r="K50" s="66">
        <f t="shared" si="2"/>
        <v>1626865336.0782278</v>
      </c>
      <c r="L50" s="1026">
        <f>Assumptions!$H$23</f>
        <v>7.3999999999999996E-5</v>
      </c>
      <c r="M50" s="855">
        <f>Assumptions!$C$64</f>
        <v>3.6635404454865184E-2</v>
      </c>
      <c r="N50" s="877"/>
      <c r="O50" s="458">
        <f t="shared" si="28"/>
        <v>2.9697574736225092</v>
      </c>
      <c r="P50" s="1047">
        <f t="shared" si="4"/>
        <v>4831395490.3957119</v>
      </c>
      <c r="Q50" s="393"/>
      <c r="R50" s="394"/>
      <c r="S50" s="322">
        <f>Gasoline!K50</f>
        <v>0</v>
      </c>
      <c r="T50" s="329">
        <f t="shared" si="31"/>
        <v>0</v>
      </c>
      <c r="U50" s="320"/>
      <c r="V50" s="320">
        <f t="shared" si="32"/>
        <v>0</v>
      </c>
      <c r="W50" s="314">
        <f t="shared" si="29"/>
        <v>0</v>
      </c>
      <c r="X50" s="1046"/>
      <c r="Y50" s="1047">
        <f t="shared" si="25"/>
        <v>0</v>
      </c>
      <c r="Z50" s="395"/>
      <c r="AA50" s="396">
        <f t="shared" si="26"/>
        <v>0</v>
      </c>
      <c r="AB50" s="1007"/>
      <c r="AC50" s="847"/>
      <c r="AD50" s="607"/>
      <c r="AE50" s="363">
        <f>'Electricity - Res'!AE50*0.625</f>
        <v>2.9697574736225092</v>
      </c>
      <c r="AF50" s="847">
        <f t="shared" si="17"/>
        <v>4831395490.3957119</v>
      </c>
    </row>
    <row r="51" spans="1:32" s="85" customFormat="1" x14ac:dyDescent="0.6">
      <c r="A51" s="61">
        <f t="shared" si="30"/>
        <v>44</v>
      </c>
      <c r="B51" s="86" t="s">
        <v>62</v>
      </c>
      <c r="C51" s="290">
        <v>35585</v>
      </c>
      <c r="D51" s="290">
        <v>16602</v>
      </c>
      <c r="E51" s="290">
        <v>2528</v>
      </c>
      <c r="F51" s="348">
        <f t="shared" si="0"/>
        <v>16455</v>
      </c>
      <c r="G51" s="1003">
        <v>68922</v>
      </c>
      <c r="H51" s="66">
        <f>49521+16829</f>
        <v>66350</v>
      </c>
      <c r="I51" s="94">
        <f t="shared" si="1"/>
        <v>0.96268245262760799</v>
      </c>
      <c r="J51" s="66">
        <f>Assumptions!$C$62</f>
        <v>27296</v>
      </c>
      <c r="K51" s="66">
        <f t="shared" si="2"/>
        <v>432394291.63402104</v>
      </c>
      <c r="L51" s="1005"/>
      <c r="M51" s="855">
        <f>Assumptions!$C$64</f>
        <v>3.6635404454865184E-2</v>
      </c>
      <c r="N51" s="877"/>
      <c r="O51" s="458">
        <f t="shared" si="28"/>
        <v>2.2965819167643611</v>
      </c>
      <c r="P51" s="1047">
        <f t="shared" si="4"/>
        <v>993028911.07882822</v>
      </c>
      <c r="Q51" s="393"/>
      <c r="R51" s="394"/>
      <c r="S51" s="322">
        <f>Gasoline!K51</f>
        <v>0</v>
      </c>
      <c r="T51" s="329">
        <f t="shared" si="31"/>
        <v>0</v>
      </c>
      <c r="U51" s="320"/>
      <c r="V51" s="320">
        <f t="shared" si="32"/>
        <v>0</v>
      </c>
      <c r="W51" s="314">
        <f t="shared" si="29"/>
        <v>0</v>
      </c>
      <c r="X51" s="1046"/>
      <c r="Y51" s="1047">
        <f t="shared" si="25"/>
        <v>0</v>
      </c>
      <c r="Z51" s="395"/>
      <c r="AA51" s="396">
        <f t="shared" si="26"/>
        <v>0</v>
      </c>
      <c r="AB51" s="1007"/>
      <c r="AC51" s="847"/>
      <c r="AD51" s="607"/>
      <c r="AE51" s="363">
        <f>'Electricity - Res'!AE51*0.625</f>
        <v>2.2965819167643611</v>
      </c>
      <c r="AF51" s="847">
        <f t="shared" si="17"/>
        <v>993028911.07882822</v>
      </c>
    </row>
    <row r="52" spans="1:32" s="85" customFormat="1" x14ac:dyDescent="0.6">
      <c r="A52" s="61">
        <f t="shared" si="30"/>
        <v>45</v>
      </c>
      <c r="B52" s="86" t="s">
        <v>63</v>
      </c>
      <c r="C52" s="290">
        <v>211077</v>
      </c>
      <c r="D52" s="290">
        <v>76104</v>
      </c>
      <c r="E52" s="290">
        <v>38875</v>
      </c>
      <c r="F52" s="348">
        <f t="shared" si="0"/>
        <v>96098</v>
      </c>
      <c r="G52" s="1003">
        <v>280633</v>
      </c>
      <c r="H52" s="66">
        <f>462+40483+222448</f>
        <v>263393</v>
      </c>
      <c r="I52" s="94">
        <f t="shared" si="1"/>
        <v>0.93856745286548626</v>
      </c>
      <c r="J52" s="66">
        <f>Assumptions!$C$62</f>
        <v>27296</v>
      </c>
      <c r="K52" s="66">
        <f t="shared" si="2"/>
        <v>2461947846.0129209</v>
      </c>
      <c r="L52" s="1025">
        <f>Assumptions!H27</f>
        <v>2.8E-5</v>
      </c>
      <c r="M52" s="855">
        <f>Assumptions!$C$64</f>
        <v>3.6635404454865184E-2</v>
      </c>
      <c r="N52" s="877"/>
      <c r="O52" s="458">
        <f t="shared" si="28"/>
        <v>1.8546673505275499</v>
      </c>
      <c r="P52" s="1047">
        <f t="shared" si="4"/>
        <v>4566094288.7017927</v>
      </c>
      <c r="Q52" s="393"/>
      <c r="R52" s="394"/>
      <c r="S52" s="322">
        <f>Gasoline!K52</f>
        <v>0</v>
      </c>
      <c r="T52" s="329">
        <f t="shared" si="31"/>
        <v>0</v>
      </c>
      <c r="U52" s="320"/>
      <c r="V52" s="320">
        <f t="shared" si="32"/>
        <v>0</v>
      </c>
      <c r="W52" s="314">
        <f t="shared" si="29"/>
        <v>0</v>
      </c>
      <c r="X52" s="1046"/>
      <c r="Y52" s="1047">
        <f t="shared" si="25"/>
        <v>0</v>
      </c>
      <c r="Z52" s="395"/>
      <c r="AA52" s="396">
        <f t="shared" si="26"/>
        <v>0</v>
      </c>
      <c r="AB52" s="1007"/>
      <c r="AC52" s="847"/>
      <c r="AD52" s="607"/>
      <c r="AE52" s="363">
        <f>'Electricity - Res'!AE52*0.625</f>
        <v>1.8546673505275499</v>
      </c>
      <c r="AF52" s="847">
        <f t="shared" si="17"/>
        <v>4566094288.7017927</v>
      </c>
    </row>
    <row r="53" spans="1:32" s="85" customFormat="1" x14ac:dyDescent="0.6">
      <c r="A53" s="61">
        <f t="shared" si="30"/>
        <v>46</v>
      </c>
      <c r="B53" s="86" t="s">
        <v>64</v>
      </c>
      <c r="C53" s="290">
        <v>68198</v>
      </c>
      <c r="D53" s="290">
        <v>12067</v>
      </c>
      <c r="E53" s="290">
        <v>6648</v>
      </c>
      <c r="F53" s="348">
        <f t="shared" si="0"/>
        <v>49483</v>
      </c>
      <c r="G53" s="1003">
        <v>106468</v>
      </c>
      <c r="H53" s="66">
        <f>76198+1239+19583</f>
        <v>97020</v>
      </c>
      <c r="I53" s="94">
        <f t="shared" si="1"/>
        <v>0.91125972123079235</v>
      </c>
      <c r="J53" s="66">
        <f>Assumptions!$C$62</f>
        <v>27296</v>
      </c>
      <c r="K53" s="66">
        <f t="shared" si="2"/>
        <v>1230827541.1894653</v>
      </c>
      <c r="L53" s="1005"/>
      <c r="M53" s="855">
        <f>Assumptions!$C$64</f>
        <v>3.6635404454865184E-2</v>
      </c>
      <c r="N53" s="877"/>
      <c r="O53" s="458">
        <f t="shared" si="28"/>
        <v>2.1912551289566236</v>
      </c>
      <c r="P53" s="1047">
        <f t="shared" si="4"/>
        <v>2697057162.4924855</v>
      </c>
      <c r="Q53" s="393"/>
      <c r="R53" s="394"/>
      <c r="S53" s="322">
        <f>Gasoline!K53</f>
        <v>0</v>
      </c>
      <c r="T53" s="329">
        <f t="shared" si="31"/>
        <v>0</v>
      </c>
      <c r="U53" s="320"/>
      <c r="V53" s="320">
        <f t="shared" si="32"/>
        <v>0</v>
      </c>
      <c r="W53" s="314">
        <f t="shared" si="29"/>
        <v>0</v>
      </c>
      <c r="X53" s="1046"/>
      <c r="Y53" s="1047">
        <f t="shared" si="25"/>
        <v>0</v>
      </c>
      <c r="Z53" s="395"/>
      <c r="AA53" s="396">
        <f t="shared" si="26"/>
        <v>0</v>
      </c>
      <c r="AB53" s="1007"/>
      <c r="AC53" s="847"/>
      <c r="AD53" s="607"/>
      <c r="AE53" s="363">
        <f>'Electricity - Res'!AE53*0.625</f>
        <v>2.1912551289566236</v>
      </c>
      <c r="AF53" s="847">
        <f t="shared" si="17"/>
        <v>2697057162.4924855</v>
      </c>
    </row>
    <row r="54" spans="1:32" s="85" customFormat="1" x14ac:dyDescent="0.6">
      <c r="A54" s="61">
        <f t="shared" si="30"/>
        <v>47</v>
      </c>
      <c r="B54" s="86" t="s">
        <v>65</v>
      </c>
      <c r="C54" s="290">
        <v>43296</v>
      </c>
      <c r="D54" s="290">
        <v>27932</v>
      </c>
      <c r="E54" s="290">
        <v>15364</v>
      </c>
      <c r="F54" s="348">
        <f t="shared" si="0"/>
        <v>0</v>
      </c>
      <c r="G54" s="1003">
        <v>67918</v>
      </c>
      <c r="H54" s="66">
        <f>43183+24735</f>
        <v>67918</v>
      </c>
      <c r="I54" s="94">
        <f t="shared" si="1"/>
        <v>1</v>
      </c>
      <c r="J54" s="66">
        <f>Assumptions!$C$62</f>
        <v>27296</v>
      </c>
      <c r="K54" s="66">
        <f t="shared" si="2"/>
        <v>0</v>
      </c>
      <c r="L54" s="1005"/>
      <c r="M54" s="855">
        <f>Assumptions!$C$64</f>
        <v>3.6635404454865184E-2</v>
      </c>
      <c r="N54" s="877"/>
      <c r="O54" s="458">
        <f t="shared" si="28"/>
        <v>0.1671490328253224</v>
      </c>
      <c r="P54" s="1047">
        <f t="shared" si="4"/>
        <v>0</v>
      </c>
      <c r="Q54" s="393"/>
      <c r="R54" s="394"/>
      <c r="S54" s="322">
        <f>Gasoline!K54</f>
        <v>0</v>
      </c>
      <c r="T54" s="329">
        <f t="shared" si="31"/>
        <v>0</v>
      </c>
      <c r="U54" s="320"/>
      <c r="V54" s="320">
        <f t="shared" si="32"/>
        <v>0</v>
      </c>
      <c r="W54" s="314">
        <f t="shared" si="29"/>
        <v>0</v>
      </c>
      <c r="X54" s="1046"/>
      <c r="Y54" s="1047">
        <f t="shared" si="25"/>
        <v>0</v>
      </c>
      <c r="Z54" s="395"/>
      <c r="AA54" s="396">
        <f t="shared" si="26"/>
        <v>0</v>
      </c>
      <c r="AB54" s="1007"/>
      <c r="AC54" s="1010"/>
      <c r="AD54" s="616"/>
      <c r="AE54" s="363">
        <f>'Electricity - Res'!AE54*0.625</f>
        <v>0.1671490328253224</v>
      </c>
      <c r="AF54" s="847">
        <f t="shared" si="17"/>
        <v>0</v>
      </c>
    </row>
    <row r="55" spans="1:32" s="85" customFormat="1" x14ac:dyDescent="0.6">
      <c r="A55" s="61">
        <f t="shared" si="30"/>
        <v>48</v>
      </c>
      <c r="B55" s="86" t="s">
        <v>66</v>
      </c>
      <c r="C55" s="290">
        <v>9780</v>
      </c>
      <c r="D55" s="290">
        <v>3851</v>
      </c>
      <c r="E55" s="290">
        <v>3319</v>
      </c>
      <c r="F55" s="348">
        <f t="shared" si="0"/>
        <v>2610</v>
      </c>
      <c r="G55" s="1003">
        <v>37713</v>
      </c>
      <c r="H55" s="66">
        <f>17461+20252</f>
        <v>37713</v>
      </c>
      <c r="I55" s="94">
        <f t="shared" si="1"/>
        <v>1</v>
      </c>
      <c r="J55" s="66">
        <f>Assumptions!$C$62</f>
        <v>27296</v>
      </c>
      <c r="K55" s="66">
        <f t="shared" si="2"/>
        <v>71242560</v>
      </c>
      <c r="L55" s="1005"/>
      <c r="M55" s="855">
        <f>Assumptions!$C$64</f>
        <v>3.6635404454865184E-2</v>
      </c>
      <c r="N55" s="877"/>
      <c r="O55" s="458">
        <f t="shared" si="28"/>
        <v>3.8627454572098472</v>
      </c>
      <c r="P55" s="1047">
        <f t="shared" si="4"/>
        <v>275191875</v>
      </c>
      <c r="Q55" s="393"/>
      <c r="R55" s="394"/>
      <c r="S55" s="322">
        <f>Gasoline!K55</f>
        <v>0</v>
      </c>
      <c r="T55" s="329">
        <f t="shared" si="31"/>
        <v>0</v>
      </c>
      <c r="U55" s="320"/>
      <c r="V55" s="320">
        <f t="shared" si="32"/>
        <v>0</v>
      </c>
      <c r="W55" s="314">
        <f t="shared" si="29"/>
        <v>0</v>
      </c>
      <c r="X55" s="1046"/>
      <c r="Y55" s="1047">
        <f t="shared" si="25"/>
        <v>0</v>
      </c>
      <c r="Z55" s="395"/>
      <c r="AA55" s="396">
        <f t="shared" si="26"/>
        <v>0</v>
      </c>
      <c r="AB55" s="1007"/>
      <c r="AC55" s="1010"/>
      <c r="AD55" s="616"/>
      <c r="AE55" s="363">
        <f>'Electricity - Res'!AE55*0.625</f>
        <v>3.8627454572098472</v>
      </c>
      <c r="AF55" s="847">
        <f t="shared" si="17"/>
        <v>275191875</v>
      </c>
    </row>
    <row r="56" spans="1:32" s="85" customFormat="1" x14ac:dyDescent="0.6">
      <c r="A56" s="61">
        <f t="shared" si="30"/>
        <v>49</v>
      </c>
      <c r="B56" s="86" t="s">
        <v>67</v>
      </c>
      <c r="C56" s="290">
        <v>132552</v>
      </c>
      <c r="D56" s="290">
        <v>28738</v>
      </c>
      <c r="E56" s="290">
        <v>28738</v>
      </c>
      <c r="F56" s="348">
        <f t="shared" si="0"/>
        <v>75076</v>
      </c>
      <c r="G56" s="1003">
        <v>150123</v>
      </c>
      <c r="H56" s="66">
        <f>63474+1739+69962</f>
        <v>135175</v>
      </c>
      <c r="I56" s="94">
        <f t="shared" si="1"/>
        <v>0.90042831544799928</v>
      </c>
      <c r="J56" s="66">
        <f>Assumptions!$C$62</f>
        <v>27296</v>
      </c>
      <c r="K56" s="66">
        <f t="shared" si="2"/>
        <v>1845224782.3238277</v>
      </c>
      <c r="L56" s="1005">
        <f>Assumptions!$H$28</f>
        <v>0.244814</v>
      </c>
      <c r="M56" s="855">
        <f>Assumptions!$C$64</f>
        <v>3.6635404454865184E-2</v>
      </c>
      <c r="N56" s="877"/>
      <c r="O56" s="458">
        <f t="shared" si="28"/>
        <v>3.5490548065650644</v>
      </c>
      <c r="P56" s="1047">
        <f t="shared" si="4"/>
        <v>6548803882.8993559</v>
      </c>
      <c r="Q56" s="393"/>
      <c r="R56" s="394"/>
      <c r="S56" s="322">
        <f>Gasoline!K56</f>
        <v>0</v>
      </c>
      <c r="T56" s="329">
        <f t="shared" si="31"/>
        <v>0</v>
      </c>
      <c r="U56" s="320"/>
      <c r="V56" s="320">
        <f t="shared" si="32"/>
        <v>0</v>
      </c>
      <c r="W56" s="314">
        <f t="shared" si="29"/>
        <v>0</v>
      </c>
      <c r="X56" s="1046"/>
      <c r="Y56" s="1047">
        <f t="shared" si="25"/>
        <v>0</v>
      </c>
      <c r="Z56" s="395"/>
      <c r="AA56" s="396">
        <f t="shared" si="26"/>
        <v>0</v>
      </c>
      <c r="AB56" s="1007"/>
      <c r="AC56" s="1010"/>
      <c r="AD56" s="616"/>
      <c r="AE56" s="363">
        <f>'Electricity - Res'!AE56*0.625</f>
        <v>3.5490548065650644</v>
      </c>
      <c r="AF56" s="847">
        <f t="shared" si="17"/>
        <v>6548803882.8993559</v>
      </c>
    </row>
    <row r="57" spans="1:32" s="85" customFormat="1" x14ac:dyDescent="0.6">
      <c r="A57" s="61">
        <f t="shared" si="30"/>
        <v>50</v>
      </c>
      <c r="B57" s="86" t="s">
        <v>68</v>
      </c>
      <c r="C57" s="290">
        <v>25089</v>
      </c>
      <c r="D57" s="290">
        <v>14376</v>
      </c>
      <c r="E57" s="290">
        <v>6548</v>
      </c>
      <c r="F57" s="348">
        <f t="shared" si="0"/>
        <v>4165</v>
      </c>
      <c r="G57" s="1003">
        <v>31426</v>
      </c>
      <c r="H57" s="66">
        <v>25708</v>
      </c>
      <c r="I57" s="94">
        <f t="shared" si="1"/>
        <v>0.81804874944313621</v>
      </c>
      <c r="J57" s="66">
        <f>Assumptions!$C$62</f>
        <v>27296</v>
      </c>
      <c r="K57" s="66">
        <f t="shared" si="2"/>
        <v>93002195.338891357</v>
      </c>
      <c r="L57" s="1005"/>
      <c r="M57" s="855">
        <f>Assumptions!$C$64</f>
        <v>3.6635404454865184E-2</v>
      </c>
      <c r="N57" s="877"/>
      <c r="O57" s="458">
        <f t="shared" si="28"/>
        <v>4.5405004396248536</v>
      </c>
      <c r="P57" s="1047">
        <f t="shared" si="4"/>
        <v>422276508.82231271</v>
      </c>
      <c r="Q57" s="393"/>
      <c r="R57" s="394"/>
      <c r="S57" s="322">
        <f>Gasoline!K57</f>
        <v>0</v>
      </c>
      <c r="T57" s="329">
        <f t="shared" si="31"/>
        <v>0</v>
      </c>
      <c r="U57" s="320"/>
      <c r="V57" s="320">
        <f t="shared" si="32"/>
        <v>0</v>
      </c>
      <c r="W57" s="314">
        <f t="shared" si="29"/>
        <v>0</v>
      </c>
      <c r="X57" s="1046"/>
      <c r="Y57" s="1047">
        <f t="shared" si="25"/>
        <v>0</v>
      </c>
      <c r="Z57" s="395"/>
      <c r="AA57" s="396">
        <f t="shared" si="26"/>
        <v>0</v>
      </c>
      <c r="AB57" s="1007"/>
      <c r="AC57" s="1010"/>
      <c r="AD57" s="616"/>
      <c r="AE57" s="363">
        <f>'Electricity - Res'!AE57*0.625</f>
        <v>4.5405004396248536</v>
      </c>
      <c r="AF57" s="847">
        <f t="shared" si="17"/>
        <v>422276508.82231271</v>
      </c>
    </row>
    <row r="58" spans="1:32" s="85" customFormat="1" x14ac:dyDescent="0.6">
      <c r="A58" s="61">
        <f t="shared" si="30"/>
        <v>51</v>
      </c>
      <c r="B58" s="86" t="s">
        <v>695</v>
      </c>
      <c r="C58" s="290">
        <v>28912</v>
      </c>
      <c r="D58" s="290">
        <v>13757</v>
      </c>
      <c r="E58" s="290">
        <v>10052</v>
      </c>
      <c r="F58" s="348">
        <f t="shared" si="0"/>
        <v>5103</v>
      </c>
      <c r="G58" s="1003">
        <v>32758</v>
      </c>
      <c r="H58" s="66">
        <f>863+31895</f>
        <v>32758</v>
      </c>
      <c r="I58" s="94">
        <f t="shared" si="1"/>
        <v>1</v>
      </c>
      <c r="J58" s="66">
        <f>Assumptions!$C$62</f>
        <v>27296</v>
      </c>
      <c r="K58" s="66">
        <f t="shared" si="2"/>
        <v>139291488</v>
      </c>
      <c r="L58" s="1005"/>
      <c r="M58" s="855">
        <f>Assumptions!$C$64</f>
        <v>3.6635404454865184E-2</v>
      </c>
      <c r="N58" s="877"/>
      <c r="O58" s="458">
        <f t="shared" si="28"/>
        <v>1.2593420281359906</v>
      </c>
      <c r="P58" s="1047">
        <f t="shared" si="4"/>
        <v>175415625</v>
      </c>
      <c r="Q58" s="393"/>
      <c r="R58" s="394"/>
      <c r="S58" s="322">
        <f>Gasoline!K58</f>
        <v>0</v>
      </c>
      <c r="T58" s="329">
        <f t="shared" si="31"/>
        <v>0</v>
      </c>
      <c r="U58" s="320"/>
      <c r="V58" s="320">
        <f t="shared" si="32"/>
        <v>0</v>
      </c>
      <c r="W58" s="314">
        <f t="shared" si="29"/>
        <v>0</v>
      </c>
      <c r="X58" s="1046"/>
      <c r="Y58" s="1047">
        <f t="shared" si="25"/>
        <v>0</v>
      </c>
      <c r="Z58" s="395"/>
      <c r="AA58" s="396"/>
      <c r="AB58" s="1007"/>
      <c r="AC58" s="1010"/>
      <c r="AD58" s="616"/>
      <c r="AE58" s="363">
        <f>'Electricity - Res'!AE58*0.625</f>
        <v>1.2593420281359906</v>
      </c>
      <c r="AF58" s="847">
        <f t="shared" si="17"/>
        <v>175415625</v>
      </c>
    </row>
    <row r="59" spans="1:32" s="85" customFormat="1" x14ac:dyDescent="0.6">
      <c r="A59" s="61">
        <f t="shared" si="30"/>
        <v>52</v>
      </c>
      <c r="B59" s="86" t="s">
        <v>69</v>
      </c>
      <c r="C59" s="290">
        <v>36378</v>
      </c>
      <c r="D59" s="290">
        <v>15137</v>
      </c>
      <c r="E59" s="290">
        <v>6262</v>
      </c>
      <c r="F59" s="348">
        <f t="shared" si="0"/>
        <v>14979</v>
      </c>
      <c r="G59" s="1003">
        <v>41499</v>
      </c>
      <c r="H59" s="66">
        <v>41499</v>
      </c>
      <c r="I59" s="94">
        <f t="shared" si="1"/>
        <v>1</v>
      </c>
      <c r="J59" s="66">
        <f>Assumptions!$C$62</f>
        <v>27296</v>
      </c>
      <c r="K59" s="66">
        <f t="shared" si="2"/>
        <v>408866784</v>
      </c>
      <c r="L59" s="1005"/>
      <c r="M59" s="855">
        <f>Assumptions!$C$64</f>
        <v>3.6635404454865184E-2</v>
      </c>
      <c r="N59" s="877"/>
      <c r="O59" s="458">
        <f t="shared" si="28"/>
        <v>0.88611884525205165</v>
      </c>
      <c r="P59" s="1047">
        <f t="shared" si="4"/>
        <v>362304562.5</v>
      </c>
      <c r="Q59" s="393"/>
      <c r="R59" s="394"/>
      <c r="S59" s="322">
        <f>Gasoline!K59</f>
        <v>0</v>
      </c>
      <c r="T59" s="329">
        <f t="shared" si="31"/>
        <v>0</v>
      </c>
      <c r="U59" s="320"/>
      <c r="V59" s="320">
        <f t="shared" si="32"/>
        <v>0</v>
      </c>
      <c r="W59" s="314">
        <f t="shared" si="29"/>
        <v>0</v>
      </c>
      <c r="X59" s="1046"/>
      <c r="Y59" s="1047">
        <f t="shared" si="25"/>
        <v>0</v>
      </c>
      <c r="Z59" s="395"/>
      <c r="AA59" s="396">
        <f t="shared" ref="AA59:AA65" si="33">K59*V59</f>
        <v>0</v>
      </c>
      <c r="AB59" s="1007"/>
      <c r="AC59" s="1010"/>
      <c r="AD59" s="616"/>
      <c r="AE59" s="363">
        <f>'Electricity - Res'!AE59*0.625</f>
        <v>0.88611884525205165</v>
      </c>
      <c r="AF59" s="847">
        <f t="shared" si="17"/>
        <v>362304562.5</v>
      </c>
    </row>
    <row r="60" spans="1:32" s="85" customFormat="1" x14ac:dyDescent="0.6">
      <c r="A60" s="61">
        <f t="shared" si="30"/>
        <v>53</v>
      </c>
      <c r="B60" s="86" t="s">
        <v>70</v>
      </c>
      <c r="C60" s="290">
        <v>292765</v>
      </c>
      <c r="D60" s="290">
        <v>144513</v>
      </c>
      <c r="E60" s="290">
        <v>98243</v>
      </c>
      <c r="F60" s="348">
        <f t="shared" si="0"/>
        <v>50009</v>
      </c>
      <c r="G60" s="1003">
        <v>338336</v>
      </c>
      <c r="H60" s="66">
        <f>149531+188804</f>
        <v>338335</v>
      </c>
      <c r="I60" s="94">
        <f t="shared" si="1"/>
        <v>0.99999704435827108</v>
      </c>
      <c r="J60" s="66">
        <f>Assumptions!$C$62</f>
        <v>27296</v>
      </c>
      <c r="K60" s="66">
        <f t="shared" si="2"/>
        <v>1365041629.4140735</v>
      </c>
      <c r="L60" s="1025">
        <f>Assumptions!$H$24</f>
        <v>0.26666699999999999</v>
      </c>
      <c r="M60" s="855">
        <f>Assumptions!$C$64</f>
        <v>3.6635404454865184E-2</v>
      </c>
      <c r="N60" s="877"/>
      <c r="O60" s="458">
        <f t="shared" si="28"/>
        <v>1.5730326787807738</v>
      </c>
      <c r="P60" s="1047">
        <f t="shared" si="4"/>
        <v>2147255090.9644923</v>
      </c>
      <c r="Q60" s="393"/>
      <c r="R60" s="394"/>
      <c r="S60" s="322">
        <f>Gasoline!K60</f>
        <v>0</v>
      </c>
      <c r="T60" s="329">
        <f t="shared" si="31"/>
        <v>0</v>
      </c>
      <c r="U60" s="320"/>
      <c r="V60" s="320">
        <f t="shared" si="32"/>
        <v>0</v>
      </c>
      <c r="W60" s="314">
        <f t="shared" si="29"/>
        <v>0</v>
      </c>
      <c r="X60" s="1046"/>
      <c r="Y60" s="1047">
        <f t="shared" si="25"/>
        <v>0</v>
      </c>
      <c r="Z60" s="395"/>
      <c r="AA60" s="396">
        <f t="shared" si="33"/>
        <v>0</v>
      </c>
      <c r="AB60" s="1007"/>
      <c r="AC60" s="1010"/>
      <c r="AD60" s="616"/>
      <c r="AE60" s="363">
        <f>'Electricity - Res'!AE60*0.625</f>
        <v>1.5730326787807738</v>
      </c>
      <c r="AF60" s="847">
        <f t="shared" si="17"/>
        <v>2147255090.9644923</v>
      </c>
    </row>
    <row r="61" spans="1:32" s="85" customFormat="1" x14ac:dyDescent="0.6">
      <c r="A61" s="61">
        <f t="shared" si="30"/>
        <v>54</v>
      </c>
      <c r="B61" s="86" t="s">
        <v>71</v>
      </c>
      <c r="C61" s="290">
        <v>9703</v>
      </c>
      <c r="D61" s="290">
        <v>2780</v>
      </c>
      <c r="E61" s="290">
        <v>1057</v>
      </c>
      <c r="F61" s="348">
        <f t="shared" si="0"/>
        <v>5866</v>
      </c>
      <c r="G61" s="1003">
        <v>10300</v>
      </c>
      <c r="H61" s="66">
        <f>24+10276</f>
        <v>10300</v>
      </c>
      <c r="I61" s="94">
        <f t="shared" si="1"/>
        <v>1</v>
      </c>
      <c r="J61" s="66">
        <f>Assumptions!$C$62</f>
        <v>27296</v>
      </c>
      <c r="K61" s="66">
        <f t="shared" si="2"/>
        <v>160118336</v>
      </c>
      <c r="L61" s="1005"/>
      <c r="M61" s="855">
        <f>Assumptions!$C$64</f>
        <v>3.6635404454865184E-2</v>
      </c>
      <c r="N61" s="877"/>
      <c r="O61" s="458">
        <f t="shared" si="28"/>
        <v>1.6485932004689332</v>
      </c>
      <c r="P61" s="1047">
        <f t="shared" si="4"/>
        <v>263970000</v>
      </c>
      <c r="Q61" s="393"/>
      <c r="R61" s="394"/>
      <c r="S61" s="322">
        <f>Gasoline!K61</f>
        <v>0</v>
      </c>
      <c r="T61" s="329">
        <f t="shared" si="31"/>
        <v>0</v>
      </c>
      <c r="U61" s="320"/>
      <c r="V61" s="320">
        <f t="shared" si="32"/>
        <v>0</v>
      </c>
      <c r="W61" s="314">
        <f t="shared" si="29"/>
        <v>0</v>
      </c>
      <c r="X61" s="1046"/>
      <c r="Y61" s="1047">
        <f t="shared" si="25"/>
        <v>0</v>
      </c>
      <c r="Z61" s="395"/>
      <c r="AA61" s="396">
        <f t="shared" si="33"/>
        <v>0</v>
      </c>
      <c r="AB61" s="1007"/>
      <c r="AC61" s="1010"/>
      <c r="AD61" s="616"/>
      <c r="AE61" s="363">
        <f>'Electricity - Res'!AE61*0.625</f>
        <v>1.6485932004689332</v>
      </c>
      <c r="AF61" s="847">
        <f t="shared" si="17"/>
        <v>263970000</v>
      </c>
    </row>
    <row r="62" spans="1:32" s="85" customFormat="1" x14ac:dyDescent="0.6">
      <c r="A62" s="61">
        <f t="shared" si="30"/>
        <v>55</v>
      </c>
      <c r="B62" s="86" t="s">
        <v>72</v>
      </c>
      <c r="C62" s="290">
        <v>12473</v>
      </c>
      <c r="D62" s="290">
        <v>2622</v>
      </c>
      <c r="E62" s="290">
        <v>0</v>
      </c>
      <c r="F62" s="348">
        <f t="shared" si="0"/>
        <v>9851</v>
      </c>
      <c r="G62" s="1003">
        <v>22534</v>
      </c>
      <c r="H62" s="66">
        <v>22534</v>
      </c>
      <c r="I62" s="94">
        <f t="shared" si="1"/>
        <v>1</v>
      </c>
      <c r="J62" s="66">
        <f>Assumptions!$C$62</f>
        <v>27296</v>
      </c>
      <c r="K62" s="66">
        <f t="shared" si="2"/>
        <v>268892896</v>
      </c>
      <c r="L62" s="1005"/>
      <c r="M62" s="855">
        <f>Assumptions!$C$64</f>
        <v>3.6635404454865184E-2</v>
      </c>
      <c r="N62" s="877"/>
      <c r="O62" s="458">
        <f t="shared" si="28"/>
        <v>3.1254579425556854</v>
      </c>
      <c r="P62" s="1047">
        <f t="shared" si="4"/>
        <v>840413437.49999988</v>
      </c>
      <c r="Q62" s="393"/>
      <c r="R62" s="394"/>
      <c r="S62" s="322">
        <f>Gasoline!K62</f>
        <v>0</v>
      </c>
      <c r="T62" s="329">
        <f t="shared" si="31"/>
        <v>0</v>
      </c>
      <c r="U62" s="320"/>
      <c r="V62" s="320">
        <f t="shared" si="32"/>
        <v>0</v>
      </c>
      <c r="W62" s="314">
        <f t="shared" si="29"/>
        <v>0</v>
      </c>
      <c r="X62" s="1046"/>
      <c r="Y62" s="1047">
        <f t="shared" si="25"/>
        <v>0</v>
      </c>
      <c r="Z62" s="395"/>
      <c r="AA62" s="396">
        <f t="shared" si="33"/>
        <v>0</v>
      </c>
      <c r="AB62" s="1007"/>
      <c r="AC62" s="1010"/>
      <c r="AD62" s="616"/>
      <c r="AE62" s="1043">
        <f>'Electricity - Res'!AE62*0.625</f>
        <v>3.1254579425556854</v>
      </c>
      <c r="AF62" s="847">
        <f t="shared" si="17"/>
        <v>840413437.49999988</v>
      </c>
    </row>
    <row r="63" spans="1:32" s="85" customFormat="1" x14ac:dyDescent="0.6">
      <c r="A63" s="61">
        <f t="shared" si="30"/>
        <v>56</v>
      </c>
      <c r="B63" s="86" t="s">
        <v>73</v>
      </c>
      <c r="C63" s="290">
        <v>111076</v>
      </c>
      <c r="D63" s="290">
        <v>38008</v>
      </c>
      <c r="E63" s="290">
        <v>37160</v>
      </c>
      <c r="F63" s="348">
        <f t="shared" si="0"/>
        <v>35908</v>
      </c>
      <c r="G63" s="1003">
        <v>127366</v>
      </c>
      <c r="H63" s="66">
        <f>1582+125488</f>
        <v>127070</v>
      </c>
      <c r="I63" s="94">
        <f t="shared" si="1"/>
        <v>0.99767598888243325</v>
      </c>
      <c r="J63" s="66">
        <f>Assumptions!$C$62</f>
        <v>27296</v>
      </c>
      <c r="K63" s="66">
        <f t="shared" si="2"/>
        <v>977866900.66234314</v>
      </c>
      <c r="L63" s="1025">
        <f>Assumptions!$H$29</f>
        <v>0.27229399999999998</v>
      </c>
      <c r="M63" s="855">
        <f>Assumptions!$C$64</f>
        <v>3.6635404454865184E-2</v>
      </c>
      <c r="N63" s="877"/>
      <c r="O63" s="458">
        <f t="shared" si="28"/>
        <v>2.6331696951934354</v>
      </c>
      <c r="P63" s="1047">
        <f t="shared" si="4"/>
        <v>2574889488.7568116</v>
      </c>
      <c r="Q63" s="393"/>
      <c r="R63" s="394"/>
      <c r="S63" s="322">
        <f>Gasoline!K63</f>
        <v>0</v>
      </c>
      <c r="T63" s="329">
        <f t="shared" si="31"/>
        <v>0</v>
      </c>
      <c r="U63" s="320"/>
      <c r="V63" s="320">
        <f t="shared" si="32"/>
        <v>0</v>
      </c>
      <c r="W63" s="314">
        <f t="shared" si="29"/>
        <v>0</v>
      </c>
      <c r="X63" s="1046"/>
      <c r="Y63" s="1047">
        <f t="shared" si="25"/>
        <v>0</v>
      </c>
      <c r="Z63" s="395"/>
      <c r="AA63" s="396">
        <f t="shared" si="33"/>
        <v>0</v>
      </c>
      <c r="AB63" s="1007"/>
      <c r="AC63" s="1010"/>
      <c r="AD63" s="616"/>
      <c r="AE63" s="363">
        <f>'Electricity - Res'!AE63*0.625</f>
        <v>2.6331696951934354</v>
      </c>
      <c r="AF63" s="847">
        <f t="shared" si="17"/>
        <v>2574889488.7568116</v>
      </c>
    </row>
    <row r="64" spans="1:32" s="85" customFormat="1" x14ac:dyDescent="0.6">
      <c r="A64" s="61">
        <f t="shared" si="30"/>
        <v>57</v>
      </c>
      <c r="B64" s="86" t="s">
        <v>74</v>
      </c>
      <c r="C64" s="290">
        <v>46472</v>
      </c>
      <c r="D64" s="290">
        <v>8418</v>
      </c>
      <c r="E64" s="290">
        <v>3600</v>
      </c>
      <c r="F64" s="348">
        <f>C64-D64-E64</f>
        <v>34454</v>
      </c>
      <c r="G64" s="1003">
        <v>57280</v>
      </c>
      <c r="H64" s="66">
        <f>2340+147+42963</f>
        <v>45450</v>
      </c>
      <c r="I64" s="94">
        <f>H64/G64</f>
        <v>0.79347067039106145</v>
      </c>
      <c r="J64" s="66">
        <f>Assumptions!$C$62</f>
        <v>27296</v>
      </c>
      <c r="K64" s="66">
        <f t="shared" si="2"/>
        <v>746224557.48603356</v>
      </c>
      <c r="L64" s="1005"/>
      <c r="M64" s="855">
        <f>Assumptions!$C$64</f>
        <v>3.6635404454865184E-2</v>
      </c>
      <c r="N64" s="877"/>
      <c r="O64" s="458">
        <f t="shared" si="28"/>
        <v>1.4585470398593203</v>
      </c>
      <c r="P64" s="1047">
        <f t="shared" si="4"/>
        <v>1088403619.3915854</v>
      </c>
      <c r="Q64" s="393"/>
      <c r="R64" s="394"/>
      <c r="S64" s="322">
        <f>Gasoline!K64</f>
        <v>0</v>
      </c>
      <c r="T64" s="329">
        <f t="shared" si="31"/>
        <v>0</v>
      </c>
      <c r="U64" s="320"/>
      <c r="V64" s="320">
        <f t="shared" si="32"/>
        <v>0</v>
      </c>
      <c r="W64" s="314">
        <f t="shared" si="29"/>
        <v>0</v>
      </c>
      <c r="X64" s="1046"/>
      <c r="Y64" s="1047">
        <f t="shared" si="25"/>
        <v>0</v>
      </c>
      <c r="Z64" s="395"/>
      <c r="AA64" s="396">
        <f t="shared" si="33"/>
        <v>0</v>
      </c>
      <c r="AB64" s="1007"/>
      <c r="AC64" s="1010"/>
      <c r="AD64" s="616"/>
      <c r="AE64" s="363">
        <f>'Electricity - Res'!AE64*0.625</f>
        <v>1.4585470398593203</v>
      </c>
      <c r="AF64" s="847">
        <f t="shared" si="17"/>
        <v>1088403619.3915854</v>
      </c>
    </row>
    <row r="65" spans="1:33" s="85" customFormat="1" x14ac:dyDescent="0.6">
      <c r="A65" s="63">
        <f t="shared" si="30"/>
        <v>58</v>
      </c>
      <c r="B65" s="90" t="s">
        <v>75</v>
      </c>
      <c r="C65" s="292">
        <v>71762</v>
      </c>
      <c r="D65" s="292">
        <v>22593</v>
      </c>
      <c r="E65" s="292">
        <v>17502</v>
      </c>
      <c r="F65" s="350">
        <f>C65-D65-E65</f>
        <v>31667</v>
      </c>
      <c r="G65" s="1004">
        <v>117950</v>
      </c>
      <c r="H65" s="75">
        <f>19856+22835</f>
        <v>42691</v>
      </c>
      <c r="I65" s="228">
        <f>H65/G65</f>
        <v>0.36194150063586267</v>
      </c>
      <c r="J65" s="75">
        <f>Assumptions!$C$62</f>
        <v>27296</v>
      </c>
      <c r="K65" s="75">
        <f t="shared" si="2"/>
        <v>312855874.56135654</v>
      </c>
      <c r="L65" s="1012"/>
      <c r="M65" s="856">
        <f>Assumptions!$C$64</f>
        <v>3.6635404454865184E-2</v>
      </c>
      <c r="N65" s="878"/>
      <c r="O65" s="1548">
        <f t="shared" si="28"/>
        <v>3.1254579425556854</v>
      </c>
      <c r="P65" s="1050">
        <f t="shared" si="4"/>
        <v>977817878.02299702</v>
      </c>
      <c r="Q65" s="819"/>
      <c r="R65" s="858"/>
      <c r="S65" s="1022">
        <f>Gasoline!K65</f>
        <v>0</v>
      </c>
      <c r="T65" s="335">
        <f t="shared" si="31"/>
        <v>0</v>
      </c>
      <c r="U65" s="1014"/>
      <c r="V65" s="1014">
        <f t="shared" si="32"/>
        <v>0</v>
      </c>
      <c r="W65" s="328">
        <f t="shared" si="29"/>
        <v>0</v>
      </c>
      <c r="X65" s="1049"/>
      <c r="Y65" s="1050">
        <f t="shared" si="25"/>
        <v>0</v>
      </c>
      <c r="Z65" s="1015"/>
      <c r="AA65" s="409">
        <f t="shared" si="33"/>
        <v>0</v>
      </c>
      <c r="AB65" s="1016"/>
      <c r="AC65" s="1017"/>
      <c r="AD65" s="1000"/>
      <c r="AE65" s="1528">
        <f>'Electricity - Res'!AE65*0.625</f>
        <v>3.1254579425556854</v>
      </c>
      <c r="AF65" s="1019">
        <f t="shared" si="17"/>
        <v>977817878.02299702</v>
      </c>
    </row>
    <row r="66" spans="1:33" s="85" customFormat="1" x14ac:dyDescent="0.6">
      <c r="A66" s="60"/>
      <c r="B66" s="85" t="s">
        <v>42</v>
      </c>
      <c r="C66" s="21">
        <f>SUM(C4:C65)</f>
        <v>17783386</v>
      </c>
      <c r="D66" s="21">
        <f t="shared" ref="D66:H66" si="34">SUM(D4:D65)</f>
        <v>4747929</v>
      </c>
      <c r="E66" s="21">
        <f t="shared" si="34"/>
        <v>3972563</v>
      </c>
      <c r="F66" s="21">
        <f t="shared" si="34"/>
        <v>9062894</v>
      </c>
      <c r="G66" s="21">
        <f t="shared" si="34"/>
        <v>21452020</v>
      </c>
      <c r="H66" s="21">
        <f t="shared" si="34"/>
        <v>14404086</v>
      </c>
      <c r="I66" s="230"/>
      <c r="J66" s="21"/>
      <c r="K66" s="21">
        <f>SUM(K4:K65)</f>
        <v>169801933695.0206</v>
      </c>
      <c r="L66" s="1009"/>
      <c r="M66" s="812"/>
      <c r="N66" s="416"/>
      <c r="O66" s="526"/>
      <c r="P66" s="414"/>
      <c r="Q66" s="416"/>
      <c r="R66" s="526"/>
      <c r="S66" s="360"/>
      <c r="T66" s="331"/>
      <c r="U66" s="506"/>
      <c r="V66" s="506"/>
      <c r="W66" s="70"/>
      <c r="X66" s="414"/>
      <c r="Y66" s="414"/>
      <c r="Z66" s="506"/>
      <c r="AA66" s="70"/>
      <c r="AB66" s="70"/>
      <c r="AC66" s="70"/>
      <c r="AD66" s="415"/>
      <c r="AE66" s="506"/>
      <c r="AF66" s="70"/>
    </row>
    <row r="67" spans="1:33" x14ac:dyDescent="0.6">
      <c r="B67" s="1" t="s">
        <v>596</v>
      </c>
      <c r="C67" s="21">
        <v>20200362</v>
      </c>
      <c r="D67" s="21">
        <v>5465703</v>
      </c>
      <c r="E67" s="21">
        <v>4492158</v>
      </c>
      <c r="F67" s="21">
        <f>C67-D67-E67</f>
        <v>10242501</v>
      </c>
      <c r="G67" s="88">
        <v>24344520</v>
      </c>
      <c r="H67" s="21">
        <f>9538300+989865+5543363</f>
        <v>16071528</v>
      </c>
      <c r="I67" s="229">
        <f>H67/G67</f>
        <v>0.66017025597547208</v>
      </c>
      <c r="K67" s="28"/>
      <c r="L67" s="398"/>
      <c r="N67" s="416"/>
      <c r="O67" s="526"/>
      <c r="P67" s="414"/>
      <c r="R67" s="526"/>
      <c r="X67" s="414"/>
      <c r="Y67" s="414"/>
      <c r="AF67" s="1"/>
      <c r="AG67" s="1"/>
    </row>
    <row r="68" spans="1:33" x14ac:dyDescent="0.6">
      <c r="C68" s="360">
        <f>C66/C67</f>
        <v>0.88034986699743301</v>
      </c>
      <c r="D68" s="360">
        <f t="shared" ref="D68:H68" si="35">D66/D67</f>
        <v>0.86867672831838827</v>
      </c>
      <c r="E68" s="360">
        <f t="shared" si="35"/>
        <v>0.88433287520162918</v>
      </c>
      <c r="F68" s="360">
        <f t="shared" si="35"/>
        <v>0.88483213230831026</v>
      </c>
      <c r="G68" s="360">
        <f t="shared" si="35"/>
        <v>0.8811847594448361</v>
      </c>
      <c r="H68" s="360">
        <f t="shared" si="35"/>
        <v>0.89624869520807227</v>
      </c>
      <c r="L68" s="70"/>
      <c r="N68" s="416"/>
      <c r="O68" s="526"/>
      <c r="P68" s="414"/>
      <c r="R68" s="526"/>
      <c r="X68" s="414"/>
      <c r="Y68" s="414"/>
      <c r="AF68" s="1"/>
      <c r="AG68" s="1"/>
    </row>
    <row r="69" spans="1:33" x14ac:dyDescent="0.6">
      <c r="L69" s="70"/>
      <c r="N69" s="526"/>
      <c r="O69" s="526"/>
      <c r="P69" s="414"/>
      <c r="R69" s="526"/>
      <c r="X69" s="414"/>
      <c r="Y69" s="414"/>
      <c r="AF69" s="1"/>
      <c r="AG69" s="1"/>
    </row>
    <row r="70" spans="1:33" x14ac:dyDescent="0.6">
      <c r="K70" s="239"/>
      <c r="L70" s="70"/>
      <c r="N70" s="416"/>
      <c r="O70" s="526"/>
      <c r="P70" s="414"/>
      <c r="R70" s="526"/>
      <c r="X70" s="414"/>
      <c r="Y70" s="414"/>
      <c r="AF70" s="1"/>
      <c r="AG70" s="1"/>
    </row>
    <row r="71" spans="1:33" x14ac:dyDescent="0.6">
      <c r="K71" s="226"/>
      <c r="L71" s="70"/>
      <c r="N71" s="526"/>
      <c r="O71" s="526"/>
      <c r="P71" s="414"/>
      <c r="R71" s="526"/>
      <c r="X71" s="414"/>
      <c r="Y71" s="414"/>
      <c r="AF71" s="1"/>
      <c r="AG71" s="1"/>
    </row>
    <row r="72" spans="1:33" x14ac:dyDescent="0.6">
      <c r="L72" s="398"/>
      <c r="N72" s="416"/>
      <c r="O72" s="526"/>
      <c r="P72" s="414"/>
      <c r="R72" s="526"/>
      <c r="X72" s="414"/>
      <c r="Y72" s="414"/>
      <c r="AF72" s="1"/>
      <c r="AG72" s="1"/>
    </row>
    <row r="73" spans="1:33" x14ac:dyDescent="0.6">
      <c r="A73" s="1"/>
      <c r="G73" s="85"/>
      <c r="K73" s="1"/>
      <c r="L73" s="398"/>
      <c r="M73" s="91"/>
      <c r="N73" s="416"/>
      <c r="O73" s="526"/>
      <c r="P73" s="414"/>
      <c r="R73" s="526"/>
      <c r="S73" s="1"/>
      <c r="T73" s="10"/>
      <c r="X73" s="414"/>
      <c r="Y73" s="414"/>
      <c r="AA73" s="85"/>
      <c r="AB73" s="1"/>
      <c r="AC73" s="1"/>
      <c r="AD73" s="83"/>
      <c r="AF73" s="1"/>
      <c r="AG73" s="1"/>
    </row>
    <row r="74" spans="1:33" x14ac:dyDescent="0.6">
      <c r="A74" s="1"/>
      <c r="G74" s="85"/>
      <c r="K74" s="1"/>
      <c r="L74" s="398"/>
      <c r="N74" s="416"/>
      <c r="O74" s="526"/>
      <c r="P74" s="414"/>
      <c r="R74" s="526"/>
      <c r="X74" s="414"/>
      <c r="Y74" s="414"/>
      <c r="AA74" s="85"/>
      <c r="AB74" s="1"/>
      <c r="AC74" s="1"/>
      <c r="AD74" s="83"/>
      <c r="AF74" s="1"/>
      <c r="AG74" s="1"/>
    </row>
    <row r="75" spans="1:33" x14ac:dyDescent="0.6">
      <c r="A75" s="1"/>
      <c r="G75" s="85"/>
      <c r="K75" s="1"/>
      <c r="L75" s="398"/>
      <c r="N75" s="416"/>
      <c r="O75" s="526"/>
      <c r="P75" s="414"/>
      <c r="R75" s="526"/>
      <c r="X75" s="414"/>
      <c r="Y75" s="414"/>
      <c r="AA75" s="85"/>
      <c r="AB75" s="1"/>
      <c r="AC75" s="1"/>
      <c r="AD75" s="83"/>
      <c r="AF75" s="1"/>
      <c r="AG75" s="1"/>
    </row>
    <row r="76" spans="1:33" x14ac:dyDescent="0.6">
      <c r="L76" s="398"/>
      <c r="N76" s="416"/>
      <c r="O76" s="526"/>
      <c r="P76" s="414"/>
      <c r="R76" s="526"/>
      <c r="X76" s="414"/>
      <c r="Y76" s="414"/>
      <c r="AF76" s="1"/>
      <c r="AG76" s="1"/>
    </row>
    <row r="77" spans="1:33" x14ac:dyDescent="0.6">
      <c r="A77" s="1"/>
      <c r="G77" s="85"/>
      <c r="K77" s="1"/>
      <c r="L77" s="398"/>
      <c r="N77" s="416"/>
      <c r="O77" s="526"/>
      <c r="P77" s="414"/>
      <c r="R77" s="526"/>
      <c r="X77" s="414"/>
      <c r="Y77" s="414"/>
      <c r="AA77" s="85"/>
      <c r="AB77" s="1"/>
      <c r="AC77" s="1"/>
      <c r="AD77" s="83"/>
      <c r="AF77" s="1"/>
      <c r="AG77" s="1"/>
    </row>
    <row r="78" spans="1:33" x14ac:dyDescent="0.6">
      <c r="A78" s="1"/>
      <c r="G78" s="85"/>
      <c r="K78" s="1"/>
      <c r="P78" s="414"/>
      <c r="X78" s="414"/>
      <c r="Y78" s="414"/>
      <c r="AA78" s="85"/>
      <c r="AB78" s="1"/>
      <c r="AC78" s="1"/>
      <c r="AD78" s="83"/>
      <c r="AF78" s="1"/>
      <c r="AG78" s="1"/>
    </row>
    <row r="79" spans="1:33" x14ac:dyDescent="0.6">
      <c r="A79" s="1"/>
      <c r="G79" s="85"/>
      <c r="K79" s="1"/>
      <c r="P79" s="414"/>
      <c r="X79" s="414"/>
      <c r="Y79" s="414"/>
      <c r="AA79" s="85"/>
      <c r="AB79" s="1"/>
      <c r="AC79" s="1"/>
      <c r="AD79" s="83"/>
      <c r="AF79" s="1"/>
      <c r="AG79" s="1"/>
    </row>
    <row r="80" spans="1:33" x14ac:dyDescent="0.6">
      <c r="A80" s="1"/>
      <c r="G80" s="85"/>
      <c r="K80" s="1"/>
      <c r="AA80" s="85"/>
      <c r="AB80" s="1"/>
      <c r="AC80" s="1"/>
      <c r="AD80" s="83"/>
      <c r="AF80" s="1"/>
      <c r="AG80" s="1"/>
    </row>
    <row r="81" spans="1:33" x14ac:dyDescent="0.6">
      <c r="A81" s="1"/>
      <c r="G81" s="85"/>
      <c r="K81" s="1"/>
      <c r="AA81" s="85"/>
      <c r="AB81" s="1"/>
      <c r="AC81" s="1"/>
      <c r="AD81" s="83"/>
      <c r="AF81" s="1"/>
      <c r="AG81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95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1" defaultRowHeight="15.6" x14ac:dyDescent="0.6"/>
  <cols>
    <col min="2" max="2" width="20.59765625" customWidth="1"/>
    <col min="3" max="3" width="12.5" style="175" customWidth="1"/>
    <col min="4" max="4" width="11" style="175" bestFit="1" customWidth="1"/>
    <col min="5" max="5" width="8.5" style="154" customWidth="1"/>
    <col min="6" max="6" width="8.5" style="161" customWidth="1"/>
    <col min="7" max="7" width="15.59765625" style="180" bestFit="1" customWidth="1"/>
    <col min="8" max="8" width="15.09765625" style="888" bestFit="1" customWidth="1"/>
    <col min="9" max="9" width="11.09765625" style="919" bestFit="1" customWidth="1"/>
    <col min="10" max="10" width="10" style="160" bestFit="1" customWidth="1"/>
    <col min="11" max="12" width="10.84765625" style="160"/>
    <col min="13" max="13" width="10" style="254" bestFit="1" customWidth="1"/>
    <col min="14" max="14" width="7.34765625" style="254" bestFit="1" customWidth="1"/>
    <col min="15" max="15" width="12.09765625" style="10" bestFit="1" customWidth="1"/>
    <col min="16" max="16" width="8.84765625" style="922" bestFit="1" customWidth="1"/>
    <col min="17" max="17" width="16" style="17" bestFit="1" customWidth="1"/>
    <col min="18" max="18" width="17.5" style="70" bestFit="1" customWidth="1"/>
    <col min="19" max="19" width="16" style="17" customWidth="1"/>
    <col min="20" max="20" width="16.34765625" style="85" customWidth="1"/>
    <col min="21" max="21" width="2.09765625" style="1" bestFit="1" customWidth="1"/>
  </cols>
  <sheetData>
    <row r="1" spans="1:20" s="1" customFormat="1" x14ac:dyDescent="0.6">
      <c r="A1" s="78" t="s">
        <v>844</v>
      </c>
      <c r="B1" s="85"/>
      <c r="C1" s="153"/>
      <c r="D1" s="153"/>
      <c r="E1" s="28"/>
      <c r="F1" s="71"/>
      <c r="G1" s="157"/>
      <c r="H1" s="64"/>
      <c r="I1" s="915"/>
      <c r="J1" s="54"/>
      <c r="K1" s="95" t="s">
        <v>396</v>
      </c>
      <c r="L1" s="54" t="s">
        <v>397</v>
      </c>
      <c r="M1" s="10"/>
      <c r="N1" s="11" t="s">
        <v>396</v>
      </c>
      <c r="O1" s="10" t="s">
        <v>397</v>
      </c>
      <c r="P1" s="922"/>
      <c r="Q1" s="98"/>
      <c r="R1" s="70"/>
      <c r="S1" s="98"/>
      <c r="T1" s="85"/>
    </row>
    <row r="2" spans="1:20" s="2" customFormat="1" x14ac:dyDescent="0.6">
      <c r="B2" s="60"/>
      <c r="C2" s="155" t="s">
        <v>197</v>
      </c>
      <c r="D2" s="155" t="s">
        <v>502</v>
      </c>
      <c r="E2" s="71" t="s">
        <v>189</v>
      </c>
      <c r="F2" s="71"/>
      <c r="G2" s="60" t="s">
        <v>24</v>
      </c>
      <c r="H2" s="14" t="s">
        <v>24</v>
      </c>
      <c r="I2" s="460" t="s">
        <v>402</v>
      </c>
      <c r="J2" s="95" t="s">
        <v>402</v>
      </c>
      <c r="K2" s="95" t="s">
        <v>190</v>
      </c>
      <c r="L2" s="95" t="s">
        <v>190</v>
      </c>
      <c r="M2" s="11" t="s">
        <v>402</v>
      </c>
      <c r="N2" s="11" t="s">
        <v>190</v>
      </c>
      <c r="O2" s="11" t="s">
        <v>190</v>
      </c>
      <c r="P2" s="938" t="s">
        <v>79</v>
      </c>
      <c r="Q2" s="18" t="s">
        <v>189</v>
      </c>
      <c r="R2" s="114" t="s">
        <v>396</v>
      </c>
      <c r="S2" s="18" t="s">
        <v>397</v>
      </c>
      <c r="T2" s="60" t="s">
        <v>398</v>
      </c>
    </row>
    <row r="3" spans="1:20" s="2" customFormat="1" x14ac:dyDescent="0.6">
      <c r="B3" s="60"/>
      <c r="C3" s="155" t="s">
        <v>79</v>
      </c>
      <c r="D3" s="155"/>
      <c r="E3" s="71" t="s">
        <v>79</v>
      </c>
      <c r="F3" s="71" t="s">
        <v>399</v>
      </c>
      <c r="G3" s="157" t="s">
        <v>854</v>
      </c>
      <c r="H3" s="64" t="s">
        <v>848</v>
      </c>
      <c r="I3" s="460" t="s">
        <v>851</v>
      </c>
      <c r="J3" s="95" t="s">
        <v>503</v>
      </c>
      <c r="K3" s="95" t="s">
        <v>503</v>
      </c>
      <c r="L3" s="95" t="s">
        <v>503</v>
      </c>
      <c r="M3" s="11" t="s">
        <v>846</v>
      </c>
      <c r="N3" s="11" t="s">
        <v>846</v>
      </c>
      <c r="O3" s="11" t="s">
        <v>846</v>
      </c>
      <c r="P3" s="938" t="s">
        <v>846</v>
      </c>
      <c r="Q3" s="18" t="s">
        <v>192</v>
      </c>
      <c r="R3" s="114" t="s">
        <v>192</v>
      </c>
      <c r="S3" s="18" t="s">
        <v>192</v>
      </c>
      <c r="T3" s="60" t="s">
        <v>198</v>
      </c>
    </row>
    <row r="4" spans="1:20" s="192" customFormat="1" x14ac:dyDescent="0.6">
      <c r="A4" s="236">
        <f t="shared" ref="A4:A54" si="0">A3+1</f>
        <v>1</v>
      </c>
      <c r="B4" s="192" t="s">
        <v>178</v>
      </c>
      <c r="C4" s="232">
        <v>2.1999999999999999E-2</v>
      </c>
      <c r="D4" s="234"/>
      <c r="E4" s="232">
        <f>'State gasoline'!K4</f>
        <v>8.9099999999999999E-2</v>
      </c>
      <c r="F4" s="924" t="s">
        <v>200</v>
      </c>
      <c r="G4" s="894">
        <v>34634820</v>
      </c>
      <c r="H4" s="895">
        <f>G4*Assumptions!$C$59/Assumptions!$C$8</f>
        <v>945392046.72000003</v>
      </c>
      <c r="I4" s="917">
        <v>6.15</v>
      </c>
      <c r="J4" s="116">
        <f>I4/100*1000000/Assumptions!$C$58</f>
        <v>18.024618991793673</v>
      </c>
      <c r="K4" s="116">
        <f>IF(F4="no",J4/(1+C4)/(1+E4)-D4,J4/(1+C4)/(1+C4)-D4)</f>
        <v>17.256960366835369</v>
      </c>
      <c r="L4" s="902">
        <f>K4</f>
        <v>17.256960366835369</v>
      </c>
      <c r="M4" s="906">
        <f>J4*Assumptions!$C$8/1000000</f>
        <v>2.2530773739742092</v>
      </c>
      <c r="N4" s="906">
        <f>K4*Assumptions!$C$8/1000000</f>
        <v>2.1571200458544211</v>
      </c>
      <c r="O4" s="908">
        <f>L4*Assumptions!$C$8/1000000</f>
        <v>2.1571200458544211</v>
      </c>
      <c r="P4" s="939">
        <f>M4-N4</f>
        <v>9.5957328119788077E-2</v>
      </c>
      <c r="Q4" s="912">
        <f>M4*H4</f>
        <v>2130041430.0000005</v>
      </c>
      <c r="R4" s="912">
        <f>N4*H4</f>
        <v>2039324135.1710515</v>
      </c>
      <c r="S4" s="912">
        <f>O4*H4</f>
        <v>2039324135.1710515</v>
      </c>
      <c r="T4" s="911">
        <f>Q4-S4</f>
        <v>90717294.828948975</v>
      </c>
    </row>
    <row r="5" spans="1:20" s="1" customFormat="1" x14ac:dyDescent="0.6">
      <c r="A5" s="2">
        <f t="shared" si="0"/>
        <v>2</v>
      </c>
      <c r="B5" s="85" t="s">
        <v>188</v>
      </c>
      <c r="C5" s="185"/>
      <c r="D5" s="186"/>
      <c r="E5" s="186"/>
      <c r="F5" s="187"/>
      <c r="G5" s="892"/>
      <c r="H5" s="897"/>
      <c r="I5" s="917"/>
      <c r="J5" s="116"/>
      <c r="K5" s="54"/>
      <c r="L5" s="901"/>
      <c r="M5" s="906"/>
      <c r="N5" s="904"/>
      <c r="O5" s="907"/>
      <c r="P5" s="939"/>
      <c r="Q5" s="910"/>
      <c r="R5" s="909"/>
      <c r="S5" s="910"/>
      <c r="T5" s="911"/>
    </row>
    <row r="6" spans="1:20" s="1" customFormat="1" x14ac:dyDescent="0.6">
      <c r="A6" s="2">
        <f t="shared" si="0"/>
        <v>3</v>
      </c>
      <c r="B6" s="85" t="s">
        <v>181</v>
      </c>
      <c r="C6" s="185"/>
      <c r="D6" s="186"/>
      <c r="E6" s="186"/>
      <c r="F6" s="187"/>
      <c r="G6" s="892"/>
      <c r="H6" s="897"/>
      <c r="I6" s="917"/>
      <c r="J6" s="116"/>
      <c r="K6" s="54"/>
      <c r="L6" s="901"/>
      <c r="M6" s="906"/>
      <c r="N6" s="904"/>
      <c r="O6" s="907"/>
      <c r="P6" s="939"/>
      <c r="Q6" s="910"/>
      <c r="R6" s="909"/>
      <c r="S6" s="910"/>
      <c r="T6" s="911"/>
    </row>
    <row r="7" spans="1:20" s="1" customFormat="1" x14ac:dyDescent="0.6">
      <c r="A7" s="2">
        <f t="shared" si="0"/>
        <v>4</v>
      </c>
      <c r="B7" s="85" t="s">
        <v>176</v>
      </c>
      <c r="C7" s="188"/>
      <c r="D7" s="189"/>
      <c r="E7" s="189"/>
      <c r="F7" s="190"/>
      <c r="G7" s="892"/>
      <c r="H7" s="897"/>
      <c r="I7" s="917"/>
      <c r="J7" s="116"/>
      <c r="K7" s="10"/>
      <c r="L7" s="901"/>
      <c r="M7" s="906"/>
      <c r="N7" s="904"/>
      <c r="O7" s="907"/>
      <c r="P7" s="939"/>
      <c r="Q7" s="910"/>
      <c r="R7" s="909"/>
      <c r="S7" s="910"/>
      <c r="T7" s="911"/>
    </row>
    <row r="8" spans="1:20" s="192" customFormat="1" x14ac:dyDescent="0.6">
      <c r="A8" s="236">
        <f t="shared" si="0"/>
        <v>5</v>
      </c>
      <c r="B8" s="192" t="s">
        <v>142</v>
      </c>
      <c r="C8" s="153">
        <v>7.0000000000000007E-2</v>
      </c>
      <c r="D8" s="191">
        <f>0.00029/Assumptions!C58*1000000</f>
        <v>8.4994138335287212E-2</v>
      </c>
      <c r="E8" s="153">
        <f>'State gasoline'!K8</f>
        <v>8.4400000000000003E-2</v>
      </c>
      <c r="F8" s="923" t="s">
        <v>199</v>
      </c>
      <c r="G8" s="894">
        <v>52898430</v>
      </c>
      <c r="H8" s="895">
        <f>G8*Assumptions!$C$59/Assumptions!$C$8</f>
        <v>1443915545.28</v>
      </c>
      <c r="I8" s="917">
        <v>12.34</v>
      </c>
      <c r="J8" s="116">
        <f>I8/100*1000000/Assumptions!$C$58</f>
        <v>36.166471277842909</v>
      </c>
      <c r="K8" s="116">
        <f>IF(F8="no",J8/(1+C8)/(1+E8)-D8,J8/(1+C8)/(1+C8)-D8)</f>
        <v>31.084722245454973</v>
      </c>
      <c r="L8" s="902">
        <f>K8</f>
        <v>31.084722245454973</v>
      </c>
      <c r="M8" s="906">
        <f>J8*Assumptions!$C$8/1000000</f>
        <v>4.5208089097303636</v>
      </c>
      <c r="N8" s="906">
        <f>K8*Assumptions!$C$8/1000000</f>
        <v>3.8855902806818716</v>
      </c>
      <c r="O8" s="908">
        <f>L8*Assumptions!$C$8/1000000</f>
        <v>3.8855902806818716</v>
      </c>
      <c r="P8" s="939">
        <f>M8-N8</f>
        <v>0.63521862904849202</v>
      </c>
      <c r="Q8" s="912">
        <f>M8*H8</f>
        <v>6527666262</v>
      </c>
      <c r="R8" s="912">
        <f>N8*H8</f>
        <v>5610464208.8654327</v>
      </c>
      <c r="S8" s="912">
        <f>O8*H8</f>
        <v>5610464208.8654327</v>
      </c>
      <c r="T8" s="911">
        <f>Q8-S8</f>
        <v>917202053.13456726</v>
      </c>
    </row>
    <row r="9" spans="1:20" s="1" customFormat="1" x14ac:dyDescent="0.6">
      <c r="A9" s="2">
        <f t="shared" si="0"/>
        <v>6</v>
      </c>
      <c r="B9" s="85" t="s">
        <v>175</v>
      </c>
      <c r="C9" s="182"/>
      <c r="D9" s="183"/>
      <c r="E9" s="183"/>
      <c r="F9" s="184"/>
      <c r="G9" s="892"/>
      <c r="H9" s="897"/>
      <c r="I9" s="917"/>
      <c r="J9" s="116"/>
      <c r="K9" s="54"/>
      <c r="L9" s="901"/>
      <c r="M9" s="906"/>
      <c r="N9" s="904"/>
      <c r="O9" s="907"/>
      <c r="P9" s="939"/>
      <c r="Q9" s="910"/>
      <c r="R9" s="909"/>
      <c r="S9" s="910"/>
      <c r="T9" s="911"/>
    </row>
    <row r="10" spans="1:20" s="1" customFormat="1" x14ac:dyDescent="0.6">
      <c r="A10" s="2">
        <f t="shared" si="0"/>
        <v>7</v>
      </c>
      <c r="B10" s="85" t="s">
        <v>143</v>
      </c>
      <c r="C10" s="185"/>
      <c r="D10" s="186"/>
      <c r="E10" s="186"/>
      <c r="F10" s="187"/>
      <c r="G10" s="892"/>
      <c r="H10" s="897"/>
      <c r="I10" s="917"/>
      <c r="J10" s="116"/>
      <c r="K10" s="54"/>
      <c r="L10" s="901"/>
      <c r="M10" s="906"/>
      <c r="N10" s="904"/>
      <c r="O10" s="907"/>
      <c r="P10" s="939"/>
      <c r="Q10" s="910"/>
      <c r="R10" s="909"/>
      <c r="S10" s="910"/>
      <c r="T10" s="911"/>
    </row>
    <row r="11" spans="1:20" s="1" customFormat="1" x14ac:dyDescent="0.6">
      <c r="A11" s="2">
        <f t="shared" si="0"/>
        <v>8</v>
      </c>
      <c r="B11" s="85" t="s">
        <v>172</v>
      </c>
      <c r="C11" s="185"/>
      <c r="D11" s="186"/>
      <c r="E11" s="186"/>
      <c r="F11" s="187"/>
      <c r="G11" s="892"/>
      <c r="H11" s="897"/>
      <c r="I11" s="917"/>
      <c r="J11" s="116"/>
      <c r="K11" s="54"/>
      <c r="L11" s="901"/>
      <c r="M11" s="906"/>
      <c r="N11" s="904"/>
      <c r="O11" s="907"/>
      <c r="P11" s="939"/>
      <c r="Q11" s="910"/>
      <c r="R11" s="909"/>
      <c r="S11" s="910"/>
      <c r="T11" s="911"/>
    </row>
    <row r="12" spans="1:20" s="1" customFormat="1" x14ac:dyDescent="0.6">
      <c r="A12" s="2">
        <f t="shared" si="0"/>
        <v>9</v>
      </c>
      <c r="B12" s="85" t="s">
        <v>171</v>
      </c>
      <c r="C12" s="185"/>
      <c r="D12" s="186"/>
      <c r="E12" s="186"/>
      <c r="F12" s="187"/>
      <c r="G12" s="892"/>
      <c r="H12" s="897"/>
      <c r="I12" s="917"/>
      <c r="J12" s="116"/>
      <c r="K12" s="54"/>
      <c r="L12" s="901"/>
      <c r="M12" s="906"/>
      <c r="N12" s="904"/>
      <c r="O12" s="907"/>
      <c r="P12" s="939"/>
      <c r="Q12" s="910"/>
      <c r="R12" s="909"/>
      <c r="S12" s="910"/>
      <c r="T12" s="911"/>
    </row>
    <row r="13" spans="1:20" s="1" customFormat="1" x14ac:dyDescent="0.6">
      <c r="A13" s="2">
        <f t="shared" si="0"/>
        <v>10</v>
      </c>
      <c r="B13" s="85" t="s">
        <v>144</v>
      </c>
      <c r="C13" s="185"/>
      <c r="D13" s="186"/>
      <c r="E13" s="186"/>
      <c r="F13" s="187"/>
      <c r="G13" s="892"/>
      <c r="H13" s="895"/>
      <c r="I13" s="917"/>
      <c r="J13" s="116">
        <f>I13/100*1000000/Assumptions!$C$58</f>
        <v>0</v>
      </c>
      <c r="K13" s="54"/>
      <c r="L13" s="901"/>
      <c r="M13" s="906">
        <f>J13*Assumptions!$C$8/1000000</f>
        <v>0</v>
      </c>
      <c r="N13" s="906">
        <f>K13*Assumptions!$C$8/1000000</f>
        <v>0</v>
      </c>
      <c r="O13" s="908">
        <f>L13*Assumptions!$C$8/1000000</f>
        <v>0</v>
      </c>
      <c r="P13" s="939">
        <f t="shared" ref="P13:P14" si="1">M13-N13</f>
        <v>0</v>
      </c>
      <c r="Q13" s="910"/>
      <c r="R13" s="909"/>
      <c r="S13" s="910"/>
      <c r="T13" s="911"/>
    </row>
    <row r="14" spans="1:20" s="1" customFormat="1" x14ac:dyDescent="0.6">
      <c r="A14" s="2">
        <f t="shared" si="0"/>
        <v>11</v>
      </c>
      <c r="B14" s="85" t="s">
        <v>154</v>
      </c>
      <c r="C14" s="185"/>
      <c r="D14" s="186"/>
      <c r="E14" s="186"/>
      <c r="F14" s="187"/>
      <c r="G14" s="892"/>
      <c r="H14" s="895"/>
      <c r="I14" s="917"/>
      <c r="J14" s="116">
        <f>I14/100*1000000/Assumptions!$C$58</f>
        <v>0</v>
      </c>
      <c r="K14" s="54"/>
      <c r="L14" s="901"/>
      <c r="M14" s="906">
        <f>J14*Assumptions!$C$8/1000000</f>
        <v>0</v>
      </c>
      <c r="N14" s="906">
        <f>K14*Assumptions!$C$8/1000000</f>
        <v>0</v>
      </c>
      <c r="O14" s="908">
        <f>L14*Assumptions!$C$8/1000000</f>
        <v>0</v>
      </c>
      <c r="P14" s="939">
        <f t="shared" si="1"/>
        <v>0</v>
      </c>
      <c r="Q14" s="910"/>
      <c r="R14" s="909"/>
      <c r="S14" s="910"/>
      <c r="T14" s="911"/>
    </row>
    <row r="15" spans="1:20" s="1" customFormat="1" x14ac:dyDescent="0.6">
      <c r="A15" s="2">
        <f t="shared" si="0"/>
        <v>12</v>
      </c>
      <c r="B15" s="85" t="s">
        <v>141</v>
      </c>
      <c r="C15" s="186"/>
      <c r="D15" s="186"/>
      <c r="E15" s="186"/>
      <c r="F15" s="187"/>
      <c r="G15" s="892"/>
      <c r="H15" s="897"/>
      <c r="I15" s="917"/>
      <c r="J15" s="116"/>
      <c r="K15" s="54"/>
      <c r="L15" s="901"/>
      <c r="M15" s="906"/>
      <c r="N15" s="904"/>
      <c r="O15" s="907"/>
      <c r="P15" s="939"/>
      <c r="Q15" s="910"/>
      <c r="R15" s="909"/>
      <c r="S15" s="910"/>
      <c r="T15" s="911"/>
    </row>
    <row r="16" spans="1:20" s="1" customFormat="1" x14ac:dyDescent="0.6">
      <c r="A16" s="2">
        <f t="shared" si="0"/>
        <v>13</v>
      </c>
      <c r="B16" s="85" t="s">
        <v>152</v>
      </c>
      <c r="C16" s="189"/>
      <c r="D16" s="189"/>
      <c r="E16" s="189"/>
      <c r="F16" s="190"/>
      <c r="G16" s="892"/>
      <c r="H16" s="897"/>
      <c r="I16" s="917"/>
      <c r="J16" s="116"/>
      <c r="K16" s="54"/>
      <c r="L16" s="901"/>
      <c r="M16" s="906"/>
      <c r="N16" s="904"/>
      <c r="O16" s="907"/>
      <c r="P16" s="939"/>
      <c r="Q16" s="910"/>
      <c r="R16" s="909"/>
      <c r="S16" s="910"/>
      <c r="T16" s="911"/>
    </row>
    <row r="17" spans="1:20" s="192" customFormat="1" x14ac:dyDescent="0.6">
      <c r="A17" s="236">
        <f t="shared" si="0"/>
        <v>14</v>
      </c>
      <c r="B17" s="192" t="s">
        <v>157</v>
      </c>
      <c r="C17" s="153"/>
      <c r="D17" s="177"/>
      <c r="E17" s="153">
        <f>'State gasoline'!K17</f>
        <v>8.1900000000000001E-2</v>
      </c>
      <c r="F17" s="923" t="s">
        <v>199</v>
      </c>
      <c r="G17" s="894">
        <v>44329683</v>
      </c>
      <c r="H17" s="895">
        <f>G17*Assumptions!$C$59/Assumptions!$C$8</f>
        <v>1210023027.168</v>
      </c>
      <c r="I17" s="917">
        <v>6.85</v>
      </c>
      <c r="J17" s="116">
        <f>I17/100*1000000/Assumptions!$C$58</f>
        <v>20.076201641266117</v>
      </c>
      <c r="K17" s="116">
        <f>IF(F17="no",J17/(1+C17)/(1+E17)-D17,J17/(1+C17)/(1+C17)-D17)</f>
        <v>18.556430022429165</v>
      </c>
      <c r="L17" s="902">
        <f>K17</f>
        <v>18.556430022429165</v>
      </c>
      <c r="M17" s="906">
        <f>J17*Assumptions!$C$8/1000000</f>
        <v>2.5095252051582642</v>
      </c>
      <c r="N17" s="906">
        <f>K17*Assumptions!$C$8/1000000</f>
        <v>2.3195537528036456</v>
      </c>
      <c r="O17" s="908">
        <f>L17*Assumptions!$C$8/1000000</f>
        <v>2.3195537528036456</v>
      </c>
      <c r="P17" s="939">
        <f>M17-N17</f>
        <v>0.18997145235461854</v>
      </c>
      <c r="Q17" s="912">
        <f>J17*G17</f>
        <v>889971654.60140669</v>
      </c>
      <c r="R17" s="912">
        <f>K17*G17</f>
        <v>822600660.50596774</v>
      </c>
      <c r="S17" s="912">
        <f>R17</f>
        <v>822600660.50596774</v>
      </c>
      <c r="T17" s="911">
        <f>Q17-S17</f>
        <v>67370994.095438957</v>
      </c>
    </row>
    <row r="18" spans="1:20" s="192" customFormat="1" x14ac:dyDescent="0.6">
      <c r="A18" s="236">
        <f t="shared" si="0"/>
        <v>15</v>
      </c>
      <c r="B18" s="192" t="s">
        <v>160</v>
      </c>
      <c r="C18" s="232"/>
      <c r="D18" s="242"/>
      <c r="E18" s="232">
        <f>'State gasoline'!K18</f>
        <v>7.0000000000000007E-2</v>
      </c>
      <c r="F18" s="924" t="s">
        <v>199</v>
      </c>
      <c r="G18" s="894">
        <v>49088427</v>
      </c>
      <c r="H18" s="895">
        <f>G18*Assumptions!$C$59/Assumptions!$C$8</f>
        <v>1339917703.392</v>
      </c>
      <c r="I18" s="917">
        <v>6.97</v>
      </c>
      <c r="J18" s="116">
        <f>I18/100*1000000/Assumptions!$C$58</f>
        <v>20.427901524032826</v>
      </c>
      <c r="K18" s="116">
        <f>IF(F18="no",J18/(1+C18)/(1+E18)-D18,J18/(1+C18)/(1+C18)-D18)</f>
        <v>19.091496751432548</v>
      </c>
      <c r="L18" s="902">
        <f>K18</f>
        <v>19.091496751432548</v>
      </c>
      <c r="M18" s="906">
        <f>J18*Assumptions!$C$8/1000000</f>
        <v>2.5534876905041033</v>
      </c>
      <c r="N18" s="906">
        <f>K18*Assumptions!$C$8/1000000</f>
        <v>2.3864370939290684</v>
      </c>
      <c r="O18" s="908">
        <f>L18*Assumptions!$C$8/1000000</f>
        <v>2.3864370939290684</v>
      </c>
      <c r="P18" s="939">
        <f>M18-N18</f>
        <v>0.16705059657503485</v>
      </c>
      <c r="Q18" s="912">
        <f>J18*G18</f>
        <v>1002773552.7256742</v>
      </c>
      <c r="R18" s="912">
        <f>K18*G18</f>
        <v>937171544.60343373</v>
      </c>
      <c r="S18" s="912">
        <f>R18</f>
        <v>937171544.60343373</v>
      </c>
      <c r="T18" s="911">
        <f>Q18-S18</f>
        <v>65602008.122240424</v>
      </c>
    </row>
    <row r="19" spans="1:20" s="1" customFormat="1" x14ac:dyDescent="0.6">
      <c r="A19" s="2">
        <f t="shared" si="0"/>
        <v>16</v>
      </c>
      <c r="B19" s="85" t="s">
        <v>151</v>
      </c>
      <c r="C19" s="185"/>
      <c r="D19" s="186"/>
      <c r="E19" s="186"/>
      <c r="F19" s="187"/>
      <c r="G19" s="892"/>
      <c r="H19" s="897"/>
      <c r="I19" s="917"/>
      <c r="J19" s="116"/>
      <c r="K19" s="54"/>
      <c r="L19" s="901"/>
      <c r="M19" s="906"/>
      <c r="N19" s="904"/>
      <c r="O19" s="907"/>
      <c r="P19" s="939"/>
      <c r="Q19" s="910"/>
      <c r="R19" s="909"/>
      <c r="S19" s="910"/>
      <c r="T19" s="911"/>
    </row>
    <row r="20" spans="1:20" s="1" customFormat="1" x14ac:dyDescent="0.6">
      <c r="A20" s="2">
        <f t="shared" si="0"/>
        <v>17</v>
      </c>
      <c r="B20" s="85" t="s">
        <v>168</v>
      </c>
      <c r="C20" s="189"/>
      <c r="D20" s="189"/>
      <c r="E20" s="189"/>
      <c r="F20" s="190"/>
      <c r="G20" s="892"/>
      <c r="H20" s="897"/>
      <c r="I20" s="917"/>
      <c r="J20" s="116"/>
      <c r="K20" s="54"/>
      <c r="L20" s="901"/>
      <c r="M20" s="906"/>
      <c r="N20" s="904"/>
      <c r="O20" s="907"/>
      <c r="P20" s="939"/>
      <c r="Q20" s="910"/>
      <c r="R20" s="909"/>
      <c r="S20" s="910"/>
      <c r="T20" s="911"/>
    </row>
    <row r="21" spans="1:20" s="192" customFormat="1" x14ac:dyDescent="0.6">
      <c r="A21" s="236">
        <f t="shared" si="0"/>
        <v>18</v>
      </c>
      <c r="B21" s="192" t="s">
        <v>167</v>
      </c>
      <c r="C21" s="153">
        <v>0.03</v>
      </c>
      <c r="D21" s="177"/>
      <c r="E21" s="153">
        <f>'State gasoline'!K21</f>
        <v>0.06</v>
      </c>
      <c r="F21" s="923" t="s">
        <v>200</v>
      </c>
      <c r="G21" s="894">
        <v>32282616</v>
      </c>
      <c r="H21" s="895">
        <f>G21*Assumptions!$C$59/Assumptions!$C$8</f>
        <v>881186286.33599997</v>
      </c>
      <c r="I21" s="917">
        <v>5.68</v>
      </c>
      <c r="J21" s="116">
        <f>I21/100*1000000/Assumptions!$C$58</f>
        <v>16.647127784290735</v>
      </c>
      <c r="K21" s="116">
        <f>IF(F21="no",J21/(1+C21)/(1+E21)-D21,J21/(1+C21)/(1+C21)-D21)</f>
        <v>15.691514548299306</v>
      </c>
      <c r="L21" s="902">
        <f t="shared" ref="L21:L22" si="2">K21</f>
        <v>15.691514548299306</v>
      </c>
      <c r="M21" s="906">
        <f>J21*Assumptions!$C$8/1000000</f>
        <v>2.0808909730363419</v>
      </c>
      <c r="N21" s="906">
        <f>K21*Assumptions!$C$8/1000000</f>
        <v>1.9614393185374133</v>
      </c>
      <c r="O21" s="908">
        <f>L21*Assumptions!$C$8/1000000</f>
        <v>1.9614393185374133</v>
      </c>
      <c r="P21" s="939">
        <f t="shared" ref="P21:P22" si="3">M21-N21</f>
        <v>0.11945165449892858</v>
      </c>
      <c r="Q21" s="912">
        <f>J21*G21</f>
        <v>537412833.7631886</v>
      </c>
      <c r="R21" s="912">
        <f>K21*G21</f>
        <v>506563138.62115997</v>
      </c>
      <c r="S21" s="912">
        <f t="shared" ref="S21:S22" si="4">R21</f>
        <v>506563138.62115997</v>
      </c>
      <c r="T21" s="911">
        <f t="shared" ref="T21:T22" si="5">Q21-S21</f>
        <v>30849695.14202863</v>
      </c>
    </row>
    <row r="22" spans="1:20" s="192" customFormat="1" x14ac:dyDescent="0.6">
      <c r="A22" s="236">
        <f t="shared" si="0"/>
        <v>19</v>
      </c>
      <c r="B22" s="192" t="s">
        <v>179</v>
      </c>
      <c r="C22" s="232"/>
      <c r="D22" s="242"/>
      <c r="E22" s="232">
        <f>'State gasoline'!K22</f>
        <v>8.9099999999999999E-2</v>
      </c>
      <c r="F22" s="924" t="s">
        <v>200</v>
      </c>
      <c r="G22" s="894">
        <v>34723345</v>
      </c>
      <c r="H22" s="895">
        <f>G22*Assumptions!$C$59/Assumptions!$C$8</f>
        <v>947808425.12</v>
      </c>
      <c r="I22" s="917">
        <v>6.05</v>
      </c>
      <c r="J22" s="116">
        <f>I22/100*1000000/Assumptions!$C$58</f>
        <v>17.731535756154749</v>
      </c>
      <c r="K22" s="116">
        <f>IF(F22="no",J22/(1+C22)/(1+E22)-D22,J22/(1+C22)/(1+C22)-D22)</f>
        <v>17.731535756154749</v>
      </c>
      <c r="L22" s="902">
        <f t="shared" si="2"/>
        <v>17.731535756154749</v>
      </c>
      <c r="M22" s="906">
        <f>J22*Assumptions!$C$8/1000000</f>
        <v>2.2164419695193436</v>
      </c>
      <c r="N22" s="906">
        <f>K22*Assumptions!$C$8/1000000</f>
        <v>2.2164419695193436</v>
      </c>
      <c r="O22" s="908">
        <f>L22*Assumptions!$C$8/1000000</f>
        <v>2.2164419695193436</v>
      </c>
      <c r="P22" s="939">
        <f t="shared" si="3"/>
        <v>0</v>
      </c>
      <c r="Q22" s="912">
        <f>J22*G22</f>
        <v>615698233.44079721</v>
      </c>
      <c r="R22" s="912">
        <f>K22*G22</f>
        <v>615698233.44079721</v>
      </c>
      <c r="S22" s="912">
        <f t="shared" si="4"/>
        <v>615698233.44079721</v>
      </c>
      <c r="T22" s="911">
        <f t="shared" si="5"/>
        <v>0</v>
      </c>
    </row>
    <row r="23" spans="1:20" s="1" customFormat="1" x14ac:dyDescent="0.6">
      <c r="A23" s="2">
        <f t="shared" si="0"/>
        <v>20</v>
      </c>
      <c r="B23" s="85" t="s">
        <v>158</v>
      </c>
      <c r="C23" s="185"/>
      <c r="D23" s="186"/>
      <c r="E23" s="186"/>
      <c r="F23" s="187"/>
      <c r="G23" s="892"/>
      <c r="H23" s="897"/>
      <c r="I23" s="917"/>
      <c r="J23" s="116"/>
      <c r="K23" s="54"/>
      <c r="L23" s="901"/>
      <c r="M23" s="906"/>
      <c r="N23" s="904"/>
      <c r="O23" s="907"/>
      <c r="P23" s="939"/>
      <c r="Q23" s="910"/>
      <c r="R23" s="909"/>
      <c r="S23" s="910"/>
      <c r="T23" s="911"/>
    </row>
    <row r="24" spans="1:20" s="85" customFormat="1" x14ac:dyDescent="0.6">
      <c r="A24" s="60">
        <f t="shared" si="0"/>
        <v>21</v>
      </c>
      <c r="B24" s="85" t="s">
        <v>150</v>
      </c>
      <c r="C24" s="935"/>
      <c r="D24" s="936"/>
      <c r="E24" s="936"/>
      <c r="F24" s="937"/>
      <c r="G24" s="892"/>
      <c r="H24" s="897"/>
      <c r="I24" s="917"/>
      <c r="J24" s="116"/>
      <c r="K24" s="156"/>
      <c r="L24" s="930"/>
      <c r="M24" s="906"/>
      <c r="N24" s="904"/>
      <c r="O24" s="907"/>
      <c r="P24" s="939"/>
      <c r="Q24" s="909"/>
      <c r="R24" s="909"/>
      <c r="S24" s="909"/>
      <c r="T24" s="911"/>
    </row>
    <row r="25" spans="1:20" s="85" customFormat="1" x14ac:dyDescent="0.6">
      <c r="A25" s="60">
        <f t="shared" si="0"/>
        <v>22</v>
      </c>
      <c r="B25" s="85" t="s">
        <v>166</v>
      </c>
      <c r="C25" s="936"/>
      <c r="D25" s="936"/>
      <c r="E25" s="936"/>
      <c r="F25" s="937"/>
      <c r="G25" s="892"/>
      <c r="H25" s="897"/>
      <c r="I25" s="917"/>
      <c r="J25" s="116"/>
      <c r="K25" s="156"/>
      <c r="L25" s="930"/>
      <c r="M25" s="906"/>
      <c r="N25" s="904"/>
      <c r="O25" s="907"/>
      <c r="P25" s="939"/>
      <c r="Q25" s="909"/>
      <c r="R25" s="909"/>
      <c r="S25" s="909"/>
      <c r="T25" s="911"/>
    </row>
    <row r="26" spans="1:20" s="192" customFormat="1" x14ac:dyDescent="0.6">
      <c r="A26" s="236">
        <f t="shared" si="0"/>
        <v>23</v>
      </c>
      <c r="B26" s="192" t="s">
        <v>155</v>
      </c>
      <c r="C26" s="233"/>
      <c r="D26" s="255"/>
      <c r="E26" s="233"/>
      <c r="F26" s="925" t="s">
        <v>200</v>
      </c>
      <c r="G26" s="894">
        <v>32445935</v>
      </c>
      <c r="H26" s="895">
        <f>G26*Assumptions!$C$59/Assumptions!$C$8</f>
        <v>885644241.75999999</v>
      </c>
      <c r="I26" s="917">
        <v>7.68</v>
      </c>
      <c r="J26" s="116">
        <f>I26/100*1000000/Assumptions!$C$58</f>
        <v>22.508792497069166</v>
      </c>
      <c r="K26" s="116">
        <f>IF(F26="no",J26/(1+C26)/(1+E26)-D26,J26/(1+C26)/(1+C26)-D26)</f>
        <v>22.508792497069166</v>
      </c>
      <c r="L26" s="902">
        <f>K26</f>
        <v>22.508792497069166</v>
      </c>
      <c r="M26" s="906">
        <f>J26*Assumptions!$C$8/1000000</f>
        <v>2.8135990621336457</v>
      </c>
      <c r="N26" s="906">
        <f>K26*Assumptions!$C$8/1000000</f>
        <v>2.8135990621336457</v>
      </c>
      <c r="O26" s="908">
        <f>L26*Assumptions!$C$8/1000000</f>
        <v>2.8135990621336457</v>
      </c>
      <c r="P26" s="939">
        <f>M26-N26</f>
        <v>0</v>
      </c>
      <c r="Q26" s="912">
        <f>J26*G26</f>
        <v>730318818.28839386</v>
      </c>
      <c r="R26" s="912">
        <f>K26*G26</f>
        <v>730318818.28839386</v>
      </c>
      <c r="S26" s="912">
        <f>R26</f>
        <v>730318818.28839386</v>
      </c>
      <c r="T26" s="911">
        <f>Q26-S26</f>
        <v>0</v>
      </c>
    </row>
    <row r="27" spans="1:20" s="85" customFormat="1" x14ac:dyDescent="0.6">
      <c r="A27" s="60">
        <f t="shared" si="0"/>
        <v>24</v>
      </c>
      <c r="B27" s="85" t="s">
        <v>162</v>
      </c>
      <c r="C27" s="935"/>
      <c r="D27" s="936"/>
      <c r="E27" s="936"/>
      <c r="F27" s="937"/>
      <c r="G27" s="892"/>
      <c r="H27" s="897"/>
      <c r="I27" s="917"/>
      <c r="J27" s="116"/>
      <c r="K27" s="156"/>
      <c r="L27" s="930"/>
      <c r="M27" s="906"/>
      <c r="N27" s="904"/>
      <c r="O27" s="907"/>
      <c r="P27" s="939"/>
      <c r="Q27" s="909"/>
      <c r="R27" s="909"/>
      <c r="S27" s="909"/>
      <c r="T27" s="911"/>
    </row>
    <row r="28" spans="1:20" s="85" customFormat="1" x14ac:dyDescent="0.6">
      <c r="A28" s="60">
        <f t="shared" si="0"/>
        <v>25</v>
      </c>
      <c r="B28" s="85" t="s">
        <v>183</v>
      </c>
      <c r="C28" s="935"/>
      <c r="D28" s="936"/>
      <c r="E28" s="936"/>
      <c r="F28" s="937"/>
      <c r="G28" s="892"/>
      <c r="H28" s="897"/>
      <c r="I28" s="917"/>
      <c r="J28" s="116"/>
      <c r="K28" s="156"/>
      <c r="L28" s="930"/>
      <c r="M28" s="906"/>
      <c r="N28" s="904"/>
      <c r="O28" s="907"/>
      <c r="P28" s="939"/>
      <c r="Q28" s="909"/>
      <c r="R28" s="909"/>
      <c r="S28" s="909"/>
      <c r="T28" s="911"/>
    </row>
    <row r="29" spans="1:20" s="85" customFormat="1" x14ac:dyDescent="0.6">
      <c r="A29" s="60">
        <f t="shared" si="0"/>
        <v>26</v>
      </c>
      <c r="B29" s="85" t="s">
        <v>184</v>
      </c>
      <c r="C29" s="935"/>
      <c r="D29" s="936"/>
      <c r="E29" s="936"/>
      <c r="F29" s="937"/>
      <c r="G29" s="892"/>
      <c r="H29" s="897"/>
      <c r="I29" s="917"/>
      <c r="J29" s="116"/>
      <c r="K29" s="156"/>
      <c r="L29" s="930"/>
      <c r="M29" s="906"/>
      <c r="N29" s="904"/>
      <c r="O29" s="907"/>
      <c r="P29" s="939"/>
      <c r="Q29" s="909"/>
      <c r="R29" s="909"/>
      <c r="S29" s="909"/>
      <c r="T29" s="911"/>
    </row>
    <row r="30" spans="1:20" s="1" customFormat="1" x14ac:dyDescent="0.6">
      <c r="A30" s="2">
        <f t="shared" si="0"/>
        <v>27</v>
      </c>
      <c r="B30" s="85" t="s">
        <v>164</v>
      </c>
      <c r="C30" s="185"/>
      <c r="D30" s="186"/>
      <c r="E30" s="186"/>
      <c r="F30" s="187"/>
      <c r="G30" s="892"/>
      <c r="H30" s="897"/>
      <c r="I30" s="917"/>
      <c r="J30" s="116"/>
      <c r="K30" s="54"/>
      <c r="L30" s="901"/>
      <c r="M30" s="906"/>
      <c r="N30" s="904"/>
      <c r="O30" s="907"/>
      <c r="P30" s="939"/>
      <c r="Q30" s="910"/>
      <c r="R30" s="909"/>
      <c r="S30" s="910"/>
      <c r="T30" s="911"/>
    </row>
    <row r="31" spans="1:20" s="1" customFormat="1" x14ac:dyDescent="0.6">
      <c r="A31" s="2">
        <f t="shared" si="0"/>
        <v>28</v>
      </c>
      <c r="B31" s="85" t="s">
        <v>165</v>
      </c>
      <c r="C31" s="185"/>
      <c r="D31" s="186"/>
      <c r="E31" s="186"/>
      <c r="F31" s="187"/>
      <c r="G31" s="892"/>
      <c r="H31" s="897"/>
      <c r="I31" s="917"/>
      <c r="J31" s="116"/>
      <c r="K31" s="54"/>
      <c r="L31" s="901"/>
      <c r="M31" s="906"/>
      <c r="N31" s="904"/>
      <c r="O31" s="907"/>
      <c r="P31" s="939"/>
      <c r="Q31" s="910"/>
      <c r="R31" s="909"/>
      <c r="S31" s="910"/>
      <c r="T31" s="911"/>
    </row>
    <row r="32" spans="1:20" s="1" customFormat="1" x14ac:dyDescent="0.6">
      <c r="A32" s="2">
        <f t="shared" si="0"/>
        <v>29</v>
      </c>
      <c r="B32" s="85" t="s">
        <v>147</v>
      </c>
      <c r="C32" s="185"/>
      <c r="D32" s="186"/>
      <c r="E32" s="186"/>
      <c r="F32" s="187"/>
      <c r="G32" s="892"/>
      <c r="H32" s="897"/>
      <c r="I32" s="917"/>
      <c r="J32" s="116"/>
      <c r="K32" s="54"/>
      <c r="L32" s="901"/>
      <c r="M32" s="906"/>
      <c r="N32" s="904"/>
      <c r="O32" s="907"/>
      <c r="P32" s="939"/>
      <c r="Q32" s="910"/>
      <c r="R32" s="909"/>
      <c r="S32" s="910"/>
      <c r="T32" s="911"/>
    </row>
    <row r="33" spans="1:20" s="1" customFormat="1" x14ac:dyDescent="0.6">
      <c r="A33" s="2">
        <f t="shared" si="0"/>
        <v>30</v>
      </c>
      <c r="B33" s="85" t="s">
        <v>170</v>
      </c>
      <c r="C33" s="185"/>
      <c r="D33" s="186"/>
      <c r="E33" s="186"/>
      <c r="F33" s="187"/>
      <c r="G33" s="892"/>
      <c r="H33" s="897"/>
      <c r="I33" s="917"/>
      <c r="J33" s="116"/>
      <c r="K33" s="54"/>
      <c r="L33" s="901"/>
      <c r="M33" s="906"/>
      <c r="N33" s="904"/>
      <c r="O33" s="907"/>
      <c r="P33" s="939"/>
      <c r="Q33" s="910"/>
      <c r="R33" s="909"/>
      <c r="S33" s="910"/>
      <c r="T33" s="911"/>
    </row>
    <row r="34" spans="1:20" s="1" customFormat="1" x14ac:dyDescent="0.6">
      <c r="A34" s="2">
        <f t="shared" si="0"/>
        <v>31</v>
      </c>
      <c r="B34" s="85" t="s">
        <v>187</v>
      </c>
      <c r="C34" s="185"/>
      <c r="D34" s="186"/>
      <c r="E34" s="186"/>
      <c r="F34" s="187"/>
      <c r="G34" s="896"/>
      <c r="H34" s="897"/>
      <c r="I34" s="917"/>
      <c r="J34" s="116"/>
      <c r="K34" s="54"/>
      <c r="L34" s="901"/>
      <c r="M34" s="906"/>
      <c r="N34" s="904"/>
      <c r="O34" s="907"/>
      <c r="P34" s="939"/>
      <c r="Q34" s="910"/>
      <c r="R34" s="909"/>
      <c r="S34" s="910"/>
      <c r="T34" s="911"/>
    </row>
    <row r="35" spans="1:20" s="1" customFormat="1" x14ac:dyDescent="0.6">
      <c r="A35" s="2">
        <f t="shared" si="0"/>
        <v>32</v>
      </c>
      <c r="B35" s="85" t="s">
        <v>182</v>
      </c>
      <c r="C35" s="185"/>
      <c r="D35" s="186"/>
      <c r="E35" s="186"/>
      <c r="F35" s="187"/>
      <c r="G35" s="892"/>
      <c r="H35" s="897"/>
      <c r="I35" s="917"/>
      <c r="J35" s="116"/>
      <c r="K35" s="54"/>
      <c r="L35" s="901"/>
      <c r="M35" s="906"/>
      <c r="N35" s="904"/>
      <c r="O35" s="907"/>
      <c r="P35" s="939"/>
      <c r="Q35" s="910"/>
      <c r="R35" s="909"/>
      <c r="S35" s="910"/>
      <c r="T35" s="911"/>
    </row>
    <row r="36" spans="1:20" s="1" customFormat="1" x14ac:dyDescent="0.6">
      <c r="A36" s="2">
        <f t="shared" si="0"/>
        <v>33</v>
      </c>
      <c r="B36" s="85" t="s">
        <v>140</v>
      </c>
      <c r="C36" s="185"/>
      <c r="D36" s="186"/>
      <c r="E36" s="186"/>
      <c r="F36" s="187"/>
      <c r="G36" s="892"/>
      <c r="H36" s="895"/>
      <c r="I36" s="917"/>
      <c r="J36" s="116"/>
      <c r="K36" s="54"/>
      <c r="L36" s="901"/>
      <c r="M36" s="906">
        <f>J36*Assumptions!$C$8/1000000</f>
        <v>0</v>
      </c>
      <c r="N36" s="906">
        <f>K36*Assumptions!$C$8/1000000</f>
        <v>0</v>
      </c>
      <c r="O36" s="908">
        <f>L36*Assumptions!$C$8/1000000</f>
        <v>0</v>
      </c>
      <c r="P36" s="939">
        <f t="shared" ref="P36:P37" si="6">M36-N36</f>
        <v>0</v>
      </c>
      <c r="Q36" s="910"/>
      <c r="R36" s="909"/>
      <c r="S36" s="910"/>
      <c r="T36" s="911"/>
    </row>
    <row r="37" spans="1:20" s="1" customFormat="1" x14ac:dyDescent="0.6">
      <c r="A37" s="2">
        <f t="shared" si="0"/>
        <v>34</v>
      </c>
      <c r="B37" s="85" t="s">
        <v>145</v>
      </c>
      <c r="C37" s="185"/>
      <c r="D37" s="186"/>
      <c r="E37" s="186"/>
      <c r="F37" s="187"/>
      <c r="G37" s="892"/>
      <c r="H37" s="895"/>
      <c r="I37" s="917"/>
      <c r="J37" s="116"/>
      <c r="K37" s="54"/>
      <c r="L37" s="901"/>
      <c r="M37" s="906">
        <f>J37*Assumptions!$C$8/1000000</f>
        <v>0</v>
      </c>
      <c r="N37" s="906">
        <f>K37*Assumptions!$C$8/1000000</f>
        <v>0</v>
      </c>
      <c r="O37" s="908">
        <f>L37*Assumptions!$C$8/1000000</f>
        <v>0</v>
      </c>
      <c r="P37" s="939">
        <f t="shared" si="6"/>
        <v>0</v>
      </c>
      <c r="Q37" s="910"/>
      <c r="R37" s="909"/>
      <c r="S37" s="910"/>
      <c r="T37" s="911"/>
    </row>
    <row r="38" spans="1:20" s="1" customFormat="1" x14ac:dyDescent="0.6">
      <c r="A38" s="2">
        <f t="shared" si="0"/>
        <v>35</v>
      </c>
      <c r="B38" s="85" t="s">
        <v>173</v>
      </c>
      <c r="C38" s="188"/>
      <c r="D38" s="189"/>
      <c r="E38" s="189"/>
      <c r="F38" s="190"/>
      <c r="G38" s="892"/>
      <c r="H38" s="897"/>
      <c r="I38" s="917"/>
      <c r="J38" s="116"/>
      <c r="K38" s="54"/>
      <c r="L38" s="901"/>
      <c r="M38" s="906"/>
      <c r="N38" s="904"/>
      <c r="O38" s="907"/>
      <c r="P38" s="939"/>
      <c r="Q38" s="910"/>
      <c r="R38" s="909"/>
      <c r="S38" s="910"/>
      <c r="T38" s="911"/>
    </row>
    <row r="39" spans="1:20" s="192" customFormat="1" x14ac:dyDescent="0.6">
      <c r="A39" s="236">
        <f t="shared" si="0"/>
        <v>36</v>
      </c>
      <c r="B39" s="192" t="s">
        <v>163</v>
      </c>
      <c r="C39" s="153">
        <v>2.5999999999999999E-3</v>
      </c>
      <c r="D39" s="235">
        <f>0.00363/Assumptions!C58*1000000</f>
        <v>1.0638921453692849</v>
      </c>
      <c r="E39" s="153">
        <f>'State gasoline'!K39</f>
        <v>7.0999999999999994E-2</v>
      </c>
      <c r="F39" s="923" t="s">
        <v>200</v>
      </c>
      <c r="G39" s="894">
        <v>50829251</v>
      </c>
      <c r="H39" s="895">
        <f>G39*Assumptions!$C$59/Assumptions!$C$8</f>
        <v>1387435235.296</v>
      </c>
      <c r="I39" s="917">
        <v>6.77</v>
      </c>
      <c r="J39" s="116">
        <f>I39/100*1000000/Assumptions!$C$58</f>
        <v>19.841735052754981</v>
      </c>
      <c r="K39" s="116">
        <f>IF(F39="no",J39/(1+C39)/(1+E39)-D39,J39/(1+C39)/(1+C39)-D39)</f>
        <v>18.6750668850644</v>
      </c>
      <c r="L39" s="902">
        <f>K39</f>
        <v>18.6750668850644</v>
      </c>
      <c r="M39" s="906">
        <f>J39*Assumptions!$C$8/1000000</f>
        <v>2.4802168815943726</v>
      </c>
      <c r="N39" s="906">
        <f>K39*Assumptions!$C$8/1000000</f>
        <v>2.33438336063305</v>
      </c>
      <c r="O39" s="908">
        <f>L39*Assumptions!$C$8/1000000</f>
        <v>2.33438336063305</v>
      </c>
      <c r="P39" s="939">
        <f>M39-N39</f>
        <v>0.14583352096132263</v>
      </c>
      <c r="Q39" s="912">
        <f>J39*G39</f>
        <v>1008540531.2719811</v>
      </c>
      <c r="R39" s="912">
        <f>K39*G39</f>
        <v>949239662.14272654</v>
      </c>
      <c r="S39" s="912">
        <f>R39</f>
        <v>949239662.14272654</v>
      </c>
      <c r="T39" s="911">
        <f>Q39-S39</f>
        <v>59300869.12925458</v>
      </c>
    </row>
    <row r="40" spans="1:20" s="1" customFormat="1" x14ac:dyDescent="0.6">
      <c r="A40" s="2">
        <f t="shared" si="0"/>
        <v>37</v>
      </c>
      <c r="B40" s="85" t="s">
        <v>185</v>
      </c>
      <c r="C40" s="182"/>
      <c r="D40" s="183"/>
      <c r="E40" s="183"/>
      <c r="F40" s="184"/>
      <c r="G40" s="892"/>
      <c r="H40" s="897"/>
      <c r="I40" s="917"/>
      <c r="J40" s="116"/>
      <c r="K40" s="54"/>
      <c r="L40" s="901"/>
      <c r="M40" s="906"/>
      <c r="N40" s="904"/>
      <c r="O40" s="907"/>
      <c r="P40" s="939"/>
      <c r="Q40" s="910"/>
      <c r="R40" s="909"/>
      <c r="S40" s="910"/>
      <c r="T40" s="911"/>
    </row>
    <row r="41" spans="1:20" s="1" customFormat="1" x14ac:dyDescent="0.6">
      <c r="A41" s="2">
        <f t="shared" si="0"/>
        <v>38</v>
      </c>
      <c r="B41" s="85" t="s">
        <v>153</v>
      </c>
      <c r="C41" s="188"/>
      <c r="D41" s="189"/>
      <c r="E41" s="189"/>
      <c r="F41" s="190"/>
      <c r="G41" s="892"/>
      <c r="H41" s="897"/>
      <c r="I41" s="917"/>
      <c r="J41" s="116"/>
      <c r="K41" s="54"/>
      <c r="L41" s="901"/>
      <c r="M41" s="906"/>
      <c r="N41" s="904"/>
      <c r="O41" s="907"/>
      <c r="P41" s="939"/>
      <c r="Q41" s="910"/>
      <c r="R41" s="909"/>
      <c r="S41" s="910"/>
      <c r="T41" s="911"/>
    </row>
    <row r="42" spans="1:20" s="192" customFormat="1" x14ac:dyDescent="0.6">
      <c r="A42" s="236">
        <f t="shared" si="0"/>
        <v>39</v>
      </c>
      <c r="B42" s="192" t="s">
        <v>138</v>
      </c>
      <c r="C42" s="153"/>
      <c r="D42" s="153"/>
      <c r="E42" s="153">
        <v>0.08</v>
      </c>
      <c r="F42" s="923" t="s">
        <v>199</v>
      </c>
      <c r="G42" s="894">
        <v>48317693</v>
      </c>
      <c r="H42" s="895">
        <f>G42*Assumptions!$C$59/Assumptions!$C$8</f>
        <v>1318879748.128</v>
      </c>
      <c r="I42" s="917">
        <v>7.41</v>
      </c>
      <c r="J42" s="116">
        <f>I42/100*1000000/Assumptions!$C$58</f>
        <v>21.71746776084408</v>
      </c>
      <c r="K42" s="116">
        <f>IF(F42="no",J42/(1+C42)/(1+E42)-D42,J42/(1+C42)/(1+C42)-D42)</f>
        <v>20.108766445225999</v>
      </c>
      <c r="L42" s="902">
        <f>K42</f>
        <v>20.108766445225999</v>
      </c>
      <c r="M42" s="906">
        <f>J42*Assumptions!$C$8/1000000</f>
        <v>2.71468347010551</v>
      </c>
      <c r="N42" s="906">
        <f>K42*Assumptions!$C$8/1000000</f>
        <v>2.5135958056532499</v>
      </c>
      <c r="O42" s="908">
        <f>L42*Assumptions!$C$8/1000000</f>
        <v>2.5135958056532499</v>
      </c>
      <c r="P42" s="939">
        <f>M42-N42</f>
        <v>0.20108766445226012</v>
      </c>
      <c r="Q42" s="912">
        <f>J42*G42</f>
        <v>1049337940.0058616</v>
      </c>
      <c r="R42" s="912">
        <f>K42*G42</f>
        <v>971609203.70913112</v>
      </c>
      <c r="S42" s="912">
        <f>R42</f>
        <v>971609203.70913112</v>
      </c>
      <c r="T42" s="911">
        <f>Q42-S42</f>
        <v>77728736.296730518</v>
      </c>
    </row>
    <row r="43" spans="1:20" s="1" customFormat="1" x14ac:dyDescent="0.6">
      <c r="A43" s="2">
        <f t="shared" si="0"/>
        <v>40</v>
      </c>
      <c r="B43" s="85" t="s">
        <v>146</v>
      </c>
      <c r="C43" s="182"/>
      <c r="D43" s="183"/>
      <c r="E43" s="183"/>
      <c r="F43" s="184"/>
      <c r="G43" s="892"/>
      <c r="H43" s="897"/>
      <c r="I43" s="917"/>
      <c r="J43" s="116"/>
      <c r="K43" s="54"/>
      <c r="L43" s="901"/>
      <c r="M43" s="906"/>
      <c r="N43" s="904"/>
      <c r="O43" s="907"/>
      <c r="P43" s="939"/>
      <c r="Q43" s="910"/>
      <c r="R43" s="909"/>
      <c r="S43" s="910"/>
      <c r="T43" s="911"/>
    </row>
    <row r="44" spans="1:20" s="1" customFormat="1" x14ac:dyDescent="0.6">
      <c r="A44" s="2">
        <f t="shared" si="0"/>
        <v>41</v>
      </c>
      <c r="B44" s="85" t="s">
        <v>186</v>
      </c>
      <c r="C44" s="185"/>
      <c r="D44" s="186"/>
      <c r="E44" s="186"/>
      <c r="F44" s="187"/>
      <c r="G44" s="892"/>
      <c r="H44" s="897"/>
      <c r="I44" s="917"/>
      <c r="J44" s="116"/>
      <c r="K44" s="54"/>
      <c r="L44" s="901"/>
      <c r="M44" s="906"/>
      <c r="N44" s="904"/>
      <c r="O44" s="907"/>
      <c r="P44" s="939"/>
      <c r="Q44" s="910"/>
      <c r="R44" s="909"/>
      <c r="S44" s="910"/>
      <c r="T44" s="911"/>
    </row>
    <row r="45" spans="1:20" s="1" customFormat="1" x14ac:dyDescent="0.6">
      <c r="A45" s="2">
        <f t="shared" si="0"/>
        <v>42</v>
      </c>
      <c r="B45" s="85" t="s">
        <v>159</v>
      </c>
      <c r="C45" s="185"/>
      <c r="D45" s="186"/>
      <c r="E45" s="186"/>
      <c r="F45" s="187"/>
      <c r="G45" s="892"/>
      <c r="H45" s="897"/>
      <c r="I45" s="917"/>
      <c r="J45" s="116"/>
      <c r="K45" s="54"/>
      <c r="L45" s="901"/>
      <c r="M45" s="906"/>
      <c r="N45" s="904"/>
      <c r="O45" s="907"/>
      <c r="P45" s="939"/>
      <c r="Q45" s="910"/>
      <c r="R45" s="909"/>
      <c r="S45" s="910"/>
      <c r="T45" s="911"/>
    </row>
    <row r="46" spans="1:20" s="1" customFormat="1" x14ac:dyDescent="0.6">
      <c r="A46" s="2">
        <f t="shared" si="0"/>
        <v>43</v>
      </c>
      <c r="B46" s="85" t="s">
        <v>177</v>
      </c>
      <c r="C46" s="188"/>
      <c r="D46" s="189"/>
      <c r="E46" s="189"/>
      <c r="F46" s="190"/>
      <c r="G46" s="892"/>
      <c r="H46" s="897"/>
      <c r="I46" s="917"/>
      <c r="J46" s="116"/>
      <c r="K46" s="54"/>
      <c r="L46" s="901"/>
      <c r="M46" s="906"/>
      <c r="N46" s="904"/>
      <c r="O46" s="907"/>
      <c r="P46" s="939"/>
      <c r="Q46" s="910"/>
      <c r="R46" s="909"/>
      <c r="S46" s="910"/>
      <c r="T46" s="911"/>
    </row>
    <row r="47" spans="1:20" s="192" customFormat="1" x14ac:dyDescent="0.6">
      <c r="A47" s="236">
        <f t="shared" si="0"/>
        <v>44</v>
      </c>
      <c r="B47" s="192" t="s">
        <v>180</v>
      </c>
      <c r="C47" s="153"/>
      <c r="D47" s="253">
        <f>1.997%+0.001667</f>
        <v>2.1637000000000003E-2</v>
      </c>
      <c r="E47" s="153">
        <f>'State gasoline'!K47</f>
        <v>8.0500000000000002E-2</v>
      </c>
      <c r="F47" s="923" t="s">
        <v>199</v>
      </c>
      <c r="G47" s="894">
        <v>109165495</v>
      </c>
      <c r="H47" s="895">
        <f>G47*Assumptions!$C$59/Assumptions!$C$8</f>
        <v>2979781351.52</v>
      </c>
      <c r="I47" s="917">
        <v>6.16</v>
      </c>
      <c r="J47" s="116">
        <f>I47/100*1000000/Assumptions!$C$58</f>
        <v>18.053927315357562</v>
      </c>
      <c r="K47" s="116">
        <f>IF(F47="no",J47/(1+C47)/(1+E47)-D47,J47/(1+C47)/(1+C47)-D47)</f>
        <v>16.687226780988027</v>
      </c>
      <c r="L47" s="902">
        <f>K47</f>
        <v>16.687226780988027</v>
      </c>
      <c r="M47" s="906">
        <f>J47*Assumptions!$C$8/1000000</f>
        <v>2.2567409144196953</v>
      </c>
      <c r="N47" s="906">
        <f>K47*Assumptions!$C$8/1000000</f>
        <v>2.0859033476235034</v>
      </c>
      <c r="O47" s="908">
        <f>L47*Assumptions!$C$8/1000000</f>
        <v>2.0859033476235034</v>
      </c>
      <c r="P47" s="939">
        <f>M47-N47</f>
        <v>0.17083756679619189</v>
      </c>
      <c r="Q47" s="912">
        <f>J47*G47</f>
        <v>1970865912.0750294</v>
      </c>
      <c r="R47" s="912">
        <f>K47*G47</f>
        <v>1821669371.7238145</v>
      </c>
      <c r="S47" s="912">
        <f>R47</f>
        <v>1821669371.7238145</v>
      </c>
      <c r="T47" s="911">
        <f>Q47-S47</f>
        <v>149196540.35121489</v>
      </c>
    </row>
    <row r="48" spans="1:20" s="1" customFormat="1" x14ac:dyDescent="0.6">
      <c r="A48" s="2">
        <f t="shared" si="0"/>
        <v>45</v>
      </c>
      <c r="B48" s="85" t="s">
        <v>161</v>
      </c>
      <c r="C48" s="182"/>
      <c r="D48" s="183"/>
      <c r="E48" s="183"/>
      <c r="F48" s="184"/>
      <c r="G48" s="892"/>
      <c r="H48" s="897"/>
      <c r="I48" s="917"/>
      <c r="J48" s="116"/>
      <c r="K48" s="54"/>
      <c r="L48" s="901"/>
      <c r="M48" s="906"/>
      <c r="N48" s="904"/>
      <c r="O48" s="907"/>
      <c r="P48" s="939"/>
      <c r="Q48" s="910"/>
      <c r="R48" s="909"/>
      <c r="S48" s="910"/>
      <c r="T48" s="911"/>
    </row>
    <row r="49" spans="1:21" s="1" customFormat="1" x14ac:dyDescent="0.6">
      <c r="A49" s="2">
        <f t="shared" si="0"/>
        <v>46</v>
      </c>
      <c r="B49" s="85" t="s">
        <v>156</v>
      </c>
      <c r="C49" s="185"/>
      <c r="D49" s="186"/>
      <c r="E49" s="186"/>
      <c r="F49" s="187"/>
      <c r="G49" s="892"/>
      <c r="H49" s="897"/>
      <c r="I49" s="917"/>
      <c r="J49" s="116"/>
      <c r="K49" s="54"/>
      <c r="L49" s="901"/>
      <c r="M49" s="906"/>
      <c r="N49" s="904"/>
      <c r="O49" s="907"/>
      <c r="P49" s="939"/>
      <c r="Q49" s="910"/>
      <c r="R49" s="909"/>
      <c r="S49" s="910"/>
      <c r="T49" s="911"/>
    </row>
    <row r="50" spans="1:21" s="1" customFormat="1" x14ac:dyDescent="0.6">
      <c r="A50" s="2">
        <f t="shared" si="0"/>
        <v>47</v>
      </c>
      <c r="B50" s="85" t="s">
        <v>174</v>
      </c>
      <c r="C50" s="185"/>
      <c r="D50" s="186"/>
      <c r="E50" s="186"/>
      <c r="F50" s="187"/>
      <c r="G50" s="896"/>
      <c r="H50" s="895"/>
      <c r="I50" s="917"/>
      <c r="J50" s="116"/>
      <c r="K50" s="54"/>
      <c r="L50" s="901"/>
      <c r="M50" s="906">
        <f>J50*Assumptions!$C$8/1000000</f>
        <v>0</v>
      </c>
      <c r="N50" s="906">
        <f>K50*Assumptions!$C$8/1000000</f>
        <v>0</v>
      </c>
      <c r="O50" s="908">
        <f>L50*Assumptions!$C$8/1000000</f>
        <v>0</v>
      </c>
      <c r="P50" s="939">
        <f>M50-N50</f>
        <v>0</v>
      </c>
      <c r="Q50" s="910"/>
      <c r="R50" s="909"/>
      <c r="S50" s="910"/>
      <c r="T50" s="911"/>
    </row>
    <row r="51" spans="1:21" s="1" customFormat="1" x14ac:dyDescent="0.6">
      <c r="A51" s="2">
        <f t="shared" si="0"/>
        <v>48</v>
      </c>
      <c r="B51" s="85" t="s">
        <v>139</v>
      </c>
      <c r="C51" s="185"/>
      <c r="D51" s="186"/>
      <c r="E51" s="186"/>
      <c r="F51" s="187"/>
      <c r="G51" s="892"/>
      <c r="H51" s="897"/>
      <c r="I51" s="917"/>
      <c r="J51" s="116"/>
      <c r="K51" s="54"/>
      <c r="L51" s="901"/>
      <c r="M51" s="906"/>
      <c r="N51" s="904"/>
      <c r="O51" s="907"/>
      <c r="P51" s="939"/>
      <c r="Q51" s="910"/>
      <c r="R51" s="909"/>
      <c r="S51" s="910"/>
      <c r="T51" s="911"/>
    </row>
    <row r="52" spans="1:21" s="1" customFormat="1" x14ac:dyDescent="0.6">
      <c r="A52" s="2">
        <f t="shared" si="0"/>
        <v>49</v>
      </c>
      <c r="B52" s="85" t="s">
        <v>148</v>
      </c>
      <c r="C52" s="185"/>
      <c r="D52" s="186"/>
      <c r="E52" s="186"/>
      <c r="F52" s="187"/>
      <c r="G52" s="892"/>
      <c r="H52" s="897"/>
      <c r="I52" s="917"/>
      <c r="J52" s="116"/>
      <c r="K52" s="54"/>
      <c r="L52" s="901"/>
      <c r="M52" s="906"/>
      <c r="N52" s="904"/>
      <c r="O52" s="907"/>
      <c r="P52" s="939"/>
      <c r="Q52" s="910"/>
      <c r="R52" s="909"/>
      <c r="S52" s="910"/>
      <c r="T52" s="911"/>
    </row>
    <row r="53" spans="1:21" s="1" customFormat="1" x14ac:dyDescent="0.6">
      <c r="A53" s="2">
        <f t="shared" si="0"/>
        <v>50</v>
      </c>
      <c r="B53" s="85" t="s">
        <v>149</v>
      </c>
      <c r="C53" s="185"/>
      <c r="D53" s="186"/>
      <c r="E53" s="186"/>
      <c r="F53" s="187"/>
      <c r="G53" s="896"/>
      <c r="H53" s="897"/>
      <c r="I53" s="917"/>
      <c r="J53" s="116"/>
      <c r="K53" s="54"/>
      <c r="L53" s="901"/>
      <c r="M53" s="906"/>
      <c r="N53" s="904"/>
      <c r="O53" s="907"/>
      <c r="P53" s="939"/>
      <c r="Q53" s="910"/>
      <c r="R53" s="909"/>
      <c r="S53" s="910"/>
      <c r="T53" s="911"/>
    </row>
    <row r="54" spans="1:21" s="1" customFormat="1" x14ac:dyDescent="0.6">
      <c r="A54" s="2">
        <f t="shared" si="0"/>
        <v>51</v>
      </c>
      <c r="B54" s="85" t="s">
        <v>169</v>
      </c>
      <c r="C54" s="188"/>
      <c r="D54" s="189"/>
      <c r="E54" s="189"/>
      <c r="F54" s="190"/>
      <c r="G54" s="892"/>
      <c r="H54" s="897"/>
      <c r="I54" s="917"/>
      <c r="J54" s="116"/>
      <c r="K54" s="54"/>
      <c r="L54" s="901"/>
      <c r="M54" s="906"/>
      <c r="N54" s="904"/>
      <c r="O54" s="907"/>
      <c r="P54" s="939"/>
      <c r="Q54" s="910"/>
      <c r="R54" s="909"/>
      <c r="S54" s="910"/>
      <c r="T54" s="911"/>
    </row>
    <row r="55" spans="1:21" s="1" customFormat="1" x14ac:dyDescent="0.6">
      <c r="B55" s="85"/>
      <c r="C55" s="153"/>
      <c r="D55" s="153"/>
      <c r="E55" s="28"/>
      <c r="F55" s="926"/>
      <c r="G55" s="892"/>
      <c r="H55" s="897"/>
      <c r="I55" s="916"/>
      <c r="J55" s="156"/>
      <c r="K55" s="54"/>
      <c r="L55" s="901"/>
      <c r="M55" s="931"/>
      <c r="N55" s="931"/>
      <c r="O55" s="932"/>
      <c r="P55" s="940"/>
      <c r="Q55" s="910"/>
      <c r="R55" s="909"/>
      <c r="S55" s="910"/>
      <c r="T55" s="913"/>
    </row>
    <row r="56" spans="1:21" s="1" customFormat="1" x14ac:dyDescent="0.6">
      <c r="B56" s="85" t="s">
        <v>605</v>
      </c>
      <c r="C56" s="153"/>
      <c r="D56" s="153"/>
      <c r="E56" s="154"/>
      <c r="F56" s="927"/>
      <c r="G56" s="898">
        <f>SUM(G4:G55)</f>
        <v>488715695</v>
      </c>
      <c r="H56" s="897">
        <f>G56*Assumptions!$C$59/Assumptions!$C$8</f>
        <v>13339983610.719999</v>
      </c>
      <c r="I56" s="916"/>
      <c r="J56" s="156"/>
      <c r="K56" s="54"/>
      <c r="L56" s="901"/>
      <c r="M56" s="931"/>
      <c r="N56" s="931"/>
      <c r="O56" s="932"/>
      <c r="P56" s="940"/>
      <c r="Q56" s="910">
        <f>SUM(Q4:Q55)</f>
        <v>16462627168.172331</v>
      </c>
      <c r="R56" s="910">
        <f>SUM(R4:R55)</f>
        <v>15004658977.071909</v>
      </c>
      <c r="S56" s="910">
        <f>SUM(S4:S55)</f>
        <v>15004658977.071909</v>
      </c>
      <c r="T56" s="911">
        <f>SUM(T4:T55)</f>
        <v>1457968191.1004243</v>
      </c>
    </row>
    <row r="57" spans="1:21" s="1" customFormat="1" x14ac:dyDescent="0.6">
      <c r="B57" s="85" t="s">
        <v>42</v>
      </c>
      <c r="C57" s="153"/>
      <c r="D57" s="153"/>
      <c r="E57" s="154"/>
      <c r="F57" s="927"/>
      <c r="G57" s="896">
        <v>997576138</v>
      </c>
      <c r="H57" s="897">
        <f>G57*Assumptions!$C$59/Assumptions!$C$8</f>
        <v>27229838262.848</v>
      </c>
      <c r="I57" s="916"/>
      <c r="J57" s="156"/>
      <c r="K57" s="54"/>
      <c r="L57" s="901"/>
      <c r="M57" s="931"/>
      <c r="N57" s="931"/>
      <c r="O57" s="932"/>
      <c r="P57" s="940"/>
      <c r="Q57" s="910">
        <f>Q56/G58</f>
        <v>33603840023.511482</v>
      </c>
      <c r="R57" s="910">
        <f>R56/G58</f>
        <v>30627806529.426941</v>
      </c>
      <c r="S57" s="910">
        <f>S56/G58</f>
        <v>30627806529.426941</v>
      </c>
      <c r="T57" s="911">
        <f>Q57-S57</f>
        <v>2976033494.0845413</v>
      </c>
    </row>
    <row r="58" spans="1:21" ht="15.9" thickBot="1" x14ac:dyDescent="0.65">
      <c r="A58" s="158"/>
      <c r="B58" s="158"/>
      <c r="C58" s="176"/>
      <c r="D58" s="176"/>
      <c r="E58" s="159"/>
      <c r="F58" s="928"/>
      <c r="G58" s="899">
        <f>G56/G57</f>
        <v>0.48990315263535306</v>
      </c>
      <c r="H58" s="900">
        <f>H56/H57</f>
        <v>0.489903152635353</v>
      </c>
      <c r="I58" s="918"/>
      <c r="J58" s="237"/>
      <c r="K58" s="100"/>
      <c r="L58" s="903"/>
      <c r="M58" s="933"/>
      <c r="N58" s="933"/>
      <c r="O58" s="934"/>
      <c r="P58" s="941"/>
      <c r="Q58" s="905"/>
      <c r="R58" s="905"/>
      <c r="S58" s="905"/>
      <c r="T58" s="914"/>
      <c r="U58" s="16"/>
    </row>
    <row r="59" spans="1:21" ht="15.9" thickTop="1" x14ac:dyDescent="0.6">
      <c r="H59" s="21"/>
      <c r="I59" s="920"/>
      <c r="J59" s="54"/>
      <c r="M59" s="10"/>
      <c r="N59" s="10"/>
      <c r="Q59" s="54"/>
      <c r="R59" s="17"/>
      <c r="T59" s="156"/>
    </row>
    <row r="60" spans="1:21" x14ac:dyDescent="0.6">
      <c r="C60" s="231"/>
      <c r="D60" s="231"/>
      <c r="H60" s="21">
        <f>COUNT(H4:H54)</f>
        <v>10</v>
      </c>
      <c r="I60" s="920"/>
      <c r="J60" s="54"/>
      <c r="M60" s="10">
        <f>SUMPRODUCT(M4:M54,H4:H54)/SUM(H4:H54)</f>
        <v>2.6452875786400898</v>
      </c>
      <c r="N60" s="10">
        <f>SUMPRODUCT(N4:N54,H4:H54)/SUM(H4:H54)</f>
        <v>2.4546212273933987</v>
      </c>
      <c r="P60" s="922">
        <f>SUMPRODUCT(P4:P54,H4:H54)/SUM(H4:H54)</f>
        <v>0.19066635124669137</v>
      </c>
      <c r="R60" s="17"/>
      <c r="S60" s="240"/>
      <c r="T60" s="240" t="s">
        <v>504</v>
      </c>
    </row>
    <row r="61" spans="1:21" x14ac:dyDescent="0.6">
      <c r="C61" s="231"/>
      <c r="D61" s="231"/>
      <c r="H61" s="21"/>
      <c r="I61" s="920"/>
      <c r="J61" s="54"/>
      <c r="M61" s="10"/>
      <c r="N61" s="10"/>
      <c r="R61" s="17" t="s">
        <v>26</v>
      </c>
      <c r="S61" s="106">
        <f>Q57-R57</f>
        <v>2976033494.0845413</v>
      </c>
      <c r="T61" s="881">
        <f>S61/H57</f>
        <v>0.10929310212411356</v>
      </c>
    </row>
    <row r="62" spans="1:21" x14ac:dyDescent="0.6">
      <c r="A62" s="1"/>
      <c r="B62" s="1"/>
      <c r="C62" s="174"/>
      <c r="D62" s="178"/>
      <c r="G62" s="1657" t="s">
        <v>1746</v>
      </c>
      <c r="H62" s="21">
        <f>LARGE($H$4:$H$54,1)</f>
        <v>2979781351.52</v>
      </c>
      <c r="I62" s="920"/>
      <c r="J62" s="54"/>
      <c r="M62" s="10"/>
      <c r="O62" s="1" t="s">
        <v>1746</v>
      </c>
      <c r="P62" s="156">
        <f>LARGE($P$4:$P$54,1)</f>
        <v>0.63521862904849202</v>
      </c>
      <c r="R62" s="17" t="s">
        <v>654</v>
      </c>
      <c r="S62" s="106">
        <f>S57-R57</f>
        <v>0</v>
      </c>
      <c r="T62" s="881">
        <f>S62/H57</f>
        <v>0</v>
      </c>
    </row>
    <row r="63" spans="1:21" x14ac:dyDescent="0.6">
      <c r="A63" s="1"/>
      <c r="B63" s="1"/>
      <c r="C63" s="174"/>
      <c r="D63" s="178"/>
      <c r="E63" s="179"/>
      <c r="G63" s="1657" t="s">
        <v>1744</v>
      </c>
      <c r="H63" s="21">
        <f>LARGE($H$4:$H$54,2)</f>
        <v>1443915545.28</v>
      </c>
      <c r="I63" s="921"/>
      <c r="J63" s="54"/>
      <c r="M63" s="10"/>
      <c r="O63" s="1" t="s">
        <v>1744</v>
      </c>
      <c r="P63" s="156">
        <f>LARGE($P$4:$P$54,2)</f>
        <v>0.20108766445226012</v>
      </c>
      <c r="R63" s="17" t="s">
        <v>34</v>
      </c>
      <c r="S63" s="106">
        <f>S61-S62</f>
        <v>2976033494.0845413</v>
      </c>
      <c r="T63" s="105">
        <f>T61-T62</f>
        <v>0.10929310212411356</v>
      </c>
    </row>
    <row r="64" spans="1:21" x14ac:dyDescent="0.6">
      <c r="A64" s="1"/>
      <c r="B64" s="1"/>
      <c r="C64" s="174"/>
      <c r="D64" s="178"/>
      <c r="E64" s="179"/>
      <c r="G64" s="1657" t="s">
        <v>1745</v>
      </c>
      <c r="H64" s="21">
        <f>LARGE($H$4:$H$54,3)</f>
        <v>1387435235.296</v>
      </c>
      <c r="I64" s="921"/>
      <c r="J64" s="54"/>
      <c r="M64" s="10"/>
      <c r="O64" s="1" t="s">
        <v>1745</v>
      </c>
      <c r="P64" s="156">
        <f>LARGE($P$4:$P$54,3)</f>
        <v>0.18997145235461854</v>
      </c>
    </row>
    <row r="65" spans="1:20" x14ac:dyDescent="0.6">
      <c r="A65" s="1"/>
      <c r="B65" s="1"/>
      <c r="C65" s="174"/>
      <c r="D65" s="178"/>
      <c r="E65" s="179"/>
      <c r="F65"/>
      <c r="G65"/>
      <c r="H65" s="13"/>
      <c r="I65" s="921"/>
      <c r="J65" s="1"/>
      <c r="K65"/>
      <c r="L65"/>
      <c r="M65" s="10"/>
      <c r="N65" s="10"/>
      <c r="Q65"/>
      <c r="R65" s="1"/>
      <c r="T65" s="17"/>
    </row>
    <row r="66" spans="1:20" x14ac:dyDescent="0.6">
      <c r="A66" s="1"/>
      <c r="B66" s="1"/>
      <c r="C66" s="174"/>
      <c r="D66" s="178"/>
      <c r="E66" s="179"/>
      <c r="F66"/>
      <c r="G66"/>
      <c r="H66" s="13"/>
      <c r="I66" s="921"/>
      <c r="J66" s="1"/>
      <c r="K66"/>
      <c r="L66"/>
      <c r="M66" s="10"/>
      <c r="N66" s="1"/>
      <c r="Q66"/>
      <c r="S66" s="1" t="s">
        <v>1746</v>
      </c>
      <c r="T66" s="70">
        <f>LARGE($T$4:$T$54,1)</f>
        <v>917202053.13456726</v>
      </c>
    </row>
    <row r="67" spans="1:20" x14ac:dyDescent="0.6">
      <c r="A67" s="1"/>
      <c r="B67" s="1"/>
      <c r="C67" s="174"/>
      <c r="D67" s="178"/>
      <c r="E67" s="179"/>
      <c r="F67"/>
      <c r="G67"/>
      <c r="H67" s="13"/>
      <c r="I67" s="921"/>
      <c r="J67" s="1"/>
      <c r="K67"/>
      <c r="L67"/>
      <c r="M67" s="10"/>
      <c r="N67" s="1"/>
      <c r="Q67"/>
      <c r="S67" s="1" t="s">
        <v>1744</v>
      </c>
      <c r="T67" s="70">
        <f>LARGE($T$4:$T$54,2)</f>
        <v>149196540.35121489</v>
      </c>
    </row>
    <row r="68" spans="1:20" x14ac:dyDescent="0.6">
      <c r="A68" s="1"/>
      <c r="B68" s="1"/>
      <c r="C68" s="174"/>
      <c r="D68" s="178"/>
      <c r="E68" s="179"/>
      <c r="F68"/>
      <c r="G68"/>
      <c r="H68" s="13"/>
      <c r="I68" s="921"/>
      <c r="J68" s="1"/>
      <c r="K68"/>
      <c r="L68"/>
      <c r="M68" s="10"/>
      <c r="N68" s="1"/>
      <c r="Q68"/>
      <c r="S68" s="1" t="s">
        <v>1745</v>
      </c>
      <c r="T68" s="70">
        <f>LARGE($T$4:$T$54,3)</f>
        <v>90717294.828948975</v>
      </c>
    </row>
    <row r="69" spans="1:20" x14ac:dyDescent="0.6">
      <c r="A69" s="1"/>
      <c r="B69" s="1"/>
      <c r="C69" s="174"/>
      <c r="D69" s="178"/>
      <c r="E69" s="179"/>
      <c r="F69"/>
      <c r="G69"/>
      <c r="H69" s="13"/>
      <c r="I69" s="921"/>
      <c r="J69" s="1"/>
      <c r="K69"/>
      <c r="L69"/>
      <c r="M69" s="10"/>
      <c r="N69" s="10"/>
      <c r="Q69"/>
      <c r="R69" s="1"/>
      <c r="S69" s="1"/>
      <c r="T69" s="70"/>
    </row>
    <row r="70" spans="1:20" x14ac:dyDescent="0.6">
      <c r="A70" s="1"/>
      <c r="B70" s="1"/>
      <c r="C70" s="174"/>
      <c r="D70" s="178"/>
      <c r="E70" s="179"/>
      <c r="F70"/>
      <c r="G70"/>
      <c r="H70" s="13"/>
      <c r="I70" s="921"/>
      <c r="J70" s="1"/>
      <c r="K70"/>
      <c r="L70"/>
      <c r="M70" s="10"/>
      <c r="N70" s="10"/>
      <c r="Q70"/>
      <c r="R70" s="1"/>
      <c r="S70" s="1"/>
      <c r="T70" s="70"/>
    </row>
    <row r="71" spans="1:20" x14ac:dyDescent="0.6">
      <c r="A71" s="1"/>
      <c r="B71" s="1"/>
      <c r="C71" s="174"/>
      <c r="D71" s="178"/>
      <c r="E71" s="179"/>
      <c r="F71"/>
      <c r="G71"/>
      <c r="H71" s="13"/>
      <c r="I71" s="921"/>
      <c r="J71" s="1"/>
      <c r="K71"/>
      <c r="L71"/>
      <c r="M71" s="10"/>
      <c r="N71" s="10"/>
      <c r="Q71"/>
      <c r="R71" s="1"/>
      <c r="S71" s="1"/>
      <c r="T71" s="70"/>
    </row>
    <row r="72" spans="1:20" x14ac:dyDescent="0.6">
      <c r="A72" s="1"/>
      <c r="B72" s="1"/>
      <c r="C72" s="153"/>
      <c r="D72" s="122"/>
      <c r="F72"/>
      <c r="G72"/>
      <c r="H72" s="13"/>
      <c r="I72" s="921"/>
      <c r="J72" s="1"/>
      <c r="K72"/>
      <c r="L72"/>
      <c r="M72" s="10"/>
      <c r="N72" s="10"/>
      <c r="Q72"/>
      <c r="R72" s="1"/>
      <c r="S72" s="1"/>
      <c r="T72" s="70"/>
    </row>
    <row r="73" spans="1:20" x14ac:dyDescent="0.6">
      <c r="A73" s="1"/>
      <c r="B73" s="1"/>
      <c r="C73" s="153"/>
      <c r="D73" s="122"/>
      <c r="F73"/>
      <c r="G73"/>
      <c r="H73" s="13"/>
      <c r="I73" s="921"/>
      <c r="J73" s="1"/>
      <c r="K73"/>
      <c r="L73"/>
      <c r="M73" s="10"/>
      <c r="N73" s="10"/>
      <c r="Q73"/>
      <c r="R73" s="1"/>
      <c r="S73" s="1"/>
      <c r="T73" s="891"/>
    </row>
    <row r="74" spans="1:20" x14ac:dyDescent="0.6">
      <c r="A74" s="1"/>
      <c r="B74" s="1"/>
      <c r="C74" s="153"/>
      <c r="D74" s="122"/>
      <c r="F74"/>
      <c r="G74"/>
      <c r="H74" s="21"/>
      <c r="I74" s="920"/>
      <c r="J74" s="1"/>
      <c r="K74"/>
      <c r="L74"/>
      <c r="M74" s="10"/>
      <c r="N74" s="10"/>
      <c r="Q74"/>
      <c r="R74" s="1"/>
      <c r="S74" s="1"/>
      <c r="T74" s="891"/>
    </row>
    <row r="75" spans="1:20" x14ac:dyDescent="0.6">
      <c r="A75" s="1"/>
      <c r="B75" s="1"/>
      <c r="C75" s="153"/>
      <c r="D75" s="122"/>
      <c r="F75"/>
      <c r="G75"/>
      <c r="H75" s="21"/>
      <c r="I75" s="920"/>
      <c r="J75" s="1"/>
      <c r="K75"/>
      <c r="L75"/>
      <c r="M75" s="10"/>
      <c r="N75" s="10"/>
      <c r="Q75"/>
      <c r="R75" s="1"/>
      <c r="T75" s="891"/>
    </row>
    <row r="76" spans="1:20" x14ac:dyDescent="0.6">
      <c r="D76" s="193"/>
      <c r="F76"/>
      <c r="G76"/>
      <c r="H76" s="21"/>
      <c r="I76" s="920"/>
      <c r="J76" s="1"/>
      <c r="K76"/>
      <c r="L76"/>
      <c r="M76" s="10"/>
      <c r="N76" s="10"/>
      <c r="Q76"/>
      <c r="R76" s="1"/>
      <c r="T76" s="891"/>
    </row>
    <row r="77" spans="1:20" x14ac:dyDescent="0.6">
      <c r="C77"/>
      <c r="D77" s="193"/>
      <c r="E77"/>
      <c r="F77"/>
      <c r="G77"/>
      <c r="H77" s="21"/>
      <c r="I77" s="920"/>
      <c r="J77" s="1"/>
      <c r="K77"/>
      <c r="L77"/>
      <c r="M77" s="10"/>
      <c r="N77" s="10"/>
      <c r="Q77"/>
      <c r="R77" s="1"/>
      <c r="T77" s="891"/>
    </row>
    <row r="78" spans="1:20" x14ac:dyDescent="0.6">
      <c r="C78"/>
      <c r="D78" s="193"/>
      <c r="E78"/>
      <c r="F78"/>
      <c r="G78"/>
      <c r="H78" s="21"/>
      <c r="I78" s="920"/>
      <c r="J78" s="1"/>
      <c r="K78"/>
      <c r="L78"/>
      <c r="M78" s="10"/>
      <c r="N78" s="10"/>
      <c r="Q78"/>
      <c r="R78" s="1"/>
      <c r="S78" s="1"/>
      <c r="T78" s="70"/>
    </row>
    <row r="79" spans="1:20" x14ac:dyDescent="0.6">
      <c r="C79"/>
      <c r="D79" s="193"/>
      <c r="E79"/>
      <c r="F79"/>
      <c r="G79"/>
      <c r="H79" s="21"/>
      <c r="I79" s="920"/>
      <c r="J79" s="1"/>
      <c r="K79"/>
      <c r="L79"/>
      <c r="M79" s="10"/>
      <c r="N79" s="10"/>
      <c r="Q79"/>
      <c r="R79" s="1"/>
      <c r="S79" s="1"/>
    </row>
    <row r="80" spans="1:20" x14ac:dyDescent="0.6">
      <c r="C80"/>
      <c r="D80" s="193"/>
      <c r="E80"/>
      <c r="F80"/>
      <c r="G80"/>
      <c r="H80" s="21"/>
      <c r="I80" s="920"/>
      <c r="J80" s="1"/>
      <c r="K80"/>
      <c r="L80"/>
      <c r="M80" s="10"/>
      <c r="N80" s="10"/>
      <c r="Q80"/>
      <c r="R80"/>
      <c r="S80"/>
      <c r="T80" s="167"/>
    </row>
    <row r="81" spans="3:20" x14ac:dyDescent="0.6">
      <c r="C81"/>
      <c r="D81" s="193"/>
      <c r="E81"/>
      <c r="F81"/>
      <c r="G81"/>
      <c r="H81" s="21"/>
      <c r="I81" s="920"/>
      <c r="J81" s="1"/>
      <c r="K81"/>
      <c r="L81"/>
      <c r="M81" s="10"/>
      <c r="N81" s="10"/>
      <c r="Q81"/>
      <c r="R81"/>
      <c r="S81"/>
      <c r="T81" s="167"/>
    </row>
    <row r="82" spans="3:20" x14ac:dyDescent="0.6">
      <c r="C82"/>
      <c r="D82" s="193"/>
      <c r="E82"/>
      <c r="F82"/>
      <c r="G82"/>
      <c r="H82" s="21"/>
      <c r="I82" s="920"/>
      <c r="J82" s="1"/>
      <c r="K82"/>
      <c r="L82"/>
      <c r="M82" s="10"/>
      <c r="N82" s="10"/>
      <c r="Q82"/>
      <c r="R82"/>
      <c r="S82"/>
      <c r="T82" s="167"/>
    </row>
    <row r="83" spans="3:20" x14ac:dyDescent="0.6">
      <c r="C83"/>
      <c r="D83" s="193"/>
      <c r="E83"/>
      <c r="F83"/>
      <c r="G83"/>
      <c r="H83" s="21"/>
      <c r="I83" s="920"/>
      <c r="J83" s="1"/>
      <c r="K83"/>
      <c r="L83"/>
      <c r="M83" s="10"/>
      <c r="N83" s="10"/>
      <c r="Q83"/>
      <c r="R83"/>
      <c r="S83"/>
      <c r="T83" s="167"/>
    </row>
    <row r="84" spans="3:20" x14ac:dyDescent="0.6">
      <c r="H84" s="21"/>
      <c r="I84" s="920"/>
      <c r="J84" s="1"/>
      <c r="M84" s="10"/>
      <c r="N84" s="10"/>
    </row>
    <row r="85" spans="3:20" x14ac:dyDescent="0.6">
      <c r="H85" s="21"/>
      <c r="I85" s="920"/>
      <c r="J85" s="1"/>
      <c r="M85" s="10"/>
      <c r="N85" s="10"/>
    </row>
    <row r="86" spans="3:20" x14ac:dyDescent="0.6">
      <c r="H86" s="21"/>
      <c r="I86" s="920"/>
      <c r="J86" s="1"/>
      <c r="M86" s="10"/>
      <c r="N86" s="10"/>
    </row>
    <row r="87" spans="3:20" x14ac:dyDescent="0.6">
      <c r="H87" s="21"/>
      <c r="I87" s="920"/>
      <c r="J87" s="1"/>
      <c r="M87" s="10"/>
      <c r="N87" s="10"/>
    </row>
    <row r="88" spans="3:20" x14ac:dyDescent="0.6">
      <c r="H88" s="21"/>
      <c r="I88" s="920"/>
      <c r="J88" s="54"/>
      <c r="M88" s="10"/>
      <c r="N88" s="10"/>
    </row>
    <row r="89" spans="3:20" x14ac:dyDescent="0.6">
      <c r="H89" s="21"/>
      <c r="I89" s="920"/>
      <c r="J89" s="54"/>
      <c r="M89" s="10"/>
      <c r="N89" s="10"/>
    </row>
    <row r="90" spans="3:20" x14ac:dyDescent="0.6">
      <c r="H90" s="21"/>
      <c r="I90" s="920"/>
    </row>
    <row r="91" spans="3:20" x14ac:dyDescent="0.6">
      <c r="H91" s="21"/>
      <c r="I91" s="920"/>
    </row>
    <row r="92" spans="3:20" x14ac:dyDescent="0.6">
      <c r="H92" s="21"/>
      <c r="I92" s="920"/>
    </row>
    <row r="93" spans="3:20" x14ac:dyDescent="0.6">
      <c r="H93" s="21"/>
      <c r="I93" s="920"/>
    </row>
    <row r="94" spans="3:20" x14ac:dyDescent="0.6">
      <c r="C94"/>
      <c r="D94"/>
      <c r="E94" s="1"/>
      <c r="F94" s="2"/>
      <c r="G94" s="167"/>
      <c r="H94" s="21"/>
      <c r="I94" s="920"/>
      <c r="K94"/>
      <c r="L94"/>
      <c r="Q94"/>
      <c r="R94"/>
      <c r="S94"/>
      <c r="T94" s="167"/>
    </row>
    <row r="95" spans="3:20" x14ac:dyDescent="0.6">
      <c r="C95"/>
      <c r="D95"/>
      <c r="E95" s="1"/>
      <c r="F95" s="2"/>
      <c r="G95" s="167"/>
      <c r="K95"/>
      <c r="L95"/>
      <c r="Q95"/>
      <c r="R95"/>
      <c r="S95"/>
      <c r="T95" s="167"/>
    </row>
  </sheetData>
  <sortState xmlns:xlrd2="http://schemas.microsoft.com/office/spreadsheetml/2017/richdata2" ref="C62:D72">
    <sortCondition descending="1" ref="D62:D72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227"/>
  <sheetViews>
    <sheetView showGridLines="0" showZeros="0" zoomScale="115" zoomScaleNormal="115" zoomScalePage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97.59765625" style="1" bestFit="1" customWidth="1"/>
    <col min="2" max="2" width="17.5" style="70" customWidth="1"/>
    <col min="3" max="3" width="17.09765625" style="70" customWidth="1"/>
    <col min="4" max="4" width="15" style="70" bestFit="1" customWidth="1"/>
    <col min="5" max="5" width="8.09765625" style="114" bestFit="1" customWidth="1"/>
    <col min="6" max="6" width="15" style="70" customWidth="1"/>
    <col min="7" max="9" width="10.84765625" style="1"/>
    <col min="10" max="10" width="17.59765625" style="1" bestFit="1" customWidth="1"/>
    <col min="11" max="16384" width="10.84765625" style="1"/>
  </cols>
  <sheetData>
    <row r="1" spans="1:7" x14ac:dyDescent="0.6">
      <c r="A1" s="78" t="s">
        <v>690</v>
      </c>
      <c r="B1" s="622">
        <v>2015</v>
      </c>
      <c r="C1" s="114"/>
    </row>
    <row r="2" spans="1:7" ht="15.9" thickBot="1" x14ac:dyDescent="0.65">
      <c r="A2" s="119"/>
      <c r="B2" s="623" t="s">
        <v>237</v>
      </c>
      <c r="C2" s="594" t="s">
        <v>249</v>
      </c>
      <c r="D2" s="623" t="s">
        <v>239</v>
      </c>
      <c r="E2" s="838" t="s">
        <v>1731</v>
      </c>
      <c r="F2" s="1477"/>
    </row>
    <row r="3" spans="1:7" ht="15.9" thickTop="1" x14ac:dyDescent="0.6">
      <c r="A3" s="1646" t="s">
        <v>37</v>
      </c>
      <c r="B3" s="721">
        <f>SUM(B4:B27)</f>
        <v>290665182</v>
      </c>
      <c r="C3" s="721">
        <f>SUM(C4:C27)</f>
        <v>151976573</v>
      </c>
      <c r="D3" s="722">
        <f>SUM(D4:D27)</f>
        <v>138688609</v>
      </c>
      <c r="E3" s="838"/>
      <c r="F3" s="1564"/>
    </row>
    <row r="4" spans="1:7" x14ac:dyDescent="0.6">
      <c r="A4" s="1" t="s">
        <v>886</v>
      </c>
      <c r="B4" s="70">
        <v>23859</v>
      </c>
      <c r="C4" s="70">
        <f t="shared" ref="C4:C16" si="0">B4</f>
        <v>23859</v>
      </c>
      <c r="D4" s="607"/>
      <c r="E4" s="838" t="s">
        <v>769</v>
      </c>
      <c r="F4" s="1594" t="s">
        <v>37</v>
      </c>
      <c r="G4" s="69"/>
    </row>
    <row r="5" spans="1:7" ht="15" customHeight="1" x14ac:dyDescent="0.6">
      <c r="A5" s="1" t="s">
        <v>887</v>
      </c>
      <c r="B5" s="70">
        <v>10043</v>
      </c>
      <c r="C5" s="70">
        <f t="shared" si="0"/>
        <v>10043</v>
      </c>
      <c r="D5" s="607"/>
      <c r="E5" s="838" t="s">
        <v>769</v>
      </c>
      <c r="F5" s="593" t="s">
        <v>42</v>
      </c>
      <c r="G5" s="1">
        <f>27-3</f>
        <v>24</v>
      </c>
    </row>
    <row r="6" spans="1:7" x14ac:dyDescent="0.6">
      <c r="A6" s="1" t="s">
        <v>358</v>
      </c>
      <c r="B6" s="70">
        <v>618185</v>
      </c>
      <c r="C6" s="70">
        <f t="shared" si="0"/>
        <v>618185</v>
      </c>
      <c r="D6" s="607"/>
      <c r="E6" s="838" t="s">
        <v>769</v>
      </c>
      <c r="F6" s="593" t="s">
        <v>802</v>
      </c>
      <c r="G6" s="1">
        <v>5</v>
      </c>
    </row>
    <row r="7" spans="1:7" x14ac:dyDescent="0.6">
      <c r="A7" s="1" t="s">
        <v>885</v>
      </c>
      <c r="B7" s="70">
        <v>3170035</v>
      </c>
      <c r="C7" s="70">
        <f t="shared" si="0"/>
        <v>3170035</v>
      </c>
      <c r="D7" s="607"/>
      <c r="E7" s="838" t="s">
        <v>769</v>
      </c>
      <c r="F7" s="593" t="s">
        <v>1732</v>
      </c>
      <c r="G7" s="1">
        <f>COUNTIF(E4:E27,"x")</f>
        <v>22</v>
      </c>
    </row>
    <row r="8" spans="1:7" x14ac:dyDescent="0.6">
      <c r="A8" s="1" t="s">
        <v>888</v>
      </c>
      <c r="B8" s="70">
        <v>4725589</v>
      </c>
      <c r="C8" s="70">
        <f t="shared" si="0"/>
        <v>4725589</v>
      </c>
      <c r="D8" s="607"/>
      <c r="E8" s="838" t="s">
        <v>769</v>
      </c>
      <c r="F8" s="593" t="s">
        <v>239</v>
      </c>
      <c r="G8" s="1">
        <f>COUNT(D4:D27)</f>
        <v>4</v>
      </c>
    </row>
    <row r="9" spans="1:7" x14ac:dyDescent="0.6">
      <c r="A9" s="1" t="s">
        <v>889</v>
      </c>
      <c r="B9" s="70">
        <v>3108199</v>
      </c>
      <c r="C9" s="70">
        <f t="shared" si="0"/>
        <v>3108199</v>
      </c>
      <c r="D9" s="607"/>
      <c r="E9" s="838" t="s">
        <v>769</v>
      </c>
      <c r="F9" s="593"/>
    </row>
    <row r="10" spans="1:7" x14ac:dyDescent="0.6">
      <c r="A10" s="1" t="s">
        <v>890</v>
      </c>
      <c r="B10" s="70">
        <v>1727669</v>
      </c>
      <c r="C10" s="70">
        <f t="shared" si="0"/>
        <v>1727669</v>
      </c>
      <c r="D10" s="607"/>
      <c r="E10" s="838" t="s">
        <v>769</v>
      </c>
      <c r="F10" s="593"/>
    </row>
    <row r="11" spans="1:7" x14ac:dyDescent="0.6">
      <c r="A11" s="1" t="s">
        <v>891</v>
      </c>
      <c r="B11" s="70">
        <v>22362935</v>
      </c>
      <c r="C11" s="70">
        <f t="shared" si="0"/>
        <v>22362935</v>
      </c>
      <c r="D11" s="607"/>
      <c r="E11" s="838" t="s">
        <v>769</v>
      </c>
      <c r="F11" s="593"/>
    </row>
    <row r="12" spans="1:7" x14ac:dyDescent="0.6">
      <c r="A12" s="1" t="s">
        <v>892</v>
      </c>
      <c r="B12" s="70">
        <v>75600000</v>
      </c>
      <c r="C12" s="70">
        <f t="shared" si="0"/>
        <v>75600000</v>
      </c>
      <c r="D12" s="607"/>
      <c r="E12" s="838" t="s">
        <v>769</v>
      </c>
      <c r="F12" s="593"/>
    </row>
    <row r="13" spans="1:7" x14ac:dyDescent="0.6">
      <c r="A13" s="1" t="s">
        <v>893</v>
      </c>
      <c r="B13" s="70">
        <v>472172</v>
      </c>
      <c r="C13" s="70">
        <f t="shared" si="0"/>
        <v>472172</v>
      </c>
      <c r="D13" s="607"/>
      <c r="E13" s="838" t="s">
        <v>769</v>
      </c>
      <c r="F13" s="593"/>
    </row>
    <row r="14" spans="1:7" x14ac:dyDescent="0.6">
      <c r="A14" s="1" t="s">
        <v>894</v>
      </c>
      <c r="B14" s="114" t="s">
        <v>804</v>
      </c>
      <c r="D14" s="607"/>
      <c r="E14" s="838" t="s">
        <v>769</v>
      </c>
      <c r="F14" s="593"/>
    </row>
    <row r="15" spans="1:7" x14ac:dyDescent="0.6">
      <c r="A15" s="1" t="s">
        <v>884</v>
      </c>
      <c r="B15" s="70">
        <v>5629743</v>
      </c>
      <c r="C15" s="70">
        <f t="shared" si="0"/>
        <v>5629743</v>
      </c>
      <c r="D15" s="607"/>
      <c r="E15" s="838" t="s">
        <v>769</v>
      </c>
      <c r="F15" s="593"/>
    </row>
    <row r="16" spans="1:7" x14ac:dyDescent="0.6">
      <c r="A16" s="1" t="s">
        <v>895</v>
      </c>
      <c r="B16" s="70">
        <v>1311233</v>
      </c>
      <c r="C16" s="70">
        <f t="shared" si="0"/>
        <v>1311233</v>
      </c>
      <c r="D16" s="607"/>
      <c r="E16" s="838" t="s">
        <v>769</v>
      </c>
      <c r="F16" s="593"/>
    </row>
    <row r="17" spans="1:8" x14ac:dyDescent="0.6">
      <c r="A17" s="1" t="s">
        <v>896</v>
      </c>
      <c r="B17" s="114" t="s">
        <v>804</v>
      </c>
      <c r="D17" s="607"/>
      <c r="E17" s="838" t="s">
        <v>769</v>
      </c>
      <c r="F17" s="593"/>
    </row>
    <row r="18" spans="1:8" x14ac:dyDescent="0.6">
      <c r="A18" s="1" t="s">
        <v>897</v>
      </c>
      <c r="B18" s="114" t="s">
        <v>804</v>
      </c>
      <c r="D18" s="607"/>
      <c r="E18" s="838" t="s">
        <v>769</v>
      </c>
      <c r="F18" s="593"/>
    </row>
    <row r="19" spans="1:8" x14ac:dyDescent="0.6">
      <c r="A19" s="1" t="s">
        <v>898</v>
      </c>
      <c r="B19" s="114" t="s">
        <v>804</v>
      </c>
      <c r="D19" s="607"/>
      <c r="E19" s="838" t="s">
        <v>769</v>
      </c>
      <c r="F19" s="593"/>
    </row>
    <row r="20" spans="1:8" ht="15" customHeight="1" x14ac:dyDescent="0.6">
      <c r="A20" s="1" t="s">
        <v>899</v>
      </c>
      <c r="B20" s="70">
        <v>34405929</v>
      </c>
      <c r="C20" s="70">
        <f>B20</f>
        <v>34405929</v>
      </c>
      <c r="D20" s="607"/>
      <c r="E20" s="838" t="s">
        <v>769</v>
      </c>
      <c r="F20" s="593"/>
    </row>
    <row r="21" spans="1:8" x14ac:dyDescent="0.6">
      <c r="A21" s="1" t="s">
        <v>900</v>
      </c>
      <c r="B21" s="70">
        <v>11178297</v>
      </c>
      <c r="D21" s="607">
        <f>B21</f>
        <v>11178297</v>
      </c>
      <c r="E21" s="838" t="s">
        <v>769</v>
      </c>
      <c r="F21" s="593"/>
    </row>
    <row r="22" spans="1:8" x14ac:dyDescent="0.6">
      <c r="A22" s="1" t="s">
        <v>901</v>
      </c>
      <c r="B22" s="70">
        <v>348895</v>
      </c>
      <c r="D22" s="607">
        <f>B22</f>
        <v>348895</v>
      </c>
      <c r="E22" s="838" t="s">
        <v>769</v>
      </c>
      <c r="F22" s="593"/>
    </row>
    <row r="23" spans="1:8" ht="15" customHeight="1" x14ac:dyDescent="0.6">
      <c r="A23" s="1" t="s">
        <v>902</v>
      </c>
      <c r="B23" s="70">
        <v>126364548</v>
      </c>
      <c r="D23" s="607">
        <f>B23</f>
        <v>126364548</v>
      </c>
      <c r="E23" s="838" t="s">
        <v>769</v>
      </c>
      <c r="F23" s="593"/>
    </row>
    <row r="24" spans="1:8" x14ac:dyDescent="0.6">
      <c r="A24" s="1" t="s">
        <v>903</v>
      </c>
      <c r="B24" s="70">
        <v>796869</v>
      </c>
      <c r="D24" s="607">
        <f>B24</f>
        <v>796869</v>
      </c>
      <c r="E24" s="838" t="s">
        <v>769</v>
      </c>
      <c r="F24" s="593"/>
    </row>
    <row r="25" spans="1:8" ht="15" customHeight="1" x14ac:dyDescent="0.6">
      <c r="A25" s="1" t="s">
        <v>904</v>
      </c>
      <c r="B25" s="70">
        <v>19600000</v>
      </c>
      <c r="C25" s="70">
        <f t="shared" ref="C25:C26" si="1">B25</f>
        <v>19600000</v>
      </c>
      <c r="D25" s="607"/>
      <c r="E25" s="838" t="s">
        <v>769</v>
      </c>
      <c r="F25" s="593"/>
    </row>
    <row r="26" spans="1:8" x14ac:dyDescent="0.6">
      <c r="A26" s="1" t="s">
        <v>223</v>
      </c>
      <c r="B26" s="114" t="s">
        <v>804</v>
      </c>
      <c r="C26" s="70" t="str">
        <f t="shared" si="1"/>
        <v>ND</v>
      </c>
      <c r="D26" s="607"/>
      <c r="E26" s="838"/>
      <c r="F26" s="593"/>
    </row>
    <row r="27" spans="1:8" ht="15.9" thickBot="1" x14ac:dyDescent="0.65">
      <c r="A27" s="16" t="s">
        <v>250</v>
      </c>
      <c r="B27" s="108">
        <v>-20789018</v>
      </c>
      <c r="C27" s="108">
        <f>B27</f>
        <v>-20789018</v>
      </c>
      <c r="D27" s="624"/>
      <c r="E27" s="1593"/>
      <c r="F27" s="108"/>
      <c r="G27" s="16"/>
      <c r="H27" s="16"/>
    </row>
    <row r="28" spans="1:8" s="596" customFormat="1" ht="15.9" thickTop="1" x14ac:dyDescent="0.6">
      <c r="A28" s="1647" t="s">
        <v>0</v>
      </c>
      <c r="B28" s="723"/>
      <c r="C28" s="723">
        <f>C29</f>
        <v>0</v>
      </c>
      <c r="D28" s="724"/>
      <c r="E28" s="686"/>
      <c r="F28" s="595"/>
    </row>
    <row r="29" spans="1:8" s="596" customFormat="1" ht="15.9" thickBot="1" x14ac:dyDescent="0.65">
      <c r="A29" s="1059"/>
      <c r="B29" s="124"/>
      <c r="C29" s="124"/>
      <c r="D29" s="131"/>
      <c r="E29" s="686"/>
      <c r="F29" s="1594" t="s">
        <v>1739</v>
      </c>
      <c r="G29" s="69"/>
    </row>
    <row r="30" spans="1:8" s="596" customFormat="1" ht="15.9" thickTop="1" x14ac:dyDescent="0.6">
      <c r="A30" s="1647" t="s">
        <v>1</v>
      </c>
      <c r="B30" s="723"/>
      <c r="C30" s="723">
        <f>C31</f>
        <v>0</v>
      </c>
      <c r="D30" s="724"/>
      <c r="E30" s="686"/>
      <c r="F30" s="593" t="s">
        <v>42</v>
      </c>
      <c r="G30" s="1">
        <v>63</v>
      </c>
    </row>
    <row r="31" spans="1:8" s="596" customFormat="1" ht="15.9" thickBot="1" x14ac:dyDescent="0.65">
      <c r="A31" s="1059"/>
      <c r="B31" s="124"/>
      <c r="C31" s="124"/>
      <c r="D31" s="131"/>
      <c r="E31" s="686"/>
      <c r="F31" s="593" t="s">
        <v>802</v>
      </c>
      <c r="G31" s="1">
        <f>COUNTIF(B28:B130,"ND")</f>
        <v>27</v>
      </c>
    </row>
    <row r="32" spans="1:8" s="596" customFormat="1" ht="15.9" thickTop="1" x14ac:dyDescent="0.6">
      <c r="A32" s="1647" t="s">
        <v>2</v>
      </c>
      <c r="B32" s="723"/>
      <c r="C32" s="723">
        <f>C34</f>
        <v>0</v>
      </c>
      <c r="D32" s="724"/>
      <c r="E32" s="686"/>
      <c r="F32" s="593" t="s">
        <v>1732</v>
      </c>
      <c r="G32" s="1">
        <f>COUNTIF(E28:E130,"x")</f>
        <v>46</v>
      </c>
    </row>
    <row r="33" spans="1:7" s="596" customFormat="1" x14ac:dyDescent="0.6">
      <c r="A33" s="599" t="s">
        <v>905</v>
      </c>
      <c r="B33" s="686" t="s">
        <v>804</v>
      </c>
      <c r="C33" s="595"/>
      <c r="D33" s="726"/>
      <c r="E33" s="686" t="s">
        <v>769</v>
      </c>
      <c r="F33" s="593" t="s">
        <v>239</v>
      </c>
      <c r="G33" s="1"/>
    </row>
    <row r="34" spans="1:7" s="596" customFormat="1" ht="15.9" thickBot="1" x14ac:dyDescent="0.65">
      <c r="A34" s="124" t="s">
        <v>372</v>
      </c>
      <c r="B34" s="598" t="s">
        <v>804</v>
      </c>
      <c r="C34" s="124"/>
      <c r="D34" s="131"/>
      <c r="E34" s="686" t="s">
        <v>769</v>
      </c>
      <c r="F34" s="599"/>
    </row>
    <row r="35" spans="1:7" s="596" customFormat="1" ht="15.9" thickTop="1" x14ac:dyDescent="0.6">
      <c r="A35" s="1647" t="s">
        <v>3</v>
      </c>
      <c r="B35" s="723">
        <f>B36</f>
        <v>27664041</v>
      </c>
      <c r="C35" s="723">
        <f>C36</f>
        <v>27664041</v>
      </c>
      <c r="D35" s="724"/>
      <c r="E35" s="686"/>
      <c r="F35" s="595"/>
    </row>
    <row r="36" spans="1:7" s="596" customFormat="1" ht="15.9" thickBot="1" x14ac:dyDescent="0.65">
      <c r="A36" s="124" t="s">
        <v>699</v>
      </c>
      <c r="B36" s="124">
        <v>27664041</v>
      </c>
      <c r="C36" s="124">
        <f>B36</f>
        <v>27664041</v>
      </c>
      <c r="D36" s="131"/>
      <c r="E36" s="686" t="s">
        <v>769</v>
      </c>
      <c r="F36" s="599"/>
    </row>
    <row r="37" spans="1:7" s="596" customFormat="1" ht="15.9" thickTop="1" x14ac:dyDescent="0.6">
      <c r="A37" s="1647" t="s">
        <v>4</v>
      </c>
      <c r="B37" s="723"/>
      <c r="C37" s="723">
        <f>C38</f>
        <v>0</v>
      </c>
      <c r="D37" s="724"/>
      <c r="E37" s="686"/>
      <c r="F37" s="595"/>
    </row>
    <row r="38" spans="1:7" s="596" customFormat="1" ht="15.9" thickBot="1" x14ac:dyDescent="0.65">
      <c r="A38" s="124" t="s">
        <v>700</v>
      </c>
      <c r="B38" s="598" t="s">
        <v>804</v>
      </c>
      <c r="C38" s="124"/>
      <c r="D38" s="131"/>
      <c r="E38" s="686" t="s">
        <v>769</v>
      </c>
      <c r="F38" s="599"/>
    </row>
    <row r="39" spans="1:7" s="596" customFormat="1" ht="15.9" thickTop="1" x14ac:dyDescent="0.6">
      <c r="A39" s="1647" t="s">
        <v>5</v>
      </c>
      <c r="B39" s="723"/>
      <c r="C39" s="723">
        <f>C41</f>
        <v>0</v>
      </c>
      <c r="D39" s="724"/>
      <c r="E39" s="686"/>
      <c r="F39" s="595"/>
    </row>
    <row r="40" spans="1:7" s="596" customFormat="1" x14ac:dyDescent="0.6">
      <c r="A40" s="599" t="s">
        <v>313</v>
      </c>
      <c r="B40" s="686" t="s">
        <v>804</v>
      </c>
      <c r="C40" s="595"/>
      <c r="D40" s="726"/>
      <c r="E40" s="686" t="s">
        <v>769</v>
      </c>
      <c r="F40" s="595"/>
    </row>
    <row r="41" spans="1:7" s="596" customFormat="1" ht="15.9" thickBot="1" x14ac:dyDescent="0.65">
      <c r="A41" s="124" t="s">
        <v>701</v>
      </c>
      <c r="B41" s="598" t="s">
        <v>804</v>
      </c>
      <c r="C41" s="124"/>
      <c r="D41" s="131"/>
      <c r="E41" s="686" t="s">
        <v>769</v>
      </c>
      <c r="F41" s="599"/>
    </row>
    <row r="42" spans="1:7" s="596" customFormat="1" ht="15.9" thickTop="1" x14ac:dyDescent="0.6">
      <c r="A42" s="1647" t="s">
        <v>6</v>
      </c>
      <c r="B42" s="723">
        <f>B44</f>
        <v>215743</v>
      </c>
      <c r="C42" s="723">
        <f t="shared" ref="C42:D42" si="2">C44</f>
        <v>215743</v>
      </c>
      <c r="D42" s="724">
        <f t="shared" si="2"/>
        <v>0</v>
      </c>
      <c r="E42" s="686"/>
      <c r="F42" s="595"/>
    </row>
    <row r="43" spans="1:7" s="596" customFormat="1" x14ac:dyDescent="0.6">
      <c r="A43" s="599" t="s">
        <v>906</v>
      </c>
      <c r="B43" s="686" t="s">
        <v>804</v>
      </c>
      <c r="C43" s="595"/>
      <c r="D43" s="726"/>
      <c r="E43" s="686" t="s">
        <v>769</v>
      </c>
      <c r="F43" s="595"/>
    </row>
    <row r="44" spans="1:7" s="596" customFormat="1" ht="15.9" thickBot="1" x14ac:dyDescent="0.65">
      <c r="A44" s="124" t="s">
        <v>907</v>
      </c>
      <c r="B44" s="124">
        <v>215743</v>
      </c>
      <c r="C44" s="124">
        <f>B44</f>
        <v>215743</v>
      </c>
      <c r="D44" s="131"/>
      <c r="E44" s="686" t="s">
        <v>769</v>
      </c>
      <c r="F44" s="599"/>
    </row>
    <row r="45" spans="1:7" s="596" customFormat="1" ht="15.9" thickTop="1" x14ac:dyDescent="0.6">
      <c r="A45" s="1647" t="s">
        <v>7</v>
      </c>
      <c r="B45" s="723">
        <f>SUM(B46:B52)</f>
        <v>203546316</v>
      </c>
      <c r="C45" s="723">
        <f>SUM(C46:C52)</f>
        <v>203546316</v>
      </c>
      <c r="D45" s="724"/>
      <c r="E45" s="686"/>
      <c r="F45" s="595"/>
    </row>
    <row r="46" spans="1:7" s="123" customFormat="1" x14ac:dyDescent="0.6">
      <c r="A46" s="599" t="s">
        <v>908</v>
      </c>
      <c r="B46" s="599">
        <v>413218</v>
      </c>
      <c r="C46" s="599">
        <f>B46</f>
        <v>413218</v>
      </c>
      <c r="D46" s="130"/>
      <c r="E46" s="686"/>
      <c r="F46" s="599"/>
    </row>
    <row r="47" spans="1:7" s="123" customFormat="1" x14ac:dyDescent="0.6">
      <c r="A47" s="599" t="s">
        <v>304</v>
      </c>
      <c r="B47" s="599">
        <v>19401387</v>
      </c>
      <c r="C47" s="599">
        <f>B47</f>
        <v>19401387</v>
      </c>
      <c r="D47" s="130"/>
      <c r="E47" s="686" t="s">
        <v>769</v>
      </c>
      <c r="F47" s="599"/>
    </row>
    <row r="48" spans="1:7" s="123" customFormat="1" x14ac:dyDescent="0.6">
      <c r="A48" s="599" t="s">
        <v>909</v>
      </c>
      <c r="B48" s="686" t="s">
        <v>804</v>
      </c>
      <c r="C48" s="599"/>
      <c r="D48" s="130"/>
      <c r="E48" s="686" t="s">
        <v>769</v>
      </c>
      <c r="F48" s="599"/>
    </row>
    <row r="49" spans="1:6" s="123" customFormat="1" x14ac:dyDescent="0.6">
      <c r="A49" s="599" t="s">
        <v>910</v>
      </c>
      <c r="B49" s="599">
        <v>169132489</v>
      </c>
      <c r="C49" s="599">
        <f>B49</f>
        <v>169132489</v>
      </c>
      <c r="D49" s="130"/>
      <c r="E49" s="686" t="s">
        <v>769</v>
      </c>
      <c r="F49" s="599"/>
    </row>
    <row r="50" spans="1:6" s="123" customFormat="1" x14ac:dyDescent="0.6">
      <c r="A50" s="599" t="s">
        <v>305</v>
      </c>
      <c r="B50" s="599">
        <v>6685699</v>
      </c>
      <c r="C50" s="599">
        <f>B50</f>
        <v>6685699</v>
      </c>
      <c r="D50" s="130"/>
      <c r="E50" s="686" t="s">
        <v>769</v>
      </c>
      <c r="F50" s="599"/>
    </row>
    <row r="51" spans="1:6" s="123" customFormat="1" x14ac:dyDescent="0.6">
      <c r="A51" s="599" t="s">
        <v>306</v>
      </c>
      <c r="B51" s="599">
        <v>6913523</v>
      </c>
      <c r="C51" s="599">
        <f>B51</f>
        <v>6913523</v>
      </c>
      <c r="D51" s="130"/>
      <c r="E51" s="686" t="s">
        <v>769</v>
      </c>
      <c r="F51" s="844"/>
    </row>
    <row r="52" spans="1:6" s="123" customFormat="1" ht="15.9" thickBot="1" x14ac:dyDescent="0.65">
      <c r="A52" s="124" t="s">
        <v>702</v>
      </c>
      <c r="B52" s="124">
        <v>1000000</v>
      </c>
      <c r="C52" s="124">
        <f>B52</f>
        <v>1000000</v>
      </c>
      <c r="D52" s="131"/>
      <c r="E52" s="686" t="s">
        <v>769</v>
      </c>
      <c r="F52" s="599"/>
    </row>
    <row r="53" spans="1:6" s="123" customFormat="1" ht="15.9" thickTop="1" x14ac:dyDescent="0.6">
      <c r="A53" s="1647" t="s">
        <v>8</v>
      </c>
      <c r="B53" s="723"/>
      <c r="C53" s="723">
        <f>C55</f>
        <v>0</v>
      </c>
      <c r="D53" s="724"/>
      <c r="E53" s="686"/>
      <c r="F53" s="595"/>
    </row>
    <row r="54" spans="1:6" s="123" customFormat="1" x14ac:dyDescent="0.6">
      <c r="A54" s="599" t="s">
        <v>911</v>
      </c>
      <c r="B54" s="686" t="s">
        <v>804</v>
      </c>
      <c r="C54" s="595"/>
      <c r="D54" s="726"/>
      <c r="E54" s="686" t="s">
        <v>769</v>
      </c>
      <c r="F54" s="595"/>
    </row>
    <row r="55" spans="1:6" s="123" customFormat="1" ht="15.9" thickBot="1" x14ac:dyDescent="0.65">
      <c r="A55" s="124" t="s">
        <v>912</v>
      </c>
      <c r="B55" s="598" t="s">
        <v>804</v>
      </c>
      <c r="C55" s="124"/>
      <c r="D55" s="131"/>
      <c r="E55" s="686"/>
      <c r="F55" s="599"/>
    </row>
    <row r="56" spans="1:6" s="123" customFormat="1" ht="15.9" thickTop="1" x14ac:dyDescent="0.6">
      <c r="A56" s="1647" t="s">
        <v>9</v>
      </c>
      <c r="B56" s="723">
        <f>SUM(B57:B60)</f>
        <v>58034204</v>
      </c>
      <c r="C56" s="723">
        <f t="shared" ref="C56:D56" si="3">SUM(C57:C60)</f>
        <v>58034204</v>
      </c>
      <c r="D56" s="723">
        <f t="shared" si="3"/>
        <v>0</v>
      </c>
      <c r="E56" s="686"/>
      <c r="F56" s="595"/>
    </row>
    <row r="57" spans="1:6" s="123" customFormat="1" x14ac:dyDescent="0.6">
      <c r="A57" s="599" t="s">
        <v>913</v>
      </c>
      <c r="B57" s="599">
        <v>52455660</v>
      </c>
      <c r="C57" s="599">
        <f>B57</f>
        <v>52455660</v>
      </c>
      <c r="D57" s="130"/>
      <c r="E57" s="686"/>
      <c r="F57" s="599"/>
    </row>
    <row r="58" spans="1:6" s="123" customFormat="1" x14ac:dyDescent="0.6">
      <c r="A58" s="599" t="s">
        <v>914</v>
      </c>
      <c r="B58" s="599">
        <v>0</v>
      </c>
      <c r="C58" s="599"/>
      <c r="D58" s="130"/>
      <c r="E58" s="686" t="s">
        <v>769</v>
      </c>
      <c r="F58" s="599"/>
    </row>
    <row r="59" spans="1:6" s="123" customFormat="1" x14ac:dyDescent="0.6">
      <c r="A59" s="599" t="s">
        <v>915</v>
      </c>
      <c r="B59" s="599">
        <v>1075238</v>
      </c>
      <c r="C59" s="599">
        <f>B59</f>
        <v>1075238</v>
      </c>
      <c r="D59" s="130"/>
      <c r="E59" s="686" t="s">
        <v>769</v>
      </c>
      <c r="F59" s="599"/>
    </row>
    <row r="60" spans="1:6" s="123" customFormat="1" ht="15.9" thickBot="1" x14ac:dyDescent="0.65">
      <c r="A60" s="124" t="s">
        <v>916</v>
      </c>
      <c r="B60" s="124">
        <v>4503306</v>
      </c>
      <c r="C60" s="124">
        <f>B60</f>
        <v>4503306</v>
      </c>
      <c r="D60" s="131"/>
      <c r="E60" s="686" t="s">
        <v>769</v>
      </c>
      <c r="F60" s="599"/>
    </row>
    <row r="61" spans="1:6" s="123" customFormat="1" ht="15.9" thickTop="1" x14ac:dyDescent="0.6">
      <c r="A61" s="1647" t="s">
        <v>10</v>
      </c>
      <c r="B61" s="723"/>
      <c r="C61" s="723">
        <f>C62</f>
        <v>0</v>
      </c>
      <c r="D61" s="724"/>
      <c r="E61" s="686"/>
      <c r="F61" s="595"/>
    </row>
    <row r="62" spans="1:6" s="123" customFormat="1" ht="15.9" thickBot="1" x14ac:dyDescent="0.65">
      <c r="A62" s="1059"/>
      <c r="B62" s="124"/>
      <c r="C62" s="124"/>
      <c r="D62" s="131"/>
      <c r="E62" s="686"/>
      <c r="F62" s="599"/>
    </row>
    <row r="63" spans="1:6" s="123" customFormat="1" ht="15.9" thickTop="1" x14ac:dyDescent="0.6">
      <c r="A63" s="1647" t="s">
        <v>11</v>
      </c>
      <c r="B63" s="723"/>
      <c r="C63" s="723">
        <f>C64</f>
        <v>0</v>
      </c>
      <c r="D63" s="724"/>
      <c r="E63" s="686"/>
      <c r="F63" s="595"/>
    </row>
    <row r="64" spans="1:6" s="123" customFormat="1" ht="15.9" thickBot="1" x14ac:dyDescent="0.65">
      <c r="A64" s="1059"/>
      <c r="B64" s="124"/>
      <c r="C64" s="124"/>
      <c r="D64" s="131"/>
      <c r="E64" s="686"/>
      <c r="F64" s="599"/>
    </row>
    <row r="65" spans="1:6" s="123" customFormat="1" ht="15.9" thickTop="1" x14ac:dyDescent="0.6">
      <c r="A65" s="1647" t="s">
        <v>12</v>
      </c>
      <c r="B65" s="723"/>
      <c r="C65" s="723">
        <f>C66</f>
        <v>0</v>
      </c>
      <c r="D65" s="724"/>
      <c r="E65" s="686"/>
      <c r="F65" s="595"/>
    </row>
    <row r="66" spans="1:6" s="123" customFormat="1" ht="15.9" thickBot="1" x14ac:dyDescent="0.65">
      <c r="A66" s="1059"/>
      <c r="B66" s="124"/>
      <c r="C66" s="124"/>
      <c r="D66" s="131"/>
      <c r="E66" s="686"/>
      <c r="F66" s="599"/>
    </row>
    <row r="67" spans="1:6" s="123" customFormat="1" ht="15.9" thickTop="1" x14ac:dyDescent="0.6">
      <c r="A67" s="1647" t="s">
        <v>13</v>
      </c>
      <c r="B67" s="723"/>
      <c r="C67" s="723">
        <f>C68</f>
        <v>0</v>
      </c>
      <c r="D67" s="724"/>
      <c r="E67" s="686"/>
      <c r="F67" s="595"/>
    </row>
    <row r="68" spans="1:6" s="123" customFormat="1" ht="15.9" thickBot="1" x14ac:dyDescent="0.65">
      <c r="A68" s="124" t="s">
        <v>917</v>
      </c>
      <c r="B68" s="598" t="s">
        <v>804</v>
      </c>
      <c r="C68" s="124"/>
      <c r="D68" s="131"/>
      <c r="E68" s="686" t="s">
        <v>769</v>
      </c>
      <c r="F68" s="599"/>
    </row>
    <row r="69" spans="1:6" s="123" customFormat="1" ht="15.9" thickTop="1" x14ac:dyDescent="0.6">
      <c r="A69" s="1647" t="s">
        <v>14</v>
      </c>
      <c r="B69" s="723"/>
      <c r="C69" s="723">
        <f>C70</f>
        <v>0</v>
      </c>
      <c r="D69" s="724"/>
      <c r="E69" s="686"/>
      <c r="F69" s="595"/>
    </row>
    <row r="70" spans="1:6" s="123" customFormat="1" ht="15.9" thickBot="1" x14ac:dyDescent="0.65">
      <c r="A70" s="1059"/>
      <c r="B70" s="124"/>
      <c r="C70" s="124"/>
      <c r="D70" s="131"/>
      <c r="E70" s="686"/>
      <c r="F70" s="599"/>
    </row>
    <row r="71" spans="1:6" s="123" customFormat="1" ht="15.9" thickTop="1" x14ac:dyDescent="0.6">
      <c r="A71" s="1647" t="s">
        <v>15</v>
      </c>
      <c r="B71" s="723">
        <f>B72</f>
        <v>258044</v>
      </c>
      <c r="C71" s="723">
        <f>C72</f>
        <v>258044</v>
      </c>
      <c r="D71" s="724"/>
      <c r="E71" s="686"/>
      <c r="F71" s="595"/>
    </row>
    <row r="72" spans="1:6" s="123" customFormat="1" ht="15.9" thickBot="1" x14ac:dyDescent="0.65">
      <c r="A72" s="124" t="s">
        <v>918</v>
      </c>
      <c r="B72" s="124">
        <v>258044</v>
      </c>
      <c r="C72" s="124">
        <f>B72</f>
        <v>258044</v>
      </c>
      <c r="D72" s="131"/>
      <c r="E72" s="686" t="s">
        <v>769</v>
      </c>
      <c r="F72" s="599"/>
    </row>
    <row r="73" spans="1:6" s="123" customFormat="1" ht="15.9" thickTop="1" x14ac:dyDescent="0.6">
      <c r="A73" s="1647" t="s">
        <v>16</v>
      </c>
      <c r="B73" s="723">
        <f>B74+B75</f>
        <v>183632</v>
      </c>
      <c r="C73" s="723">
        <f>C74+C75</f>
        <v>183632</v>
      </c>
      <c r="D73" s="724"/>
      <c r="E73" s="686"/>
      <c r="F73" s="595"/>
    </row>
    <row r="74" spans="1:6" s="123" customFormat="1" x14ac:dyDescent="0.6">
      <c r="A74" s="599" t="s">
        <v>342</v>
      </c>
      <c r="B74" s="599">
        <v>117673</v>
      </c>
      <c r="C74" s="599">
        <f>B74</f>
        <v>117673</v>
      </c>
      <c r="D74" s="130"/>
      <c r="E74" s="686" t="s">
        <v>769</v>
      </c>
      <c r="F74" s="599"/>
    </row>
    <row r="75" spans="1:6" s="123" customFormat="1" ht="15.9" thickBot="1" x14ac:dyDescent="0.65">
      <c r="A75" s="124" t="s">
        <v>703</v>
      </c>
      <c r="B75" s="124">
        <v>65959</v>
      </c>
      <c r="C75" s="124">
        <f>B75</f>
        <v>65959</v>
      </c>
      <c r="D75" s="131"/>
      <c r="E75" s="686" t="s">
        <v>769</v>
      </c>
      <c r="F75" s="599"/>
    </row>
    <row r="76" spans="1:6" s="123" customFormat="1" ht="15.9" thickTop="1" x14ac:dyDescent="0.6">
      <c r="A76" s="1647" t="s">
        <v>17</v>
      </c>
      <c r="B76" s="723"/>
      <c r="C76" s="723">
        <f>C77</f>
        <v>0</v>
      </c>
      <c r="D76" s="724"/>
      <c r="E76" s="686"/>
      <c r="F76" s="595"/>
    </row>
    <row r="77" spans="1:6" s="123" customFormat="1" ht="15.9" thickBot="1" x14ac:dyDescent="0.65">
      <c r="A77" s="1059"/>
      <c r="B77" s="124"/>
      <c r="C77" s="124"/>
      <c r="D77" s="131"/>
      <c r="E77" s="686"/>
      <c r="F77" s="599"/>
    </row>
    <row r="78" spans="1:6" s="123" customFormat="1" ht="15.9" thickTop="1" x14ac:dyDescent="0.6">
      <c r="A78" s="1647" t="s">
        <v>18</v>
      </c>
      <c r="B78" s="723"/>
      <c r="C78" s="723">
        <f>C79</f>
        <v>0</v>
      </c>
      <c r="D78" s="724"/>
      <c r="E78" s="686"/>
      <c r="F78" s="595"/>
    </row>
    <row r="79" spans="1:6" s="123" customFormat="1" ht="15.9" thickBot="1" x14ac:dyDescent="0.65">
      <c r="A79" s="1059"/>
      <c r="B79" s="124"/>
      <c r="C79" s="124"/>
      <c r="D79" s="131"/>
      <c r="E79" s="686"/>
      <c r="F79" s="599"/>
    </row>
    <row r="80" spans="1:6" s="123" customFormat="1" ht="15.9" thickTop="1" x14ac:dyDescent="0.6">
      <c r="A80" s="1647" t="s">
        <v>19</v>
      </c>
      <c r="B80" s="723"/>
      <c r="C80" s="723">
        <f>C81</f>
        <v>0</v>
      </c>
      <c r="D80" s="724"/>
      <c r="E80" s="686"/>
      <c r="F80" s="595"/>
    </row>
    <row r="81" spans="1:6" s="123" customFormat="1" ht="15.9" thickBot="1" x14ac:dyDescent="0.65">
      <c r="A81" s="1059"/>
      <c r="B81" s="124"/>
      <c r="C81" s="124"/>
      <c r="D81" s="131"/>
      <c r="E81" s="686"/>
      <c r="F81" s="599"/>
    </row>
    <row r="82" spans="1:6" s="123" customFormat="1" ht="15.9" thickTop="1" x14ac:dyDescent="0.6">
      <c r="A82" s="1647" t="s">
        <v>20</v>
      </c>
      <c r="B82" s="723"/>
      <c r="C82" s="723">
        <f>C83</f>
        <v>0</v>
      </c>
      <c r="D82" s="724"/>
      <c r="E82" s="686"/>
      <c r="F82" s="595"/>
    </row>
    <row r="83" spans="1:6" s="123" customFormat="1" ht="15.9" thickBot="1" x14ac:dyDescent="0.65">
      <c r="A83" s="1059"/>
      <c r="B83" s="124"/>
      <c r="C83" s="124"/>
      <c r="D83" s="131"/>
      <c r="E83" s="686"/>
      <c r="F83" s="599"/>
    </row>
    <row r="84" spans="1:6" ht="15.9" thickTop="1" x14ac:dyDescent="0.6">
      <c r="A84" s="1646" t="s">
        <v>38</v>
      </c>
      <c r="B84" s="727">
        <f>SUM(B85:B97)</f>
        <v>222757492</v>
      </c>
      <c r="C84" s="727">
        <f>SUM(C85:C97)</f>
        <v>222757492</v>
      </c>
      <c r="D84" s="728"/>
      <c r="E84" s="838"/>
      <c r="F84" s="1565"/>
    </row>
    <row r="85" spans="1:6" x14ac:dyDescent="0.6">
      <c r="A85" s="118" t="s">
        <v>919</v>
      </c>
      <c r="B85" s="70">
        <v>89240036</v>
      </c>
      <c r="C85" s="70">
        <f>B85</f>
        <v>89240036</v>
      </c>
      <c r="D85" s="607"/>
      <c r="E85" s="838" t="s">
        <v>769</v>
      </c>
      <c r="F85" s="593"/>
    </row>
    <row r="86" spans="1:6" x14ac:dyDescent="0.6">
      <c r="A86" s="118" t="s">
        <v>920</v>
      </c>
      <c r="B86" s="114" t="s">
        <v>804</v>
      </c>
      <c r="D86" s="607"/>
      <c r="E86" s="838" t="s">
        <v>769</v>
      </c>
      <c r="F86" s="593"/>
    </row>
    <row r="87" spans="1:6" x14ac:dyDescent="0.6">
      <c r="A87" s="85" t="s">
        <v>266</v>
      </c>
      <c r="B87" s="70">
        <v>17794590</v>
      </c>
      <c r="C87" s="70">
        <f t="shared" ref="C87:C94" si="4">B87</f>
        <v>17794590</v>
      </c>
      <c r="D87" s="607"/>
      <c r="E87" s="838" t="s">
        <v>769</v>
      </c>
      <c r="F87" s="593"/>
    </row>
    <row r="88" spans="1:6" x14ac:dyDescent="0.6">
      <c r="A88" s="85" t="s">
        <v>267</v>
      </c>
      <c r="B88" s="70">
        <v>3600000</v>
      </c>
      <c r="C88" s="70">
        <f t="shared" si="4"/>
        <v>3600000</v>
      </c>
      <c r="D88" s="607"/>
      <c r="E88" s="838" t="s">
        <v>769</v>
      </c>
      <c r="F88" s="593"/>
    </row>
    <row r="89" spans="1:6" x14ac:dyDescent="0.6">
      <c r="A89" s="85" t="s">
        <v>269</v>
      </c>
      <c r="B89" s="70">
        <v>800000</v>
      </c>
      <c r="C89" s="70">
        <f t="shared" si="4"/>
        <v>800000</v>
      </c>
      <c r="D89" s="607"/>
      <c r="E89" s="838" t="s">
        <v>769</v>
      </c>
      <c r="F89" s="593"/>
    </row>
    <row r="90" spans="1:6" x14ac:dyDescent="0.6">
      <c r="A90" s="85" t="s">
        <v>273</v>
      </c>
      <c r="B90" s="70">
        <v>3000000</v>
      </c>
      <c r="C90" s="70">
        <f t="shared" si="4"/>
        <v>3000000</v>
      </c>
      <c r="D90" s="607"/>
      <c r="E90" s="838" t="s">
        <v>769</v>
      </c>
      <c r="F90" s="593"/>
    </row>
    <row r="91" spans="1:6" x14ac:dyDescent="0.6">
      <c r="A91" s="85" t="s">
        <v>921</v>
      </c>
      <c r="B91" s="114" t="s">
        <v>804</v>
      </c>
      <c r="D91" s="607"/>
      <c r="E91" s="838" t="s">
        <v>769</v>
      </c>
      <c r="F91" s="593"/>
    </row>
    <row r="92" spans="1:6" x14ac:dyDescent="0.6">
      <c r="A92" s="85" t="s">
        <v>275</v>
      </c>
      <c r="B92" s="70">
        <v>300661</v>
      </c>
      <c r="C92" s="70">
        <f t="shared" si="4"/>
        <v>300661</v>
      </c>
      <c r="D92" s="607"/>
      <c r="E92" s="838" t="s">
        <v>769</v>
      </c>
      <c r="F92" s="593"/>
    </row>
    <row r="93" spans="1:6" x14ac:dyDescent="0.6">
      <c r="A93" s="85" t="s">
        <v>276</v>
      </c>
      <c r="B93" s="70">
        <v>108000000</v>
      </c>
      <c r="C93" s="70">
        <f t="shared" si="4"/>
        <v>108000000</v>
      </c>
      <c r="D93" s="607"/>
      <c r="E93" s="838" t="s">
        <v>769</v>
      </c>
      <c r="F93" s="593"/>
    </row>
    <row r="94" spans="1:6" x14ac:dyDescent="0.6">
      <c r="A94" s="85" t="s">
        <v>281</v>
      </c>
      <c r="B94" s="70">
        <v>22205</v>
      </c>
      <c r="C94" s="70">
        <f t="shared" si="4"/>
        <v>22205</v>
      </c>
      <c r="D94" s="607"/>
      <c r="E94" s="838" t="s">
        <v>769</v>
      </c>
      <c r="F94" s="593"/>
    </row>
    <row r="95" spans="1:6" x14ac:dyDescent="0.6">
      <c r="A95" s="85" t="s">
        <v>360</v>
      </c>
      <c r="B95" s="114" t="s">
        <v>804</v>
      </c>
      <c r="C95" s="244"/>
      <c r="D95" s="607"/>
      <c r="E95" s="838" t="s">
        <v>769</v>
      </c>
      <c r="F95" s="593"/>
    </row>
    <row r="96" spans="1:6" x14ac:dyDescent="0.6">
      <c r="A96" s="85" t="s">
        <v>361</v>
      </c>
      <c r="B96" s="114" t="s">
        <v>804</v>
      </c>
      <c r="C96" s="244"/>
      <c r="D96" s="607"/>
      <c r="E96" s="838" t="s">
        <v>769</v>
      </c>
      <c r="F96" s="593"/>
    </row>
    <row r="97" spans="1:6" ht="15.9" thickBot="1" x14ac:dyDescent="0.65">
      <c r="A97" s="99" t="s">
        <v>362</v>
      </c>
      <c r="B97" s="594" t="s">
        <v>804</v>
      </c>
      <c r="C97" s="623"/>
      <c r="D97" s="624"/>
      <c r="E97" s="838" t="s">
        <v>769</v>
      </c>
      <c r="F97" s="593"/>
    </row>
    <row r="98" spans="1:6" s="123" customFormat="1" ht="15.9" thickTop="1" x14ac:dyDescent="0.6">
      <c r="A98" s="1647" t="s">
        <v>39</v>
      </c>
      <c r="B98" s="729">
        <f>SUM(B99:B100)</f>
        <v>66395620</v>
      </c>
      <c r="C98" s="729">
        <f>SUM(C99:C100)</f>
        <v>66395620</v>
      </c>
      <c r="D98" s="729">
        <f>SUM(D99:D100)</f>
        <v>0</v>
      </c>
      <c r="E98" s="1063"/>
      <c r="F98" s="1062"/>
    </row>
    <row r="99" spans="1:6" s="123" customFormat="1" x14ac:dyDescent="0.6">
      <c r="A99" s="599" t="s">
        <v>922</v>
      </c>
      <c r="B99" s="1063" t="s">
        <v>804</v>
      </c>
      <c r="C99" s="1062"/>
      <c r="D99" s="726"/>
      <c r="E99" s="686" t="s">
        <v>769</v>
      </c>
      <c r="F99" s="595"/>
    </row>
    <row r="100" spans="1:6" s="145" customFormat="1" ht="15.9" thickBot="1" x14ac:dyDescent="0.65">
      <c r="A100" s="147" t="s">
        <v>923</v>
      </c>
      <c r="B100" s="147">
        <v>66395620</v>
      </c>
      <c r="C100" s="147">
        <f>B100</f>
        <v>66395620</v>
      </c>
      <c r="D100" s="148"/>
      <c r="E100" s="1063" t="s">
        <v>769</v>
      </c>
      <c r="F100" s="600"/>
    </row>
    <row r="101" spans="1:6" s="123" customFormat="1" ht="15.9" thickTop="1" x14ac:dyDescent="0.6">
      <c r="A101" s="1647" t="s">
        <v>40</v>
      </c>
      <c r="B101" s="730">
        <f>SUM(B102:B108)</f>
        <v>285258122</v>
      </c>
      <c r="C101" s="730">
        <f>SUM(C102:C108)</f>
        <v>285258122</v>
      </c>
      <c r="D101" s="731"/>
      <c r="E101" s="1406"/>
      <c r="F101" s="1566"/>
    </row>
    <row r="102" spans="1:6" s="123" customFormat="1" x14ac:dyDescent="0.6">
      <c r="A102" s="599" t="s">
        <v>924</v>
      </c>
      <c r="B102" s="601">
        <v>13000</v>
      </c>
      <c r="C102" s="601">
        <f>B102</f>
        <v>13000</v>
      </c>
      <c r="D102" s="602"/>
      <c r="E102" s="1406" t="s">
        <v>769</v>
      </c>
      <c r="F102" s="601"/>
    </row>
    <row r="103" spans="1:6" s="123" customFormat="1" x14ac:dyDescent="0.6">
      <c r="A103" s="599" t="s">
        <v>925</v>
      </c>
      <c r="B103" s="601">
        <v>13891000</v>
      </c>
      <c r="C103" s="601">
        <f t="shared" ref="C103:C107" si="5">B103</f>
        <v>13891000</v>
      </c>
      <c r="D103" s="602"/>
      <c r="E103" s="1406" t="s">
        <v>769</v>
      </c>
      <c r="F103" s="601"/>
    </row>
    <row r="104" spans="1:6" s="123" customFormat="1" x14ac:dyDescent="0.6">
      <c r="A104" s="599" t="s">
        <v>926</v>
      </c>
      <c r="B104" s="601">
        <v>26000</v>
      </c>
      <c r="C104" s="601">
        <f t="shared" si="5"/>
        <v>26000</v>
      </c>
      <c r="D104" s="602"/>
      <c r="E104" s="1406" t="s">
        <v>769</v>
      </c>
      <c r="F104" s="601"/>
    </row>
    <row r="105" spans="1:6" s="123" customFormat="1" x14ac:dyDescent="0.6">
      <c r="A105" s="599" t="s">
        <v>927</v>
      </c>
      <c r="B105" s="601">
        <v>3788347</v>
      </c>
      <c r="C105" s="601">
        <f t="shared" si="5"/>
        <v>3788347</v>
      </c>
      <c r="D105" s="602"/>
      <c r="E105" s="1406" t="s">
        <v>769</v>
      </c>
      <c r="F105" s="601"/>
    </row>
    <row r="106" spans="1:6" s="123" customFormat="1" x14ac:dyDescent="0.6">
      <c r="A106" s="599" t="s">
        <v>928</v>
      </c>
      <c r="B106" s="601">
        <v>3354014</v>
      </c>
      <c r="C106" s="601">
        <f t="shared" si="5"/>
        <v>3354014</v>
      </c>
      <c r="D106" s="602"/>
      <c r="E106" s="1406" t="s">
        <v>769</v>
      </c>
      <c r="F106" s="601"/>
    </row>
    <row r="107" spans="1:6" s="123" customFormat="1" x14ac:dyDescent="0.6">
      <c r="A107" s="599" t="s">
        <v>929</v>
      </c>
      <c r="B107" s="601">
        <v>157015</v>
      </c>
      <c r="C107" s="601">
        <f t="shared" si="5"/>
        <v>157015</v>
      </c>
      <c r="D107" s="602"/>
      <c r="E107" s="1406" t="s">
        <v>769</v>
      </c>
      <c r="F107" s="601"/>
    </row>
    <row r="108" spans="1:6" s="123" customFormat="1" ht="15.9" thickBot="1" x14ac:dyDescent="0.65">
      <c r="A108" s="124" t="s">
        <v>930</v>
      </c>
      <c r="B108" s="603">
        <v>264028746</v>
      </c>
      <c r="C108" s="603">
        <f>B108</f>
        <v>264028746</v>
      </c>
      <c r="D108" s="604"/>
      <c r="E108" s="1406" t="s">
        <v>769</v>
      </c>
      <c r="F108" s="601"/>
    </row>
    <row r="109" spans="1:6" s="123" customFormat="1" ht="15.9" thickTop="1" x14ac:dyDescent="0.6">
      <c r="A109" s="1647" t="s">
        <v>31</v>
      </c>
      <c r="B109" s="1064">
        <f>SUM(B110:B115)</f>
        <v>8473054264</v>
      </c>
      <c r="C109" s="1064">
        <f t="shared" ref="C109:D109" si="6">SUM(C110:C115)</f>
        <v>8473054264</v>
      </c>
      <c r="D109" s="1064">
        <f t="shared" si="6"/>
        <v>0</v>
      </c>
      <c r="E109" s="1572"/>
      <c r="F109" s="1567"/>
    </row>
    <row r="110" spans="1:6" s="123" customFormat="1" x14ac:dyDescent="0.6">
      <c r="A110" s="599" t="s">
        <v>931</v>
      </c>
      <c r="B110" s="1065" t="s">
        <v>804</v>
      </c>
      <c r="C110" s="694"/>
      <c r="D110" s="696"/>
      <c r="E110" s="1065"/>
      <c r="F110" s="694"/>
    </row>
    <row r="111" spans="1:6" s="123" customFormat="1" x14ac:dyDescent="0.6">
      <c r="A111" s="599" t="s">
        <v>932</v>
      </c>
      <c r="B111" s="694">
        <v>1792394231</v>
      </c>
      <c r="C111" s="694">
        <f>B111</f>
        <v>1792394231</v>
      </c>
      <c r="D111" s="696"/>
      <c r="E111" s="1065"/>
      <c r="F111" s="694"/>
    </row>
    <row r="112" spans="1:6" s="123" customFormat="1" x14ac:dyDescent="0.6">
      <c r="A112" s="599" t="s">
        <v>933</v>
      </c>
      <c r="B112" s="694">
        <v>226518595</v>
      </c>
      <c r="C112" s="694">
        <f>B112</f>
        <v>226518595</v>
      </c>
      <c r="D112" s="696"/>
      <c r="E112" s="1065"/>
      <c r="F112" s="694"/>
    </row>
    <row r="113" spans="1:6" s="123" customFormat="1" x14ac:dyDescent="0.6">
      <c r="A113" s="599" t="s">
        <v>934</v>
      </c>
      <c r="B113" s="694">
        <v>2093000000</v>
      </c>
      <c r="C113" s="694">
        <f t="shared" ref="C113:C114" si="7">B113</f>
        <v>2093000000</v>
      </c>
      <c r="D113" s="696"/>
      <c r="E113" s="1065"/>
      <c r="F113" s="694"/>
    </row>
    <row r="114" spans="1:6" s="123" customFormat="1" x14ac:dyDescent="0.6">
      <c r="A114" s="599" t="s">
        <v>935</v>
      </c>
      <c r="B114" s="694">
        <v>4361141438</v>
      </c>
      <c r="C114" s="694">
        <f t="shared" si="7"/>
        <v>4361141438</v>
      </c>
      <c r="D114" s="696"/>
      <c r="E114" s="1065"/>
      <c r="F114" s="694"/>
    </row>
    <row r="115" spans="1:6" s="123" customFormat="1" ht="15.9" thickBot="1" x14ac:dyDescent="0.65">
      <c r="A115" s="124" t="s">
        <v>936</v>
      </c>
      <c r="B115" s="1066" t="s">
        <v>804</v>
      </c>
      <c r="C115" s="698"/>
      <c r="D115" s="700"/>
      <c r="E115" s="1065"/>
      <c r="F115" s="694"/>
    </row>
    <row r="116" spans="1:6" s="123" customFormat="1" ht="15.9" thickTop="1" x14ac:dyDescent="0.6">
      <c r="A116" s="1647" t="s">
        <v>47</v>
      </c>
      <c r="B116" s="732">
        <f>SUM(B117:B118)</f>
        <v>167251000000</v>
      </c>
      <c r="C116" s="732">
        <f>SUM(C117:C118)</f>
        <v>167251000000</v>
      </c>
      <c r="D116" s="733"/>
      <c r="E116" s="1090"/>
      <c r="F116" s="1568"/>
    </row>
    <row r="117" spans="1:6" s="123" customFormat="1" x14ac:dyDescent="0.6">
      <c r="A117" s="599" t="s">
        <v>704</v>
      </c>
      <c r="B117" s="605">
        <v>69751000000</v>
      </c>
      <c r="C117" s="605">
        <f>B117</f>
        <v>69751000000</v>
      </c>
      <c r="D117" s="606"/>
      <c r="E117" s="1090" t="s">
        <v>769</v>
      </c>
      <c r="F117" s="605"/>
    </row>
    <row r="118" spans="1:6" s="123" customFormat="1" ht="15.9" thickBot="1" x14ac:dyDescent="0.65">
      <c r="A118" s="124" t="s">
        <v>705</v>
      </c>
      <c r="B118" s="625">
        <v>97500000000</v>
      </c>
      <c r="C118" s="625">
        <f>B118</f>
        <v>97500000000</v>
      </c>
      <c r="D118" s="626"/>
      <c r="E118" s="1090" t="s">
        <v>769</v>
      </c>
      <c r="F118" s="605"/>
    </row>
    <row r="119" spans="1:6" s="123" customFormat="1" ht="15.9" thickTop="1" x14ac:dyDescent="0.6">
      <c r="A119" s="1647" t="s">
        <v>32</v>
      </c>
      <c r="B119" s="723">
        <f>SUM(B120:B128)</f>
        <v>0</v>
      </c>
      <c r="C119" s="723">
        <f t="shared" ref="C119:D119" si="8">SUM(C120:C128)</f>
        <v>0</v>
      </c>
      <c r="D119" s="723">
        <f t="shared" si="8"/>
        <v>0</v>
      </c>
      <c r="E119" s="686"/>
      <c r="F119" s="595"/>
    </row>
    <row r="120" spans="1:6" s="123" customFormat="1" x14ac:dyDescent="0.6">
      <c r="A120" s="599" t="s">
        <v>937</v>
      </c>
      <c r="B120" s="686" t="s">
        <v>804</v>
      </c>
      <c r="C120" s="599"/>
      <c r="D120" s="130"/>
      <c r="E120" s="686"/>
      <c r="F120" s="599"/>
    </row>
    <row r="121" spans="1:6" s="123" customFormat="1" x14ac:dyDescent="0.6">
      <c r="A121" s="599" t="s">
        <v>938</v>
      </c>
      <c r="B121" s="686" t="s">
        <v>804</v>
      </c>
      <c r="C121" s="599"/>
      <c r="D121" s="130"/>
      <c r="E121" s="686"/>
      <c r="F121" s="599"/>
    </row>
    <row r="122" spans="1:6" s="123" customFormat="1" x14ac:dyDescent="0.6">
      <c r="A122" s="599" t="s">
        <v>939</v>
      </c>
      <c r="B122" s="686" t="s">
        <v>804</v>
      </c>
      <c r="C122" s="599"/>
      <c r="D122" s="130"/>
      <c r="E122" s="686"/>
      <c r="F122" s="599"/>
    </row>
    <row r="123" spans="1:6" s="123" customFormat="1" x14ac:dyDescent="0.6">
      <c r="A123" s="599" t="s">
        <v>940</v>
      </c>
      <c r="B123" s="686" t="s">
        <v>804</v>
      </c>
      <c r="C123" s="599"/>
      <c r="D123" s="130"/>
      <c r="E123" s="686"/>
      <c r="F123" s="599"/>
    </row>
    <row r="124" spans="1:6" s="123" customFormat="1" x14ac:dyDescent="0.6">
      <c r="A124" s="599" t="s">
        <v>941</v>
      </c>
      <c r="B124" s="686" t="s">
        <v>804</v>
      </c>
      <c r="C124" s="599"/>
      <c r="D124" s="130"/>
      <c r="E124" s="686"/>
      <c r="F124" s="599"/>
    </row>
    <row r="125" spans="1:6" s="123" customFormat="1" x14ac:dyDescent="0.6">
      <c r="A125" s="599" t="s">
        <v>942</v>
      </c>
      <c r="B125" s="686" t="s">
        <v>804</v>
      </c>
      <c r="C125" s="599"/>
      <c r="D125" s="130"/>
      <c r="E125" s="686"/>
      <c r="F125" s="599"/>
    </row>
    <row r="126" spans="1:6" s="123" customFormat="1" x14ac:dyDescent="0.6">
      <c r="A126" s="599" t="s">
        <v>943</v>
      </c>
      <c r="B126" s="686" t="s">
        <v>804</v>
      </c>
      <c r="C126" s="599"/>
      <c r="D126" s="130"/>
      <c r="E126" s="686"/>
      <c r="F126" s="599"/>
    </row>
    <row r="127" spans="1:6" s="123" customFormat="1" x14ac:dyDescent="0.6">
      <c r="A127" s="599" t="s">
        <v>944</v>
      </c>
      <c r="B127" s="686" t="s">
        <v>804</v>
      </c>
      <c r="C127" s="599"/>
      <c r="D127" s="130"/>
      <c r="E127" s="686"/>
      <c r="F127" s="599"/>
    </row>
    <row r="128" spans="1:6" s="123" customFormat="1" ht="15.9" thickBot="1" x14ac:dyDescent="0.65">
      <c r="A128" s="124" t="s">
        <v>945</v>
      </c>
      <c r="B128" s="598" t="s">
        <v>804</v>
      </c>
      <c r="C128" s="124"/>
      <c r="D128" s="131"/>
      <c r="E128" s="686"/>
      <c r="F128" s="599"/>
    </row>
    <row r="129" spans="1:10" s="123" customFormat="1" ht="15.9" thickTop="1" x14ac:dyDescent="0.6">
      <c r="A129" s="1647" t="s">
        <v>33</v>
      </c>
      <c r="B129" s="727">
        <f>SUM(B130:B130)</f>
        <v>0</v>
      </c>
      <c r="C129" s="727">
        <f>SUM(C130:C130)</f>
        <v>0</v>
      </c>
      <c r="D129" s="728"/>
      <c r="E129" s="838"/>
      <c r="F129" s="1565"/>
    </row>
    <row r="130" spans="1:10" s="123" customFormat="1" ht="15.9" thickBot="1" x14ac:dyDescent="0.65">
      <c r="A130" s="124"/>
      <c r="B130" s="108"/>
      <c r="C130" s="108">
        <f>B130</f>
        <v>0</v>
      </c>
      <c r="D130" s="624"/>
      <c r="E130" s="1593"/>
      <c r="F130" s="108"/>
      <c r="G130" s="124"/>
      <c r="H130" s="124"/>
    </row>
    <row r="131" spans="1:10" s="123" customFormat="1" ht="15.9" thickTop="1" x14ac:dyDescent="0.6">
      <c r="A131" s="1647" t="s">
        <v>948</v>
      </c>
      <c r="B131" s="734">
        <f>B134</f>
        <v>13031100000</v>
      </c>
      <c r="C131" s="734">
        <f>C134</f>
        <v>13031100000</v>
      </c>
      <c r="D131" s="735"/>
      <c r="E131" s="774"/>
      <c r="J131" s="21"/>
    </row>
    <row r="132" spans="1:10" s="123" customFormat="1" x14ac:dyDescent="0.6">
      <c r="A132" s="599" t="s">
        <v>947</v>
      </c>
      <c r="B132" s="774" t="s">
        <v>804</v>
      </c>
      <c r="C132" s="608"/>
      <c r="D132" s="609"/>
      <c r="E132" s="774"/>
      <c r="F132" s="1594" t="s">
        <v>78</v>
      </c>
      <c r="G132" s="69"/>
    </row>
    <row r="133" spans="1:10" s="123" customFormat="1" x14ac:dyDescent="0.6">
      <c r="A133" s="599" t="s">
        <v>946</v>
      </c>
      <c r="B133" s="774" t="s">
        <v>804</v>
      </c>
      <c r="C133" s="608"/>
      <c r="D133" s="609"/>
      <c r="E133" s="774"/>
      <c r="F133" s="593" t="s">
        <v>42</v>
      </c>
      <c r="G133" s="1">
        <v>8</v>
      </c>
    </row>
    <row r="134" spans="1:10" s="145" customFormat="1" ht="15.9" thickBot="1" x14ac:dyDescent="0.65">
      <c r="A134" s="147" t="s">
        <v>706</v>
      </c>
      <c r="B134" s="627">
        <v>13031100000</v>
      </c>
      <c r="C134" s="627">
        <f>B134</f>
        <v>13031100000</v>
      </c>
      <c r="D134" s="610"/>
      <c r="E134" s="774"/>
      <c r="F134" s="593" t="s">
        <v>802</v>
      </c>
      <c r="G134" s="1">
        <v>5</v>
      </c>
    </row>
    <row r="135" spans="1:10" s="123" customFormat="1" ht="15.9" thickTop="1" x14ac:dyDescent="0.6">
      <c r="A135" s="1647" t="s">
        <v>949</v>
      </c>
      <c r="B135" s="736">
        <v>0</v>
      </c>
      <c r="C135" s="737">
        <f>C136</f>
        <v>0</v>
      </c>
      <c r="D135" s="738"/>
      <c r="E135" s="614"/>
      <c r="F135" s="593" t="s">
        <v>1732</v>
      </c>
      <c r="G135" s="1">
        <v>2</v>
      </c>
    </row>
    <row r="136" spans="1:10" s="145" customFormat="1" ht="15.9" thickBot="1" x14ac:dyDescent="0.65">
      <c r="A136" s="147" t="s">
        <v>406</v>
      </c>
      <c r="B136" s="628" t="s">
        <v>804</v>
      </c>
      <c r="C136" s="629"/>
      <c r="D136" s="613"/>
      <c r="E136" s="614"/>
      <c r="F136" s="593" t="s">
        <v>239</v>
      </c>
      <c r="G136" s="1"/>
    </row>
    <row r="137" spans="1:10" s="123" customFormat="1" ht="15.9" thickTop="1" x14ac:dyDescent="0.6">
      <c r="A137" s="1647" t="s">
        <v>50</v>
      </c>
      <c r="B137" s="739">
        <f>SUM(B138:B139)</f>
        <v>17067158682</v>
      </c>
      <c r="C137" s="739">
        <f>SUM(C138:C139)</f>
        <v>17067158682</v>
      </c>
      <c r="D137" s="740"/>
      <c r="E137" s="1326"/>
      <c r="F137" s="1571"/>
    </row>
    <row r="138" spans="1:10" s="123" customFormat="1" x14ac:dyDescent="0.6">
      <c r="A138" s="599" t="s">
        <v>257</v>
      </c>
      <c r="B138" s="615">
        <v>2035458682</v>
      </c>
      <c r="C138" s="615">
        <f>B138</f>
        <v>2035458682</v>
      </c>
      <c r="D138" s="150"/>
      <c r="E138" s="1326" t="s">
        <v>769</v>
      </c>
      <c r="F138" s="615"/>
    </row>
    <row r="139" spans="1:10" s="123" customFormat="1" ht="15.9" thickBot="1" x14ac:dyDescent="0.65">
      <c r="A139" s="124" t="s">
        <v>259</v>
      </c>
      <c r="B139" s="151">
        <v>15031700000</v>
      </c>
      <c r="C139" s="151">
        <f>B139</f>
        <v>15031700000</v>
      </c>
      <c r="D139" s="152"/>
      <c r="E139" s="1326" t="s">
        <v>769</v>
      </c>
      <c r="F139" s="615"/>
    </row>
    <row r="140" spans="1:10" s="123" customFormat="1" ht="15.9" thickTop="1" x14ac:dyDescent="0.6">
      <c r="A140" s="1647" t="s">
        <v>51</v>
      </c>
      <c r="B140" s="723"/>
      <c r="C140" s="723">
        <f>C142</f>
        <v>0</v>
      </c>
      <c r="D140" s="724"/>
      <c r="E140" s="686"/>
      <c r="F140" s="595"/>
    </row>
    <row r="141" spans="1:10" s="123" customFormat="1" x14ac:dyDescent="0.6">
      <c r="A141" s="599" t="s">
        <v>950</v>
      </c>
      <c r="B141" s="686" t="s">
        <v>804</v>
      </c>
      <c r="C141" s="599"/>
      <c r="D141" s="130"/>
      <c r="E141" s="686"/>
      <c r="F141" s="599"/>
    </row>
    <row r="142" spans="1:10" s="123" customFormat="1" ht="15.9" thickBot="1" x14ac:dyDescent="0.65">
      <c r="A142" s="124" t="s">
        <v>951</v>
      </c>
      <c r="B142" s="598" t="s">
        <v>804</v>
      </c>
      <c r="C142" s="124"/>
      <c r="D142" s="131"/>
      <c r="E142" s="686"/>
      <c r="F142" s="599"/>
    </row>
    <row r="143" spans="1:10" ht="15.9" thickTop="1" x14ac:dyDescent="0.6">
      <c r="A143" s="78"/>
      <c r="B143" s="85"/>
      <c r="C143" s="85"/>
      <c r="D143" s="85"/>
      <c r="E143" s="60"/>
      <c r="F143" s="85"/>
    </row>
    <row r="144" spans="1:10" x14ac:dyDescent="0.6">
      <c r="A144" s="1370" t="s">
        <v>1451</v>
      </c>
      <c r="B144" s="13">
        <f>COUNTIF(B3:B142,"=ND")</f>
        <v>37</v>
      </c>
      <c r="C144" s="70">
        <f>COUNTBLANK(B129)</f>
        <v>0</v>
      </c>
    </row>
    <row r="145" spans="1:6" x14ac:dyDescent="0.6">
      <c r="A145" s="1370" t="s">
        <v>1454</v>
      </c>
      <c r="B145" s="13">
        <f>COUNT(B3:B142)</f>
        <v>76</v>
      </c>
    </row>
    <row r="146" spans="1:6" x14ac:dyDescent="0.6">
      <c r="A146" s="1370" t="s">
        <v>1452</v>
      </c>
      <c r="B146" s="13">
        <f>COUNTBLANK(B3:B142)</f>
        <v>27</v>
      </c>
    </row>
    <row r="147" spans="1:6" x14ac:dyDescent="0.6">
      <c r="A147" s="1370" t="s">
        <v>1453</v>
      </c>
      <c r="B147" s="13"/>
      <c r="C147" s="1"/>
      <c r="D147" s="1"/>
      <c r="E147" s="60"/>
      <c r="F147" s="1"/>
    </row>
    <row r="148" spans="1:6" x14ac:dyDescent="0.6">
      <c r="A148" s="1370" t="s">
        <v>42</v>
      </c>
      <c r="B148" s="13">
        <f>SUM(B144:B147)</f>
        <v>140</v>
      </c>
      <c r="C148" s="1"/>
      <c r="D148" s="1"/>
      <c r="E148" s="60"/>
      <c r="F148" s="1"/>
    </row>
    <row r="149" spans="1:6" x14ac:dyDescent="0.6">
      <c r="A149" s="1370" t="s">
        <v>1456</v>
      </c>
      <c r="B149" s="13">
        <v>140</v>
      </c>
      <c r="C149" s="1"/>
      <c r="D149" s="1"/>
      <c r="E149" s="60"/>
      <c r="F149" s="1"/>
    </row>
    <row r="150" spans="1:6" x14ac:dyDescent="0.6">
      <c r="A150" s="1370"/>
      <c r="B150" s="13"/>
      <c r="C150" s="1"/>
      <c r="D150" s="1"/>
      <c r="E150" s="60"/>
      <c r="F150" s="1"/>
    </row>
    <row r="151" spans="1:6" x14ac:dyDescent="0.6">
      <c r="A151" s="1370" t="s">
        <v>1455</v>
      </c>
      <c r="B151" s="13">
        <f>B145-B146</f>
        <v>49</v>
      </c>
      <c r="C151" s="1"/>
      <c r="D151" s="1"/>
      <c r="E151" s="60"/>
      <c r="F151" s="1"/>
    </row>
    <row r="152" spans="1:6" x14ac:dyDescent="0.6">
      <c r="A152" s="826" t="s">
        <v>804</v>
      </c>
      <c r="B152" s="13">
        <f>B144</f>
        <v>37</v>
      </c>
      <c r="C152" s="1"/>
      <c r="D152" s="1"/>
      <c r="E152" s="60"/>
      <c r="F152" s="1"/>
    </row>
    <row r="153" spans="1:6" x14ac:dyDescent="0.6">
      <c r="A153" s="826" t="s">
        <v>42</v>
      </c>
      <c r="B153" s="13">
        <f>B152+B151</f>
        <v>86</v>
      </c>
      <c r="C153" s="1"/>
      <c r="D153" s="1"/>
      <c r="E153" s="60"/>
      <c r="F153" s="1"/>
    </row>
    <row r="154" spans="1:6" x14ac:dyDescent="0.6">
      <c r="A154" s="826"/>
      <c r="B154" s="13"/>
      <c r="C154" s="1"/>
      <c r="D154" s="1"/>
      <c r="E154" s="60"/>
      <c r="F154" s="1"/>
    </row>
    <row r="155" spans="1:6" x14ac:dyDescent="0.6">
      <c r="A155" s="826" t="s">
        <v>1456</v>
      </c>
      <c r="B155" s="13">
        <f>B144+B145-B146</f>
        <v>86</v>
      </c>
      <c r="C155" s="1"/>
      <c r="D155" s="1"/>
      <c r="E155" s="60"/>
      <c r="F155" s="1"/>
    </row>
    <row r="156" spans="1:6" x14ac:dyDescent="0.6">
      <c r="B156" s="1"/>
      <c r="C156" s="1"/>
      <c r="D156" s="1"/>
      <c r="E156" s="60"/>
      <c r="F156" s="1"/>
    </row>
    <row r="157" spans="1:6" x14ac:dyDescent="0.6">
      <c r="B157" s="1"/>
      <c r="C157" s="1"/>
      <c r="D157" s="1"/>
      <c r="E157" s="60"/>
      <c r="F157" s="1"/>
    </row>
    <row r="158" spans="1:6" x14ac:dyDescent="0.6">
      <c r="B158" s="1"/>
      <c r="C158" s="1"/>
      <c r="D158" s="1"/>
      <c r="E158" s="60"/>
      <c r="F158" s="1"/>
    </row>
    <row r="159" spans="1:6" x14ac:dyDescent="0.6">
      <c r="B159" s="1"/>
      <c r="C159" s="1"/>
      <c r="D159" s="1"/>
      <c r="E159" s="60"/>
      <c r="F159" s="1"/>
    </row>
    <row r="160" spans="1:6" x14ac:dyDescent="0.6">
      <c r="B160" s="1"/>
      <c r="C160" s="1"/>
      <c r="D160" s="1"/>
      <c r="E160" s="60"/>
      <c r="F160" s="1"/>
    </row>
    <row r="161" spans="5:5" s="1" customFormat="1" x14ac:dyDescent="0.6">
      <c r="E161" s="60"/>
    </row>
    <row r="162" spans="5:5" s="1" customFormat="1" x14ac:dyDescent="0.6">
      <c r="E162" s="60"/>
    </row>
    <row r="163" spans="5:5" s="1" customFormat="1" x14ac:dyDescent="0.6">
      <c r="E163" s="60"/>
    </row>
    <row r="164" spans="5:5" s="1" customFormat="1" x14ac:dyDescent="0.6">
      <c r="E164" s="60"/>
    </row>
    <row r="165" spans="5:5" s="1" customFormat="1" x14ac:dyDescent="0.6">
      <c r="E165" s="60"/>
    </row>
    <row r="166" spans="5:5" s="1" customFormat="1" x14ac:dyDescent="0.6">
      <c r="E166" s="60"/>
    </row>
    <row r="167" spans="5:5" s="1" customFormat="1" x14ac:dyDescent="0.6">
      <c r="E167" s="60"/>
    </row>
    <row r="168" spans="5:5" s="1" customFormat="1" x14ac:dyDescent="0.6">
      <c r="E168" s="60"/>
    </row>
    <row r="169" spans="5:5" s="1" customFormat="1" x14ac:dyDescent="0.6">
      <c r="E169" s="60"/>
    </row>
    <row r="170" spans="5:5" s="1" customFormat="1" x14ac:dyDescent="0.6">
      <c r="E170" s="60"/>
    </row>
    <row r="171" spans="5:5" s="1" customFormat="1" x14ac:dyDescent="0.6">
      <c r="E171" s="60"/>
    </row>
    <row r="172" spans="5:5" s="1" customFormat="1" x14ac:dyDescent="0.6">
      <c r="E172" s="60"/>
    </row>
    <row r="173" spans="5:5" s="1" customFormat="1" x14ac:dyDescent="0.6">
      <c r="E173" s="60"/>
    </row>
    <row r="174" spans="5:5" s="1" customFormat="1" x14ac:dyDescent="0.6">
      <c r="E174" s="60"/>
    </row>
    <row r="175" spans="5:5" s="1" customFormat="1" x14ac:dyDescent="0.6">
      <c r="E175" s="60"/>
    </row>
    <row r="176" spans="5:5" s="1" customFormat="1" x14ac:dyDescent="0.6">
      <c r="E176" s="60"/>
    </row>
    <row r="177" spans="5:5" s="1" customFormat="1" x14ac:dyDescent="0.6">
      <c r="E177" s="60"/>
    </row>
    <row r="178" spans="5:5" s="1" customFormat="1" x14ac:dyDescent="0.6">
      <c r="E178" s="60"/>
    </row>
    <row r="179" spans="5:5" s="1" customFormat="1" x14ac:dyDescent="0.6">
      <c r="E179" s="60"/>
    </row>
    <row r="180" spans="5:5" s="1" customFormat="1" x14ac:dyDescent="0.6">
      <c r="E180" s="60"/>
    </row>
    <row r="181" spans="5:5" s="1" customFormat="1" x14ac:dyDescent="0.6">
      <c r="E181" s="60"/>
    </row>
    <row r="182" spans="5:5" s="1" customFormat="1" x14ac:dyDescent="0.6">
      <c r="E182" s="60"/>
    </row>
    <row r="183" spans="5:5" s="1" customFormat="1" x14ac:dyDescent="0.6">
      <c r="E183" s="60"/>
    </row>
    <row r="184" spans="5:5" s="1" customFormat="1" x14ac:dyDescent="0.6">
      <c r="E184" s="60"/>
    </row>
    <row r="185" spans="5:5" s="1" customFormat="1" x14ac:dyDescent="0.6">
      <c r="E185" s="60"/>
    </row>
    <row r="186" spans="5:5" s="1" customFormat="1" x14ac:dyDescent="0.6">
      <c r="E186" s="60"/>
    </row>
    <row r="187" spans="5:5" s="1" customFormat="1" x14ac:dyDescent="0.6">
      <c r="E187" s="60"/>
    </row>
    <row r="188" spans="5:5" s="1" customFormat="1" x14ac:dyDescent="0.6">
      <c r="E188" s="60"/>
    </row>
    <row r="189" spans="5:5" s="1" customFormat="1" x14ac:dyDescent="0.6">
      <c r="E189" s="60"/>
    </row>
    <row r="190" spans="5:5" s="1" customFormat="1" x14ac:dyDescent="0.6">
      <c r="E190" s="60"/>
    </row>
    <row r="191" spans="5:5" s="1" customFormat="1" x14ac:dyDescent="0.6">
      <c r="E191" s="60"/>
    </row>
    <row r="192" spans="5:5" s="1" customFormat="1" x14ac:dyDescent="0.6">
      <c r="E192" s="60"/>
    </row>
    <row r="193" spans="5:5" s="1" customFormat="1" x14ac:dyDescent="0.6">
      <c r="E193" s="60"/>
    </row>
    <row r="194" spans="5:5" s="1" customFormat="1" x14ac:dyDescent="0.6">
      <c r="E194" s="60"/>
    </row>
    <row r="195" spans="5:5" s="1" customFormat="1" x14ac:dyDescent="0.6">
      <c r="E195" s="60"/>
    </row>
    <row r="196" spans="5:5" s="1" customFormat="1" x14ac:dyDescent="0.6">
      <c r="E196" s="60"/>
    </row>
    <row r="197" spans="5:5" s="1" customFormat="1" x14ac:dyDescent="0.6">
      <c r="E197" s="60"/>
    </row>
    <row r="198" spans="5:5" s="1" customFormat="1" x14ac:dyDescent="0.6">
      <c r="E198" s="60"/>
    </row>
    <row r="199" spans="5:5" s="1" customFormat="1" x14ac:dyDescent="0.6">
      <c r="E199" s="60"/>
    </row>
    <row r="200" spans="5:5" s="1" customFormat="1" x14ac:dyDescent="0.6">
      <c r="E200" s="60"/>
    </row>
    <row r="201" spans="5:5" s="1" customFormat="1" x14ac:dyDescent="0.6">
      <c r="E201" s="60"/>
    </row>
    <row r="202" spans="5:5" s="1" customFormat="1" x14ac:dyDescent="0.6">
      <c r="E202" s="60"/>
    </row>
    <row r="203" spans="5:5" s="1" customFormat="1" x14ac:dyDescent="0.6">
      <c r="E203" s="60"/>
    </row>
    <row r="204" spans="5:5" s="1" customFormat="1" x14ac:dyDescent="0.6">
      <c r="E204" s="60"/>
    </row>
    <row r="205" spans="5:5" s="1" customFormat="1" x14ac:dyDescent="0.6">
      <c r="E205" s="60"/>
    </row>
    <row r="206" spans="5:5" s="1" customFormat="1" x14ac:dyDescent="0.6">
      <c r="E206" s="60"/>
    </row>
    <row r="207" spans="5:5" s="1" customFormat="1" x14ac:dyDescent="0.6">
      <c r="E207" s="60"/>
    </row>
    <row r="208" spans="5:5" s="1" customFormat="1" x14ac:dyDescent="0.6">
      <c r="E208" s="60"/>
    </row>
    <row r="209" spans="5:5" s="1" customFormat="1" x14ac:dyDescent="0.6">
      <c r="E209" s="60"/>
    </row>
    <row r="210" spans="5:5" s="1" customFormat="1" x14ac:dyDescent="0.6">
      <c r="E210" s="60"/>
    </row>
    <row r="211" spans="5:5" s="1" customFormat="1" x14ac:dyDescent="0.6">
      <c r="E211" s="60"/>
    </row>
    <row r="212" spans="5:5" s="1" customFormat="1" x14ac:dyDescent="0.6">
      <c r="E212" s="60"/>
    </row>
    <row r="213" spans="5:5" s="1" customFormat="1" x14ac:dyDescent="0.6">
      <c r="E213" s="60"/>
    </row>
    <row r="214" spans="5:5" s="1" customFormat="1" x14ac:dyDescent="0.6">
      <c r="E214" s="60"/>
    </row>
    <row r="215" spans="5:5" s="1" customFormat="1" x14ac:dyDescent="0.6">
      <c r="E215" s="60"/>
    </row>
    <row r="216" spans="5:5" s="1" customFormat="1" x14ac:dyDescent="0.6">
      <c r="E216" s="60"/>
    </row>
    <row r="217" spans="5:5" s="1" customFormat="1" x14ac:dyDescent="0.6">
      <c r="E217" s="60"/>
    </row>
    <row r="218" spans="5:5" s="1" customFormat="1" x14ac:dyDescent="0.6">
      <c r="E218" s="60"/>
    </row>
    <row r="219" spans="5:5" s="1" customFormat="1" x14ac:dyDescent="0.6">
      <c r="E219" s="60"/>
    </row>
    <row r="220" spans="5:5" s="1" customFormat="1" x14ac:dyDescent="0.6">
      <c r="E220" s="60"/>
    </row>
    <row r="221" spans="5:5" s="1" customFormat="1" x14ac:dyDescent="0.6">
      <c r="E221" s="60"/>
    </row>
    <row r="222" spans="5:5" s="1" customFormat="1" x14ac:dyDescent="0.6">
      <c r="E222" s="60"/>
    </row>
    <row r="223" spans="5:5" s="1" customFormat="1" x14ac:dyDescent="0.6">
      <c r="E223" s="60"/>
    </row>
    <row r="224" spans="5:5" s="1" customFormat="1" x14ac:dyDescent="0.6">
      <c r="E224" s="60"/>
    </row>
    <row r="225" spans="5:5" s="1" customFormat="1" x14ac:dyDescent="0.6">
      <c r="E225" s="60"/>
    </row>
    <row r="226" spans="5:5" s="1" customFormat="1" x14ac:dyDescent="0.6">
      <c r="E226" s="60"/>
    </row>
    <row r="227" spans="5:5" s="1" customFormat="1" x14ac:dyDescent="0.6">
      <c r="E227" s="60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322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0.84765625" defaultRowHeight="15.6" x14ac:dyDescent="0.6"/>
  <cols>
    <col min="1" max="1" width="79.5" style="1" customWidth="1"/>
    <col min="2" max="2" width="18.34765625" style="70" customWidth="1"/>
    <col min="3" max="3" width="16.5" style="70" customWidth="1"/>
    <col min="4" max="4" width="15" style="85" customWidth="1"/>
    <col min="5" max="5" width="16" style="85" customWidth="1"/>
    <col min="6" max="6" width="18.34765625" style="85" bestFit="1" customWidth="1"/>
    <col min="7" max="7" width="18.34765625" style="85" customWidth="1"/>
    <col min="8" max="8" width="8.09765625" style="114" bestFit="1" customWidth="1"/>
    <col min="9" max="9" width="15" style="70" customWidth="1"/>
    <col min="10" max="16384" width="10.84765625" style="1"/>
  </cols>
  <sheetData>
    <row r="1" spans="1:10" x14ac:dyDescent="0.6">
      <c r="A1" s="78" t="s">
        <v>746</v>
      </c>
      <c r="B1" s="244" t="s">
        <v>237</v>
      </c>
      <c r="C1" s="244" t="s">
        <v>745</v>
      </c>
      <c r="D1" s="244" t="s">
        <v>131</v>
      </c>
      <c r="E1" s="244" t="s">
        <v>196</v>
      </c>
      <c r="F1" s="244" t="s">
        <v>238</v>
      </c>
      <c r="G1" s="250" t="s">
        <v>239</v>
      </c>
      <c r="H1" s="838" t="s">
        <v>1731</v>
      </c>
      <c r="I1" s="1477"/>
    </row>
    <row r="2" spans="1:10" s="192" customFormat="1" x14ac:dyDescent="0.6">
      <c r="A2" s="78" t="s">
        <v>37</v>
      </c>
      <c r="B2" s="742">
        <f>SUM(B3:B50)</f>
        <v>823859066</v>
      </c>
      <c r="C2" s="742">
        <f>SUM(C3:C50)</f>
        <v>242246614</v>
      </c>
      <c r="D2" s="742">
        <f t="shared" ref="D2:E2" si="0">SUM(D3:D50)</f>
        <v>367962884</v>
      </c>
      <c r="E2" s="742">
        <f t="shared" si="0"/>
        <v>41843300</v>
      </c>
      <c r="F2" s="742">
        <f>SUM(F3:F50)</f>
        <v>16991174</v>
      </c>
      <c r="G2" s="743">
        <f>SUM(G3:G50)</f>
        <v>14624901</v>
      </c>
      <c r="H2" s="838"/>
      <c r="I2" s="1564"/>
      <c r="J2" s="1"/>
    </row>
    <row r="3" spans="1:10" x14ac:dyDescent="0.6">
      <c r="A3" s="1" t="s">
        <v>367</v>
      </c>
      <c r="B3" s="70">
        <v>18359253</v>
      </c>
      <c r="C3" s="70">
        <f>B3</f>
        <v>18359253</v>
      </c>
      <c r="E3" s="70"/>
      <c r="G3" s="616"/>
      <c r="H3" s="838" t="s">
        <v>769</v>
      </c>
      <c r="I3" s="1594" t="s">
        <v>37</v>
      </c>
    </row>
    <row r="4" spans="1:10" x14ac:dyDescent="0.6">
      <c r="A4" s="1" t="s">
        <v>885</v>
      </c>
      <c r="B4" s="70">
        <v>3313035</v>
      </c>
      <c r="C4" s="70">
        <f>B4</f>
        <v>3313035</v>
      </c>
      <c r="G4" s="616"/>
      <c r="H4" s="838" t="s">
        <v>769</v>
      </c>
      <c r="I4" s="593" t="s">
        <v>42</v>
      </c>
      <c r="J4" s="1">
        <f>50-3</f>
        <v>47</v>
      </c>
    </row>
    <row r="5" spans="1:10" x14ac:dyDescent="0.6">
      <c r="A5" s="1" t="s">
        <v>957</v>
      </c>
      <c r="B5" s="70">
        <v>3855683</v>
      </c>
      <c r="F5" s="70">
        <f>B5</f>
        <v>3855683</v>
      </c>
      <c r="G5" s="616"/>
      <c r="H5" s="838" t="s">
        <v>769</v>
      </c>
      <c r="I5" s="593" t="s">
        <v>802</v>
      </c>
      <c r="J5" s="1">
        <f>COUNTIF(B3:B50,"ND")</f>
        <v>11</v>
      </c>
    </row>
    <row r="6" spans="1:10" x14ac:dyDescent="0.6">
      <c r="A6" s="1" t="s">
        <v>888</v>
      </c>
      <c r="B6" s="70">
        <v>4938759</v>
      </c>
      <c r="E6" s="70">
        <f>B6</f>
        <v>4938759</v>
      </c>
      <c r="G6" s="607"/>
      <c r="H6" s="838" t="s">
        <v>769</v>
      </c>
      <c r="I6" s="593" t="s">
        <v>1732</v>
      </c>
      <c r="J6" s="1">
        <f>COUNTIF(H3:H27,"x")</f>
        <v>25</v>
      </c>
    </row>
    <row r="7" spans="1:10" x14ac:dyDescent="0.6">
      <c r="A7" s="1" t="s">
        <v>958</v>
      </c>
      <c r="B7" s="70">
        <v>8781768</v>
      </c>
      <c r="D7" s="70">
        <f>B7</f>
        <v>8781768</v>
      </c>
      <c r="E7" s="70"/>
      <c r="G7" s="607"/>
      <c r="H7" s="838" t="s">
        <v>769</v>
      </c>
      <c r="I7" s="593" t="s">
        <v>239</v>
      </c>
      <c r="J7" s="1">
        <f>COUNT(G4:G27)</f>
        <v>1</v>
      </c>
    </row>
    <row r="8" spans="1:10" x14ac:dyDescent="0.6">
      <c r="A8" s="1" t="s">
        <v>889</v>
      </c>
      <c r="B8" s="244">
        <v>3248410</v>
      </c>
      <c r="C8" s="70">
        <f>B8</f>
        <v>3248410</v>
      </c>
      <c r="G8" s="616"/>
      <c r="H8" s="114" t="s">
        <v>769</v>
      </c>
    </row>
    <row r="9" spans="1:10" x14ac:dyDescent="0.6">
      <c r="A9" s="1" t="s">
        <v>890</v>
      </c>
      <c r="B9" s="70">
        <v>1300011</v>
      </c>
      <c r="C9" s="70">
        <f>B9</f>
        <v>1300011</v>
      </c>
      <c r="G9" s="607"/>
      <c r="H9" s="838" t="s">
        <v>769</v>
      </c>
      <c r="I9" s="593"/>
    </row>
    <row r="10" spans="1:10" x14ac:dyDescent="0.6">
      <c r="A10" s="1" t="s">
        <v>891</v>
      </c>
      <c r="B10" s="70">
        <v>16827328</v>
      </c>
      <c r="F10" s="70">
        <f>B10</f>
        <v>16827328</v>
      </c>
      <c r="G10" s="607"/>
      <c r="H10" s="838" t="s">
        <v>769</v>
      </c>
      <c r="I10" s="593"/>
    </row>
    <row r="11" spans="1:10" x14ac:dyDescent="0.6">
      <c r="A11" s="1" t="s">
        <v>959</v>
      </c>
      <c r="B11" s="114" t="s">
        <v>804</v>
      </c>
      <c r="G11" s="616"/>
      <c r="H11" s="838" t="s">
        <v>769</v>
      </c>
      <c r="I11" s="593"/>
    </row>
    <row r="12" spans="1:10" x14ac:dyDescent="0.6">
      <c r="A12" s="1" t="s">
        <v>960</v>
      </c>
      <c r="B12" s="114" t="s">
        <v>804</v>
      </c>
      <c r="G12" s="616"/>
      <c r="H12" s="838" t="s">
        <v>769</v>
      </c>
      <c r="I12" s="593"/>
    </row>
    <row r="13" spans="1:10" x14ac:dyDescent="0.6">
      <c r="A13" s="1" t="s">
        <v>893</v>
      </c>
      <c r="B13" s="70">
        <v>316828</v>
      </c>
      <c r="C13" s="70">
        <f>B13</f>
        <v>316828</v>
      </c>
      <c r="G13" s="616"/>
      <c r="H13" s="838" t="s">
        <v>769</v>
      </c>
      <c r="I13" s="593"/>
    </row>
    <row r="14" spans="1:10" x14ac:dyDescent="0.6">
      <c r="A14" s="1" t="s">
        <v>894</v>
      </c>
      <c r="B14" s="114" t="s">
        <v>804</v>
      </c>
      <c r="G14" s="616"/>
      <c r="H14" s="838" t="s">
        <v>769</v>
      </c>
      <c r="I14" s="593"/>
    </row>
    <row r="15" spans="1:10" x14ac:dyDescent="0.6">
      <c r="A15" s="1" t="s">
        <v>961</v>
      </c>
      <c r="B15" s="114" t="s">
        <v>804</v>
      </c>
      <c r="G15" s="616"/>
      <c r="H15" s="838" t="s">
        <v>769</v>
      </c>
      <c r="I15" s="593"/>
    </row>
    <row r="16" spans="1:10" x14ac:dyDescent="0.6">
      <c r="A16" s="1" t="s">
        <v>884</v>
      </c>
      <c r="B16" s="70">
        <v>4236186</v>
      </c>
      <c r="C16" s="70">
        <f>B16</f>
        <v>4236186</v>
      </c>
      <c r="G16" s="616"/>
      <c r="H16" s="838" t="s">
        <v>769</v>
      </c>
      <c r="I16" s="593"/>
    </row>
    <row r="17" spans="1:10" x14ac:dyDescent="0.6">
      <c r="A17" s="1" t="s">
        <v>962</v>
      </c>
      <c r="B17" s="70">
        <v>61800000</v>
      </c>
      <c r="C17" s="70">
        <f>B17</f>
        <v>61800000</v>
      </c>
      <c r="G17" s="616"/>
      <c r="H17" s="838" t="s">
        <v>769</v>
      </c>
      <c r="I17" s="593"/>
    </row>
    <row r="18" spans="1:10" x14ac:dyDescent="0.6">
      <c r="A18" s="1" t="s">
        <v>963</v>
      </c>
      <c r="B18" s="70">
        <v>12100000</v>
      </c>
      <c r="E18" s="70">
        <f>B18</f>
        <v>12100000</v>
      </c>
      <c r="G18" s="607"/>
      <c r="H18" s="838" t="s">
        <v>769</v>
      </c>
      <c r="I18" s="593"/>
    </row>
    <row r="19" spans="1:10" x14ac:dyDescent="0.6">
      <c r="A19" s="1" t="s">
        <v>895</v>
      </c>
      <c r="B19" s="70">
        <v>588767</v>
      </c>
      <c r="E19" s="70">
        <f>B19</f>
        <v>588767</v>
      </c>
      <c r="G19" s="607"/>
      <c r="H19" s="838" t="s">
        <v>769</v>
      </c>
      <c r="I19" s="593"/>
    </row>
    <row r="20" spans="1:10" x14ac:dyDescent="0.6">
      <c r="A20" s="1" t="s">
        <v>964</v>
      </c>
      <c r="B20" s="70">
        <v>80600000</v>
      </c>
      <c r="C20" s="70">
        <f>B20</f>
        <v>80600000</v>
      </c>
      <c r="F20" s="70"/>
      <c r="G20" s="607"/>
      <c r="H20" s="838" t="s">
        <v>769</v>
      </c>
      <c r="I20" s="593"/>
    </row>
    <row r="21" spans="1:10" x14ac:dyDescent="0.6">
      <c r="A21" s="1" t="s">
        <v>965</v>
      </c>
      <c r="B21" s="70">
        <v>14624901</v>
      </c>
      <c r="D21" s="70"/>
      <c r="F21" s="70"/>
      <c r="G21" s="607">
        <f>B21</f>
        <v>14624901</v>
      </c>
      <c r="H21" s="838" t="s">
        <v>769</v>
      </c>
      <c r="I21" s="593"/>
    </row>
    <row r="22" spans="1:10" x14ac:dyDescent="0.6">
      <c r="A22" s="1" t="s">
        <v>896</v>
      </c>
      <c r="B22" s="114" t="s">
        <v>804</v>
      </c>
      <c r="F22" s="70"/>
      <c r="G22" s="607"/>
      <c r="H22" s="838" t="s">
        <v>769</v>
      </c>
      <c r="I22" s="593"/>
    </row>
    <row r="23" spans="1:10" x14ac:dyDescent="0.6">
      <c r="A23" s="1" t="s">
        <v>897</v>
      </c>
      <c r="B23" s="114" t="s">
        <v>804</v>
      </c>
      <c r="G23" s="607"/>
      <c r="H23" s="838" t="s">
        <v>769</v>
      </c>
      <c r="I23" s="593"/>
    </row>
    <row r="24" spans="1:10" x14ac:dyDescent="0.6">
      <c r="A24" s="1" t="s">
        <v>898</v>
      </c>
      <c r="B24" s="114" t="s">
        <v>804</v>
      </c>
      <c r="D24" s="70"/>
      <c r="E24" s="70"/>
      <c r="G24" s="607"/>
      <c r="H24" s="838" t="s">
        <v>769</v>
      </c>
      <c r="I24" s="593"/>
    </row>
    <row r="25" spans="1:10" x14ac:dyDescent="0.6">
      <c r="A25" s="1" t="s">
        <v>899</v>
      </c>
      <c r="B25" s="70">
        <v>12994071</v>
      </c>
      <c r="E25" s="70">
        <f>B25</f>
        <v>12994071</v>
      </c>
      <c r="G25" s="616"/>
      <c r="H25" s="838" t="s">
        <v>769</v>
      </c>
      <c r="I25" s="593"/>
    </row>
    <row r="26" spans="1:10" x14ac:dyDescent="0.6">
      <c r="A26" s="1" t="s">
        <v>900</v>
      </c>
      <c r="B26" s="70">
        <v>4221703</v>
      </c>
      <c r="E26" s="70">
        <f>B26</f>
        <v>4221703</v>
      </c>
      <c r="G26" s="607"/>
      <c r="H26" s="838" t="s">
        <v>769</v>
      </c>
      <c r="I26" s="593"/>
    </row>
    <row r="27" spans="1:10" x14ac:dyDescent="0.6">
      <c r="A27" s="1" t="s">
        <v>966</v>
      </c>
      <c r="B27" s="70">
        <v>4796097</v>
      </c>
      <c r="F27" s="70">
        <f>B27</f>
        <v>4796097</v>
      </c>
      <c r="G27" s="607"/>
      <c r="H27" s="838" t="s">
        <v>769</v>
      </c>
      <c r="I27" s="593"/>
    </row>
    <row r="28" spans="1:10" x14ac:dyDescent="0.6">
      <c r="A28" s="1" t="s">
        <v>967</v>
      </c>
      <c r="B28" s="70">
        <v>4000000</v>
      </c>
      <c r="C28" s="70">
        <f>B28</f>
        <v>4000000</v>
      </c>
      <c r="G28" s="616"/>
      <c r="H28" s="686" t="s">
        <v>769</v>
      </c>
      <c r="I28" s="595"/>
      <c r="J28" s="596"/>
    </row>
    <row r="29" spans="1:10" x14ac:dyDescent="0.6">
      <c r="A29" s="1" t="s">
        <v>968</v>
      </c>
      <c r="B29" s="70">
        <v>100000000</v>
      </c>
      <c r="F29" s="70">
        <f>B29</f>
        <v>100000000</v>
      </c>
      <c r="G29" s="607"/>
      <c r="H29" s="686" t="s">
        <v>769</v>
      </c>
      <c r="I29" s="599"/>
      <c r="J29" s="596"/>
    </row>
    <row r="30" spans="1:10" x14ac:dyDescent="0.6">
      <c r="A30" s="1" t="s">
        <v>969</v>
      </c>
      <c r="B30" s="70">
        <v>55000000</v>
      </c>
      <c r="F30" s="70">
        <f>B30</f>
        <v>55000000</v>
      </c>
      <c r="G30" s="616"/>
      <c r="H30" s="686" t="s">
        <v>769</v>
      </c>
      <c r="I30" s="595"/>
      <c r="J30" s="596"/>
    </row>
    <row r="31" spans="1:10" x14ac:dyDescent="0.6">
      <c r="A31" s="1" t="s">
        <v>970</v>
      </c>
      <c r="B31" s="70">
        <v>7000000</v>
      </c>
      <c r="E31" s="70">
        <f>B31</f>
        <v>7000000</v>
      </c>
      <c r="G31" s="616"/>
      <c r="H31" s="686" t="s">
        <v>769</v>
      </c>
      <c r="I31" s="599"/>
      <c r="J31" s="596"/>
    </row>
    <row r="32" spans="1:10" x14ac:dyDescent="0.6">
      <c r="A32" s="1" t="s">
        <v>901</v>
      </c>
      <c r="B32" s="70">
        <v>1431680</v>
      </c>
      <c r="F32" s="70">
        <f>B32</f>
        <v>1431680</v>
      </c>
      <c r="G32" s="616"/>
      <c r="H32" s="686" t="s">
        <v>769</v>
      </c>
      <c r="I32" s="595"/>
      <c r="J32" s="596"/>
    </row>
    <row r="33" spans="1:10" x14ac:dyDescent="0.6">
      <c r="A33" s="1" t="s">
        <v>971</v>
      </c>
      <c r="B33" s="70">
        <v>39969891</v>
      </c>
      <c r="C33" s="70">
        <f>B33</f>
        <v>39969891</v>
      </c>
      <c r="G33" s="616"/>
      <c r="H33" s="686" t="s">
        <v>769</v>
      </c>
      <c r="I33" s="595"/>
      <c r="J33" s="596"/>
    </row>
    <row r="34" spans="1:10" x14ac:dyDescent="0.6">
      <c r="A34" s="1" t="s">
        <v>972</v>
      </c>
      <c r="B34" s="70">
        <v>2507000</v>
      </c>
      <c r="F34" s="70">
        <f>B34</f>
        <v>2507000</v>
      </c>
      <c r="G34" s="616"/>
      <c r="H34" s="686" t="s">
        <v>769</v>
      </c>
      <c r="I34" s="599"/>
      <c r="J34" s="596"/>
    </row>
    <row r="35" spans="1:10" x14ac:dyDescent="0.6">
      <c r="A35" s="1" t="s">
        <v>973</v>
      </c>
      <c r="B35" s="70">
        <v>19576346</v>
      </c>
      <c r="F35" s="70">
        <f>B35</f>
        <v>19576346</v>
      </c>
      <c r="G35" s="616"/>
      <c r="H35" s="686" t="s">
        <v>769</v>
      </c>
      <c r="I35" s="595"/>
      <c r="J35" s="596"/>
    </row>
    <row r="36" spans="1:10" x14ac:dyDescent="0.6">
      <c r="A36" s="1" t="s">
        <v>974</v>
      </c>
      <c r="B36" s="70">
        <v>7990346</v>
      </c>
      <c r="F36" s="70">
        <f>B36</f>
        <v>7990346</v>
      </c>
      <c r="G36" s="616"/>
      <c r="H36" s="686" t="s">
        <v>769</v>
      </c>
      <c r="I36" s="599"/>
      <c r="J36" s="596"/>
    </row>
    <row r="37" spans="1:10" x14ac:dyDescent="0.6">
      <c r="A37" s="1" t="s">
        <v>975</v>
      </c>
      <c r="B37" s="70">
        <v>37800000</v>
      </c>
      <c r="F37" s="70">
        <f>B37</f>
        <v>37800000</v>
      </c>
      <c r="G37" s="616"/>
      <c r="H37" s="686" t="s">
        <v>769</v>
      </c>
      <c r="I37" s="595"/>
      <c r="J37" s="596"/>
    </row>
    <row r="38" spans="1:10" x14ac:dyDescent="0.6">
      <c r="A38" s="1" t="s">
        <v>976</v>
      </c>
      <c r="B38" s="70">
        <v>23500000</v>
      </c>
      <c r="C38" s="70">
        <f>B38</f>
        <v>23500000</v>
      </c>
      <c r="G38" s="616"/>
      <c r="H38" s="686" t="s">
        <v>769</v>
      </c>
      <c r="I38" s="599"/>
      <c r="J38" s="596"/>
    </row>
    <row r="39" spans="1:10" x14ac:dyDescent="0.6">
      <c r="A39" s="1" t="s">
        <v>977</v>
      </c>
      <c r="B39" s="70">
        <v>692452</v>
      </c>
      <c r="D39" s="70">
        <f>B39</f>
        <v>692452</v>
      </c>
      <c r="G39" s="616"/>
      <c r="H39" s="686" t="s">
        <v>769</v>
      </c>
      <c r="I39" s="595"/>
      <c r="J39" s="596"/>
    </row>
    <row r="40" spans="1:10" x14ac:dyDescent="0.6">
      <c r="A40" s="85" t="s">
        <v>978</v>
      </c>
      <c r="B40" s="70">
        <v>1603000</v>
      </c>
      <c r="C40" s="70">
        <f>B40</f>
        <v>1603000</v>
      </c>
      <c r="G40" s="616"/>
      <c r="H40" s="686" t="s">
        <v>769</v>
      </c>
      <c r="I40" s="595"/>
      <c r="J40" s="596"/>
    </row>
    <row r="41" spans="1:10" x14ac:dyDescent="0.6">
      <c r="A41" s="85" t="s">
        <v>979</v>
      </c>
      <c r="B41" s="114" t="s">
        <v>804</v>
      </c>
      <c r="G41" s="616"/>
      <c r="H41" s="686"/>
      <c r="I41" s="599"/>
      <c r="J41" s="596"/>
    </row>
    <row r="42" spans="1:10" x14ac:dyDescent="0.6">
      <c r="A42" s="85" t="s">
        <v>980</v>
      </c>
      <c r="B42" s="114" t="s">
        <v>804</v>
      </c>
      <c r="G42" s="616"/>
      <c r="H42" s="686" t="s">
        <v>769</v>
      </c>
      <c r="I42" s="595"/>
      <c r="J42" s="596"/>
    </row>
    <row r="43" spans="1:10" x14ac:dyDescent="0.6">
      <c r="A43" s="85" t="s">
        <v>981</v>
      </c>
      <c r="B43" s="244">
        <v>140190193</v>
      </c>
      <c r="G43" s="607">
        <f>C43</f>
        <v>0</v>
      </c>
      <c r="H43" s="686"/>
      <c r="I43" s="595"/>
      <c r="J43" s="596"/>
    </row>
    <row r="44" spans="1:10" x14ac:dyDescent="0.6">
      <c r="A44" s="85" t="s">
        <v>982</v>
      </c>
      <c r="B44" s="114" t="s">
        <v>804</v>
      </c>
      <c r="G44" s="616"/>
      <c r="H44" s="686"/>
      <c r="I44" s="599"/>
      <c r="J44" s="596"/>
    </row>
    <row r="45" spans="1:10" x14ac:dyDescent="0.6">
      <c r="A45" s="85" t="s">
        <v>983</v>
      </c>
      <c r="B45" s="244">
        <v>37379742</v>
      </c>
      <c r="F45" s="70">
        <f>B45</f>
        <v>37379742</v>
      </c>
      <c r="G45" s="616"/>
      <c r="H45" s="686"/>
      <c r="I45" s="595"/>
      <c r="J45" s="596"/>
    </row>
    <row r="46" spans="1:10" x14ac:dyDescent="0.6">
      <c r="A46" s="85" t="s">
        <v>954</v>
      </c>
      <c r="B46" s="244">
        <v>1250522</v>
      </c>
      <c r="D46" s="70">
        <f>B46</f>
        <v>1250522</v>
      </c>
      <c r="G46" s="616"/>
      <c r="H46" s="686"/>
      <c r="I46" s="599"/>
      <c r="J46" s="123"/>
    </row>
    <row r="47" spans="1:10" x14ac:dyDescent="0.6">
      <c r="A47" s="1" t="s">
        <v>251</v>
      </c>
      <c r="B47" s="70">
        <v>355638142</v>
      </c>
      <c r="D47" s="70">
        <f>B47</f>
        <v>355638142</v>
      </c>
      <c r="F47" s="70"/>
      <c r="G47" s="616"/>
      <c r="H47" s="686"/>
      <c r="I47" s="599"/>
      <c r="J47" s="123"/>
    </row>
    <row r="48" spans="1:10" x14ac:dyDescent="0.6">
      <c r="A48" s="1" t="s">
        <v>955</v>
      </c>
      <c r="B48" s="70">
        <v>1600000</v>
      </c>
      <c r="D48" s="70">
        <f>B48</f>
        <v>1600000</v>
      </c>
      <c r="E48" s="70"/>
      <c r="G48" s="616"/>
      <c r="H48" s="686"/>
      <c r="I48" s="599"/>
      <c r="J48" s="123"/>
    </row>
    <row r="49" spans="1:10" x14ac:dyDescent="0.6">
      <c r="A49" s="1" t="s">
        <v>250</v>
      </c>
      <c r="B49" s="70">
        <v>-270173048</v>
      </c>
      <c r="D49" s="70"/>
      <c r="E49" s="70"/>
      <c r="F49" s="70">
        <f>B49</f>
        <v>-270173048</v>
      </c>
      <c r="G49" s="616"/>
      <c r="H49" s="686"/>
      <c r="I49" s="599"/>
      <c r="J49" s="123"/>
    </row>
    <row r="50" spans="1:10" ht="15.9" thickBot="1" x14ac:dyDescent="0.65">
      <c r="A50" s="16" t="s">
        <v>956</v>
      </c>
      <c r="B50" s="594" t="s">
        <v>804</v>
      </c>
      <c r="C50" s="108"/>
      <c r="D50" s="108"/>
      <c r="E50" s="108"/>
      <c r="F50" s="108"/>
      <c r="G50" s="136"/>
      <c r="H50" s="1595"/>
      <c r="I50" s="124"/>
      <c r="J50" s="124"/>
    </row>
    <row r="51" spans="1:10" s="192" customFormat="1" ht="15.9" thickTop="1" x14ac:dyDescent="0.6">
      <c r="A51" s="78" t="s">
        <v>0</v>
      </c>
      <c r="B51" s="723">
        <f>SUM(B52:B59)</f>
        <v>1880283271</v>
      </c>
      <c r="C51" s="723">
        <f>SUM(C52:C59)</f>
        <v>413551522</v>
      </c>
      <c r="D51" s="723">
        <f>SUM(D52:D59)</f>
        <v>1454640500</v>
      </c>
      <c r="E51" s="723"/>
      <c r="F51" s="723">
        <f>SUM(F52:F59)</f>
        <v>0</v>
      </c>
      <c r="G51" s="724">
        <f>SUM(G52:G59)</f>
        <v>0</v>
      </c>
      <c r="H51" s="686"/>
      <c r="I51" s="599"/>
      <c r="J51" s="123"/>
    </row>
    <row r="52" spans="1:10" s="85" customFormat="1" x14ac:dyDescent="0.6">
      <c r="A52" s="85" t="s">
        <v>708</v>
      </c>
      <c r="B52" s="123">
        <v>17943500</v>
      </c>
      <c r="C52" s="123"/>
      <c r="D52" s="123">
        <f>B52</f>
        <v>17943500</v>
      </c>
      <c r="E52" s="123"/>
      <c r="F52" s="123"/>
      <c r="G52" s="130"/>
      <c r="H52" s="686"/>
      <c r="I52" s="1594" t="s">
        <v>1739</v>
      </c>
      <c r="J52" s="69"/>
    </row>
    <row r="53" spans="1:10" s="85" customFormat="1" x14ac:dyDescent="0.6">
      <c r="A53" s="85" t="s">
        <v>254</v>
      </c>
      <c r="B53" s="123">
        <v>1436697000</v>
      </c>
      <c r="C53" s="123"/>
      <c r="D53" s="123">
        <f>B53</f>
        <v>1436697000</v>
      </c>
      <c r="E53" s="123"/>
      <c r="F53" s="123"/>
      <c r="G53" s="130"/>
      <c r="H53" s="686" t="s">
        <v>769</v>
      </c>
      <c r="I53" s="593" t="s">
        <v>42</v>
      </c>
      <c r="J53" s="1">
        <v>213</v>
      </c>
    </row>
    <row r="54" spans="1:10" s="85" customFormat="1" x14ac:dyDescent="0.6">
      <c r="A54" s="85" t="s">
        <v>984</v>
      </c>
      <c r="B54" s="772" t="s">
        <v>804</v>
      </c>
      <c r="C54" s="123"/>
      <c r="D54" s="123"/>
      <c r="E54" s="123"/>
      <c r="F54" s="123"/>
      <c r="G54" s="130"/>
      <c r="H54" s="686" t="s">
        <v>769</v>
      </c>
      <c r="I54" s="593" t="s">
        <v>802</v>
      </c>
      <c r="J54" s="1">
        <f>COUNTIF(B51:B292,"ND")</f>
        <v>68</v>
      </c>
    </row>
    <row r="55" spans="1:10" s="85" customFormat="1" x14ac:dyDescent="0.6">
      <c r="A55" s="85" t="s">
        <v>368</v>
      </c>
      <c r="B55" s="123">
        <v>232586522</v>
      </c>
      <c r="C55" s="123">
        <f>B55</f>
        <v>232586522</v>
      </c>
      <c r="D55" s="123"/>
      <c r="E55" s="123"/>
      <c r="F55" s="123"/>
      <c r="G55" s="130"/>
      <c r="H55" s="686" t="s">
        <v>769</v>
      </c>
      <c r="I55" s="593" t="s">
        <v>1732</v>
      </c>
      <c r="J55" s="1">
        <f>COUNTIF(H51:H292,"x")</f>
        <v>170</v>
      </c>
    </row>
    <row r="56" spans="1:10" s="85" customFormat="1" x14ac:dyDescent="0.6">
      <c r="A56" s="85" t="s">
        <v>704</v>
      </c>
      <c r="B56" s="123">
        <v>12091249</v>
      </c>
      <c r="C56" s="123"/>
      <c r="D56" s="123"/>
      <c r="E56" s="123"/>
      <c r="F56" s="123"/>
      <c r="G56" s="130"/>
      <c r="H56" s="686" t="s">
        <v>769</v>
      </c>
      <c r="I56" s="593" t="s">
        <v>239</v>
      </c>
      <c r="J56" s="1"/>
    </row>
    <row r="57" spans="1:10" s="85" customFormat="1" x14ac:dyDescent="0.6">
      <c r="A57" s="85" t="s">
        <v>255</v>
      </c>
      <c r="B57" s="123">
        <v>180965000</v>
      </c>
      <c r="C57" s="123">
        <f>B57</f>
        <v>180965000</v>
      </c>
      <c r="D57" s="123"/>
      <c r="E57" s="123"/>
      <c r="F57" s="123"/>
      <c r="G57" s="130"/>
      <c r="H57" s="686" t="s">
        <v>769</v>
      </c>
      <c r="I57" s="599"/>
      <c r="J57" s="123"/>
    </row>
    <row r="58" spans="1:10" s="85" customFormat="1" x14ac:dyDescent="0.6">
      <c r="A58" s="85" t="s">
        <v>369</v>
      </c>
      <c r="B58" s="772" t="s">
        <v>804</v>
      </c>
      <c r="C58" s="123"/>
      <c r="D58" s="123"/>
      <c r="E58" s="123"/>
      <c r="F58" s="123"/>
      <c r="G58" s="130"/>
      <c r="H58" s="686" t="s">
        <v>769</v>
      </c>
      <c r="I58" s="599"/>
      <c r="J58" s="123"/>
    </row>
    <row r="59" spans="1:10" s="85" customFormat="1" ht="15.9" thickBot="1" x14ac:dyDescent="0.65">
      <c r="A59" s="99" t="s">
        <v>370</v>
      </c>
      <c r="B59" s="598" t="s">
        <v>804</v>
      </c>
      <c r="C59" s="124"/>
      <c r="D59" s="124"/>
      <c r="E59" s="124"/>
      <c r="F59" s="124"/>
      <c r="G59" s="131"/>
      <c r="H59" s="686" t="s">
        <v>769</v>
      </c>
      <c r="I59" s="599"/>
      <c r="J59" s="123"/>
    </row>
    <row r="60" spans="1:10" s="192" customFormat="1" ht="15.9" thickTop="1" x14ac:dyDescent="0.6">
      <c r="A60" s="78" t="s">
        <v>1</v>
      </c>
      <c r="B60" s="744">
        <f t="shared" ref="B60:G60" si="1">SUM(B61:B62)</f>
        <v>1615829161</v>
      </c>
      <c r="C60" s="744">
        <f t="shared" si="1"/>
        <v>1169143145</v>
      </c>
      <c r="D60" s="744">
        <f t="shared" si="1"/>
        <v>0</v>
      </c>
      <c r="E60" s="744">
        <f t="shared" si="1"/>
        <v>0</v>
      </c>
      <c r="F60" s="744">
        <f t="shared" si="1"/>
        <v>446686016</v>
      </c>
      <c r="G60" s="745">
        <f t="shared" si="1"/>
        <v>0</v>
      </c>
      <c r="H60" s="686"/>
      <c r="I60" s="599"/>
      <c r="J60" s="123"/>
    </row>
    <row r="61" spans="1:10" s="85" customFormat="1" x14ac:dyDescent="0.6">
      <c r="A61" s="85" t="s">
        <v>284</v>
      </c>
      <c r="B61" s="125">
        <v>1169143145</v>
      </c>
      <c r="C61" s="125">
        <f>B61</f>
        <v>1169143145</v>
      </c>
      <c r="D61" s="125"/>
      <c r="E61" s="125"/>
      <c r="F61" s="125"/>
      <c r="G61" s="132"/>
      <c r="H61" s="686" t="s">
        <v>769</v>
      </c>
      <c r="I61" s="595"/>
      <c r="J61" s="123"/>
    </row>
    <row r="62" spans="1:10" s="85" customFormat="1" ht="15.9" thickBot="1" x14ac:dyDescent="0.65">
      <c r="A62" s="99" t="s">
        <v>371</v>
      </c>
      <c r="B62" s="126">
        <v>446686016</v>
      </c>
      <c r="C62" s="126"/>
      <c r="D62" s="126"/>
      <c r="E62" s="126"/>
      <c r="F62" s="126">
        <f>B62</f>
        <v>446686016</v>
      </c>
      <c r="G62" s="133"/>
      <c r="H62" s="686" t="s">
        <v>769</v>
      </c>
      <c r="I62" s="599"/>
      <c r="J62" s="123"/>
    </row>
    <row r="63" spans="1:10" s="192" customFormat="1" ht="15.9" thickTop="1" x14ac:dyDescent="0.6">
      <c r="A63" s="78" t="s">
        <v>2</v>
      </c>
      <c r="B63" s="746">
        <f>SUM(B65:B68)</f>
        <v>1115000000</v>
      </c>
      <c r="C63" s="746">
        <f>SUM(C65:C68)</f>
        <v>1115000000</v>
      </c>
      <c r="D63" s="746">
        <f>SUM(D65:D68)</f>
        <v>0</v>
      </c>
      <c r="E63" s="746"/>
      <c r="F63" s="746">
        <f>SUM(F65:F68)</f>
        <v>0</v>
      </c>
      <c r="G63" s="747">
        <f>SUM(G65:G68)</f>
        <v>0</v>
      </c>
      <c r="H63" s="686"/>
      <c r="I63" s="595"/>
      <c r="J63" s="123"/>
    </row>
    <row r="64" spans="1:10" s="85" customFormat="1" x14ac:dyDescent="0.6">
      <c r="A64" s="85" t="s">
        <v>905</v>
      </c>
      <c r="B64" s="808" t="s">
        <v>804</v>
      </c>
      <c r="C64" s="659"/>
      <c r="D64" s="659"/>
      <c r="E64" s="659"/>
      <c r="F64" s="659"/>
      <c r="G64" s="134"/>
      <c r="H64" s="686" t="s">
        <v>769</v>
      </c>
      <c r="I64" s="599"/>
      <c r="J64" s="123"/>
    </row>
    <row r="65" spans="1:10" s="85" customFormat="1" x14ac:dyDescent="0.6">
      <c r="A65" s="85" t="s">
        <v>292</v>
      </c>
      <c r="B65" s="808" t="s">
        <v>804</v>
      </c>
      <c r="C65" s="127"/>
      <c r="D65" s="127"/>
      <c r="E65" s="127"/>
      <c r="F65" s="127" t="str">
        <f>B65</f>
        <v>ND</v>
      </c>
      <c r="G65" s="134"/>
      <c r="H65" s="686" t="s">
        <v>769</v>
      </c>
      <c r="I65" s="595"/>
      <c r="J65" s="123"/>
    </row>
    <row r="66" spans="1:10" s="85" customFormat="1" x14ac:dyDescent="0.6">
      <c r="A66" s="85" t="s">
        <v>293</v>
      </c>
      <c r="B66" s="127">
        <v>1115000000</v>
      </c>
      <c r="C66" s="127">
        <f>B66</f>
        <v>1115000000</v>
      </c>
      <c r="D66" s="127"/>
      <c r="E66" s="127"/>
      <c r="F66" s="127"/>
      <c r="G66" s="134"/>
      <c r="H66" s="686" t="s">
        <v>769</v>
      </c>
      <c r="I66" s="599"/>
      <c r="J66" s="123"/>
    </row>
    <row r="67" spans="1:10" s="85" customFormat="1" x14ac:dyDescent="0.6">
      <c r="A67" s="85" t="s">
        <v>372</v>
      </c>
      <c r="B67" s="808" t="s">
        <v>804</v>
      </c>
      <c r="C67" s="127"/>
      <c r="D67" s="127"/>
      <c r="E67" s="127"/>
      <c r="F67" s="127"/>
      <c r="G67" s="134"/>
      <c r="H67" s="686" t="s">
        <v>769</v>
      </c>
      <c r="I67" s="595"/>
      <c r="J67" s="123"/>
    </row>
    <row r="68" spans="1:10" s="85" customFormat="1" ht="15.9" thickBot="1" x14ac:dyDescent="0.65">
      <c r="A68" s="99" t="s">
        <v>373</v>
      </c>
      <c r="B68" s="771" t="s">
        <v>804</v>
      </c>
      <c r="C68" s="128"/>
      <c r="D68" s="128"/>
      <c r="E68" s="128"/>
      <c r="F68" s="128"/>
      <c r="G68" s="135"/>
      <c r="H68" s="686" t="s">
        <v>769</v>
      </c>
      <c r="I68" s="599"/>
      <c r="J68" s="123"/>
    </row>
    <row r="69" spans="1:10" s="192" customFormat="1" ht="15.9" thickTop="1" x14ac:dyDescent="0.6">
      <c r="A69" s="78" t="s">
        <v>3</v>
      </c>
      <c r="B69" s="723">
        <f>SUM(B70:B75)</f>
        <v>682923785</v>
      </c>
      <c r="C69" s="723">
        <f>SUM(C70:C75)</f>
        <v>228335959</v>
      </c>
      <c r="D69" s="723">
        <f>SUM(D70:D75)</f>
        <v>7845197</v>
      </c>
      <c r="E69" s="723"/>
      <c r="F69" s="723">
        <f>SUM(F70:F75)</f>
        <v>6742629</v>
      </c>
      <c r="G69" s="724">
        <f>SUM(G70:G75)</f>
        <v>0</v>
      </c>
      <c r="H69" s="686"/>
      <c r="I69" s="595"/>
      <c r="J69" s="123"/>
    </row>
    <row r="70" spans="1:10" s="85" customFormat="1" x14ac:dyDescent="0.6">
      <c r="A70" s="85" t="s">
        <v>285</v>
      </c>
      <c r="B70" s="123">
        <v>6742629</v>
      </c>
      <c r="C70" s="123"/>
      <c r="D70" s="123"/>
      <c r="E70" s="123"/>
      <c r="F70" s="123">
        <f>B70</f>
        <v>6742629</v>
      </c>
      <c r="G70" s="130"/>
      <c r="H70" s="686" t="s">
        <v>769</v>
      </c>
      <c r="I70" s="599"/>
      <c r="J70" s="123"/>
    </row>
    <row r="71" spans="1:10" s="85" customFormat="1" x14ac:dyDescent="0.6">
      <c r="A71" s="85" t="s">
        <v>374</v>
      </c>
      <c r="B71" s="123">
        <v>7845197</v>
      </c>
      <c r="C71" s="123"/>
      <c r="D71" s="123">
        <f>B71</f>
        <v>7845197</v>
      </c>
      <c r="E71" s="123"/>
      <c r="F71" s="123"/>
      <c r="G71" s="130"/>
      <c r="H71" s="686"/>
      <c r="I71" s="595"/>
      <c r="J71" s="123"/>
    </row>
    <row r="72" spans="1:10" s="85" customFormat="1" x14ac:dyDescent="0.6">
      <c r="A72" s="85" t="s">
        <v>289</v>
      </c>
      <c r="B72" s="123">
        <v>180000000</v>
      </c>
      <c r="C72" s="123">
        <f>B72</f>
        <v>180000000</v>
      </c>
      <c r="D72" s="123"/>
      <c r="E72" s="123"/>
      <c r="F72" s="123"/>
      <c r="G72" s="130"/>
      <c r="H72" s="686" t="s">
        <v>769</v>
      </c>
      <c r="I72" s="599"/>
      <c r="J72" s="123"/>
    </row>
    <row r="73" spans="1:10" s="85" customFormat="1" x14ac:dyDescent="0.6">
      <c r="A73" s="85" t="s">
        <v>375</v>
      </c>
      <c r="B73" s="123">
        <v>48335959</v>
      </c>
      <c r="C73" s="123">
        <f>B73</f>
        <v>48335959</v>
      </c>
      <c r="D73" s="123"/>
      <c r="E73" s="123"/>
      <c r="F73" s="123"/>
      <c r="G73" s="130"/>
      <c r="H73" s="686" t="s">
        <v>769</v>
      </c>
      <c r="I73" s="595"/>
      <c r="J73" s="123"/>
    </row>
    <row r="74" spans="1:10" s="85" customFormat="1" x14ac:dyDescent="0.6">
      <c r="A74" s="85" t="s">
        <v>291</v>
      </c>
      <c r="B74" s="123">
        <v>440000000</v>
      </c>
      <c r="C74" s="123"/>
      <c r="D74" s="123"/>
      <c r="E74" s="123"/>
      <c r="F74" s="123"/>
      <c r="G74" s="130"/>
      <c r="H74" s="686" t="s">
        <v>769</v>
      </c>
      <c r="I74" s="599"/>
      <c r="J74" s="123"/>
    </row>
    <row r="75" spans="1:10" s="85" customFormat="1" ht="15.9" thickBot="1" x14ac:dyDescent="0.65">
      <c r="A75" s="99" t="s">
        <v>985</v>
      </c>
      <c r="B75" s="598" t="s">
        <v>804</v>
      </c>
      <c r="C75" s="108"/>
      <c r="D75" s="124"/>
      <c r="E75" s="124"/>
      <c r="F75" s="99"/>
      <c r="G75" s="136"/>
      <c r="H75" s="686" t="s">
        <v>769</v>
      </c>
      <c r="I75" s="599"/>
      <c r="J75" s="123"/>
    </row>
    <row r="76" spans="1:10" s="192" customFormat="1" ht="15.9" thickTop="1" x14ac:dyDescent="0.6">
      <c r="A76" s="78" t="s">
        <v>4</v>
      </c>
      <c r="B76" s="723">
        <f>SUM(B77:B81)</f>
        <v>45058000</v>
      </c>
      <c r="C76" s="723">
        <f>SUM(C77:C81)</f>
        <v>43970000</v>
      </c>
      <c r="D76" s="723">
        <f>SUM(D77:D81)</f>
        <v>0</v>
      </c>
      <c r="E76" s="723"/>
      <c r="F76" s="723">
        <f>SUM(F77:F81)</f>
        <v>1088000</v>
      </c>
      <c r="G76" s="724">
        <f>SUM(G77:G81)</f>
        <v>0</v>
      </c>
      <c r="H76" s="686"/>
      <c r="I76" s="595"/>
      <c r="J76" s="123"/>
    </row>
    <row r="77" spans="1:10" s="85" customFormat="1" x14ac:dyDescent="0.6">
      <c r="A77" s="85" t="s">
        <v>294</v>
      </c>
      <c r="B77" s="123">
        <v>1088000</v>
      </c>
      <c r="C77" s="123"/>
      <c r="D77" s="123"/>
      <c r="E77" s="123"/>
      <c r="F77" s="123">
        <f>B77</f>
        <v>1088000</v>
      </c>
      <c r="G77" s="130"/>
      <c r="H77" s="686" t="s">
        <v>769</v>
      </c>
      <c r="I77" s="599"/>
      <c r="J77" s="123"/>
    </row>
    <row r="78" spans="1:10" s="85" customFormat="1" x14ac:dyDescent="0.6">
      <c r="A78" s="85" t="s">
        <v>295</v>
      </c>
      <c r="B78" s="123">
        <v>43720000</v>
      </c>
      <c r="C78" s="123">
        <f>B78</f>
        <v>43720000</v>
      </c>
      <c r="D78" s="123"/>
      <c r="E78" s="123"/>
      <c r="F78" s="123"/>
      <c r="G78" s="130"/>
      <c r="H78" s="686" t="s">
        <v>769</v>
      </c>
      <c r="I78" s="595"/>
      <c r="J78" s="123"/>
    </row>
    <row r="79" spans="1:10" s="85" customFormat="1" x14ac:dyDescent="0.6">
      <c r="A79" s="85" t="s">
        <v>986</v>
      </c>
      <c r="B79" s="772" t="s">
        <v>804</v>
      </c>
      <c r="C79" s="123"/>
      <c r="D79" s="123"/>
      <c r="E79" s="123"/>
      <c r="F79" s="123"/>
      <c r="G79" s="130"/>
      <c r="H79" s="686" t="s">
        <v>769</v>
      </c>
      <c r="I79" s="599"/>
      <c r="J79" s="123"/>
    </row>
    <row r="80" spans="1:10" s="85" customFormat="1" x14ac:dyDescent="0.6">
      <c r="A80" s="85" t="s">
        <v>376</v>
      </c>
      <c r="B80" s="123">
        <v>250000</v>
      </c>
      <c r="C80" s="123">
        <f>B80</f>
        <v>250000</v>
      </c>
      <c r="D80" s="123"/>
      <c r="E80" s="123"/>
      <c r="F80" s="123"/>
      <c r="G80" s="130"/>
      <c r="H80" s="686" t="s">
        <v>769</v>
      </c>
      <c r="I80" s="595"/>
      <c r="J80" s="123"/>
    </row>
    <row r="81" spans="1:10" s="85" customFormat="1" ht="15.9" thickBot="1" x14ac:dyDescent="0.65">
      <c r="A81" s="99" t="s">
        <v>381</v>
      </c>
      <c r="B81" s="598" t="s">
        <v>804</v>
      </c>
      <c r="C81" s="124"/>
      <c r="D81" s="124"/>
      <c r="E81" s="124"/>
      <c r="F81" s="124"/>
      <c r="G81" s="131"/>
      <c r="H81" s="686" t="s">
        <v>769</v>
      </c>
      <c r="I81" s="599"/>
      <c r="J81" s="123"/>
    </row>
    <row r="82" spans="1:10" s="192" customFormat="1" ht="15.9" thickTop="1" x14ac:dyDescent="0.6">
      <c r="A82" s="78" t="s">
        <v>5</v>
      </c>
      <c r="B82" s="723">
        <f t="shared" ref="B82:G82" si="2">SUM(B83:B90)</f>
        <v>385843731</v>
      </c>
      <c r="C82" s="723">
        <f t="shared" si="2"/>
        <v>0</v>
      </c>
      <c r="D82" s="723">
        <f t="shared" si="2"/>
        <v>185956639</v>
      </c>
      <c r="E82" s="723">
        <f t="shared" si="2"/>
        <v>2434927</v>
      </c>
      <c r="F82" s="723">
        <f t="shared" si="2"/>
        <v>197452165</v>
      </c>
      <c r="G82" s="724">
        <f t="shared" si="2"/>
        <v>0</v>
      </c>
      <c r="H82" s="686"/>
      <c r="I82" s="595"/>
      <c r="J82" s="123"/>
    </row>
    <row r="83" spans="1:10" s="85" customFormat="1" x14ac:dyDescent="0.6">
      <c r="A83" s="85" t="s">
        <v>377</v>
      </c>
      <c r="B83" s="772" t="s">
        <v>804</v>
      </c>
      <c r="C83" s="123"/>
      <c r="D83" s="123"/>
      <c r="E83" s="123"/>
      <c r="F83" s="123"/>
      <c r="G83" s="130"/>
      <c r="H83" s="686"/>
      <c r="I83" s="599"/>
      <c r="J83" s="123"/>
    </row>
    <row r="84" spans="1:10" s="85" customFormat="1" x14ac:dyDescent="0.6">
      <c r="A84" s="85" t="s">
        <v>378</v>
      </c>
      <c r="B84" s="123">
        <v>185956639</v>
      </c>
      <c r="C84" s="123"/>
      <c r="D84" s="123">
        <f>B84</f>
        <v>185956639</v>
      </c>
      <c r="E84" s="123"/>
      <c r="F84" s="123"/>
      <c r="G84" s="130"/>
      <c r="H84" s="838"/>
      <c r="I84" s="1565"/>
      <c r="J84" s="1"/>
    </row>
    <row r="85" spans="1:10" s="85" customFormat="1" x14ac:dyDescent="0.6">
      <c r="A85" s="85" t="s">
        <v>987</v>
      </c>
      <c r="B85" s="123">
        <v>182553787</v>
      </c>
      <c r="C85" s="123"/>
      <c r="D85" s="123"/>
      <c r="E85" s="123"/>
      <c r="F85" s="123">
        <f>B85</f>
        <v>182553787</v>
      </c>
      <c r="G85" s="130"/>
      <c r="H85" s="838"/>
      <c r="I85" s="593"/>
      <c r="J85" s="1"/>
    </row>
    <row r="86" spans="1:10" s="85" customFormat="1" x14ac:dyDescent="0.6">
      <c r="A86" s="85" t="s">
        <v>988</v>
      </c>
      <c r="B86" s="772" t="s">
        <v>804</v>
      </c>
      <c r="C86" s="123"/>
      <c r="D86" s="123"/>
      <c r="E86" s="123"/>
      <c r="F86" s="123"/>
      <c r="G86" s="130"/>
      <c r="H86" s="838" t="s">
        <v>769</v>
      </c>
      <c r="I86" s="593"/>
      <c r="J86" s="1"/>
    </row>
    <row r="87" spans="1:10" s="85" customFormat="1" x14ac:dyDescent="0.6">
      <c r="A87" s="85" t="s">
        <v>313</v>
      </c>
      <c r="B87" s="123">
        <v>12502948</v>
      </c>
      <c r="C87" s="123"/>
      <c r="D87" s="123"/>
      <c r="E87" s="123"/>
      <c r="F87" s="123">
        <f>B87</f>
        <v>12502948</v>
      </c>
      <c r="G87" s="130"/>
      <c r="H87" s="838" t="s">
        <v>769</v>
      </c>
      <c r="I87" s="593"/>
      <c r="J87" s="1"/>
    </row>
    <row r="88" spans="1:10" s="85" customFormat="1" x14ac:dyDescent="0.6">
      <c r="A88" s="85" t="s">
        <v>314</v>
      </c>
      <c r="B88" s="123">
        <v>1986822</v>
      </c>
      <c r="C88" s="123"/>
      <c r="D88" s="123"/>
      <c r="E88" s="123"/>
      <c r="F88" s="123">
        <f>B88</f>
        <v>1986822</v>
      </c>
      <c r="G88" s="130"/>
      <c r="H88" s="838" t="s">
        <v>769</v>
      </c>
      <c r="I88" s="593"/>
      <c r="J88" s="1"/>
    </row>
    <row r="89" spans="1:10" s="85" customFormat="1" x14ac:dyDescent="0.6">
      <c r="A89" s="85" t="s">
        <v>379</v>
      </c>
      <c r="B89" s="123">
        <v>408608</v>
      </c>
      <c r="C89" s="123"/>
      <c r="D89" s="123"/>
      <c r="E89" s="123"/>
      <c r="F89" s="123">
        <f>B89</f>
        <v>408608</v>
      </c>
      <c r="G89" s="130"/>
      <c r="H89" s="838" t="s">
        <v>769</v>
      </c>
      <c r="I89" s="593"/>
      <c r="J89" s="1"/>
    </row>
    <row r="90" spans="1:10" s="85" customFormat="1" ht="15.9" thickBot="1" x14ac:dyDescent="0.65">
      <c r="A90" s="99" t="s">
        <v>380</v>
      </c>
      <c r="B90" s="124">
        <v>2434927</v>
      </c>
      <c r="C90" s="108"/>
      <c r="D90" s="124"/>
      <c r="E90" s="124">
        <f>B90</f>
        <v>2434927</v>
      </c>
      <c r="F90" s="99"/>
      <c r="G90" s="136"/>
      <c r="H90" s="838" t="s">
        <v>769</v>
      </c>
      <c r="I90" s="593"/>
      <c r="J90" s="1"/>
    </row>
    <row r="91" spans="1:10" s="748" customFormat="1" ht="15.9" thickTop="1" x14ac:dyDescent="0.6">
      <c r="A91" s="1060" t="s">
        <v>6</v>
      </c>
      <c r="B91" s="723">
        <f>SUM(B92:B94)</f>
        <v>633360000</v>
      </c>
      <c r="C91" s="723">
        <f t="shared" ref="C91:G91" si="3">SUM(C92:C94)</f>
        <v>122290000</v>
      </c>
      <c r="D91" s="723">
        <f t="shared" si="3"/>
        <v>0</v>
      </c>
      <c r="E91" s="723">
        <f t="shared" si="3"/>
        <v>94800000</v>
      </c>
      <c r="F91" s="723">
        <f t="shared" si="3"/>
        <v>416270000</v>
      </c>
      <c r="G91" s="724">
        <f t="shared" si="3"/>
        <v>0</v>
      </c>
      <c r="H91" s="838"/>
      <c r="I91" s="593"/>
      <c r="J91" s="1"/>
    </row>
    <row r="92" spans="1:10" s="123" customFormat="1" x14ac:dyDescent="0.6">
      <c r="A92" s="599" t="s">
        <v>732</v>
      </c>
      <c r="B92" s="599">
        <v>122290000</v>
      </c>
      <c r="C92" s="599">
        <f>B92</f>
        <v>122290000</v>
      </c>
      <c r="D92" s="599"/>
      <c r="E92" s="599"/>
      <c r="F92" s="599"/>
      <c r="G92" s="130"/>
      <c r="H92" s="838" t="s">
        <v>769</v>
      </c>
      <c r="I92" s="593"/>
      <c r="J92" s="1"/>
    </row>
    <row r="93" spans="1:10" s="123" customFormat="1" x14ac:dyDescent="0.6">
      <c r="A93" s="599" t="s">
        <v>719</v>
      </c>
      <c r="B93" s="599">
        <v>416270000</v>
      </c>
      <c r="C93" s="599"/>
      <c r="D93" s="599"/>
      <c r="E93" s="599"/>
      <c r="F93" s="599">
        <f>B93</f>
        <v>416270000</v>
      </c>
      <c r="G93" s="130"/>
      <c r="H93" s="838" t="s">
        <v>769</v>
      </c>
      <c r="I93" s="593"/>
      <c r="J93" s="1"/>
    </row>
    <row r="94" spans="1:10" s="85" customFormat="1" ht="15.9" thickBot="1" x14ac:dyDescent="0.65">
      <c r="A94" s="99" t="s">
        <v>989</v>
      </c>
      <c r="B94" s="124">
        <v>94800000</v>
      </c>
      <c r="C94" s="108"/>
      <c r="D94" s="124"/>
      <c r="E94" s="124">
        <f>B94</f>
        <v>94800000</v>
      </c>
      <c r="F94" s="99"/>
      <c r="G94" s="136"/>
      <c r="H94" s="838" t="s">
        <v>769</v>
      </c>
      <c r="I94" s="593"/>
      <c r="J94" s="1"/>
    </row>
    <row r="95" spans="1:10" s="192" customFormat="1" ht="15.9" thickTop="1" x14ac:dyDescent="0.6">
      <c r="A95" s="78" t="s">
        <v>7</v>
      </c>
      <c r="B95" s="723">
        <f>SUM(B98:B111)</f>
        <v>3223567455</v>
      </c>
      <c r="C95" s="723">
        <f>SUM(C96:C111)</f>
        <v>970409546</v>
      </c>
      <c r="D95" s="723">
        <f t="shared" ref="D95:G95" si="4">SUM(D96:D111)</f>
        <v>0</v>
      </c>
      <c r="E95" s="723">
        <f t="shared" si="4"/>
        <v>0</v>
      </c>
      <c r="F95" s="723">
        <f t="shared" si="4"/>
        <v>2255210822</v>
      </c>
      <c r="G95" s="724">
        <f t="shared" si="4"/>
        <v>0</v>
      </c>
      <c r="H95" s="838"/>
      <c r="I95" s="593"/>
      <c r="J95" s="1"/>
    </row>
    <row r="96" spans="1:10" s="85" customFormat="1" x14ac:dyDescent="0.6">
      <c r="A96" s="85" t="s">
        <v>990</v>
      </c>
      <c r="B96" s="686" t="s">
        <v>804</v>
      </c>
      <c r="C96" s="599"/>
      <c r="D96" s="599"/>
      <c r="E96" s="599"/>
      <c r="F96" s="599"/>
      <c r="G96" s="130"/>
      <c r="H96" s="838"/>
      <c r="I96" s="593"/>
      <c r="J96" s="1"/>
    </row>
    <row r="97" spans="1:10" s="85" customFormat="1" x14ac:dyDescent="0.6">
      <c r="A97" s="85" t="s">
        <v>908</v>
      </c>
      <c r="B97" s="599">
        <v>2052913</v>
      </c>
      <c r="C97" s="599">
        <f>B97</f>
        <v>2052913</v>
      </c>
      <c r="D97" s="599"/>
      <c r="E97" s="599"/>
      <c r="F97" s="599"/>
      <c r="G97" s="130"/>
      <c r="H97" s="838"/>
      <c r="I97" s="593"/>
      <c r="J97" s="1"/>
    </row>
    <row r="98" spans="1:10" s="85" customFormat="1" x14ac:dyDescent="0.6">
      <c r="A98" s="85" t="s">
        <v>991</v>
      </c>
      <c r="B98" s="123">
        <v>923743</v>
      </c>
      <c r="C98" s="123"/>
      <c r="D98" s="123"/>
      <c r="E98" s="123"/>
      <c r="F98" s="123">
        <f>B98</f>
        <v>923743</v>
      </c>
      <c r="G98" s="130"/>
      <c r="H98" s="1063" t="s">
        <v>769</v>
      </c>
      <c r="I98" s="1062"/>
      <c r="J98" s="123"/>
    </row>
    <row r="99" spans="1:10" s="85" customFormat="1" x14ac:dyDescent="0.6">
      <c r="A99" s="85" t="s">
        <v>992</v>
      </c>
      <c r="B99" s="123">
        <v>587836</v>
      </c>
      <c r="C99" s="123"/>
      <c r="D99" s="123"/>
      <c r="E99" s="123"/>
      <c r="F99" s="123">
        <f>B99</f>
        <v>587836</v>
      </c>
      <c r="G99" s="130"/>
      <c r="H99" s="686" t="s">
        <v>769</v>
      </c>
      <c r="I99" s="595"/>
      <c r="J99" s="123"/>
    </row>
    <row r="100" spans="1:10" s="85" customFormat="1" x14ac:dyDescent="0.6">
      <c r="A100" s="85" t="s">
        <v>910</v>
      </c>
      <c r="B100" s="123">
        <v>457026623</v>
      </c>
      <c r="C100" s="123">
        <f>B100</f>
        <v>457026623</v>
      </c>
      <c r="D100" s="123"/>
      <c r="E100" s="123"/>
      <c r="F100" s="123"/>
      <c r="G100" s="130"/>
      <c r="H100" s="1063" t="s">
        <v>769</v>
      </c>
      <c r="I100" s="600"/>
      <c r="J100" s="145"/>
    </row>
    <row r="101" spans="1:10" s="85" customFormat="1" x14ac:dyDescent="0.6">
      <c r="A101" s="85" t="s">
        <v>304</v>
      </c>
      <c r="B101" s="123">
        <v>52426062</v>
      </c>
      <c r="C101" s="123">
        <f>B101</f>
        <v>52426062</v>
      </c>
      <c r="D101" s="123"/>
      <c r="E101" s="123"/>
      <c r="F101" s="123"/>
      <c r="G101" s="130"/>
      <c r="H101" s="1406" t="s">
        <v>769</v>
      </c>
      <c r="I101" s="1566"/>
      <c r="J101" s="123"/>
    </row>
    <row r="102" spans="1:10" s="85" customFormat="1" x14ac:dyDescent="0.6">
      <c r="A102" s="85" t="s">
        <v>305</v>
      </c>
      <c r="B102" s="123">
        <v>16960140</v>
      </c>
      <c r="C102" s="123">
        <f>B102</f>
        <v>16960140</v>
      </c>
      <c r="D102" s="123"/>
      <c r="E102" s="123"/>
      <c r="F102" s="123"/>
      <c r="G102" s="130"/>
      <c r="H102" s="1406" t="s">
        <v>769</v>
      </c>
      <c r="I102" s="601"/>
      <c r="J102" s="123"/>
    </row>
    <row r="103" spans="1:10" s="85" customFormat="1" x14ac:dyDescent="0.6">
      <c r="A103" s="85" t="s">
        <v>993</v>
      </c>
      <c r="B103" s="123">
        <v>15943808</v>
      </c>
      <c r="C103" s="123">
        <f>B103</f>
        <v>15943808</v>
      </c>
      <c r="D103" s="123"/>
      <c r="E103" s="123"/>
      <c r="F103" s="123"/>
      <c r="G103" s="130"/>
      <c r="H103" s="1406" t="s">
        <v>769</v>
      </c>
      <c r="I103" s="601"/>
      <c r="J103" s="123"/>
    </row>
    <row r="104" spans="1:10" s="85" customFormat="1" x14ac:dyDescent="0.6">
      <c r="A104" s="85" t="s">
        <v>994</v>
      </c>
      <c r="B104" s="772" t="s">
        <v>804</v>
      </c>
      <c r="C104" s="123"/>
      <c r="D104" s="123"/>
      <c r="E104" s="123"/>
      <c r="F104" s="123"/>
      <c r="G104" s="130"/>
      <c r="H104" s="1406" t="s">
        <v>769</v>
      </c>
      <c r="I104" s="601"/>
      <c r="J104" s="123"/>
    </row>
    <row r="105" spans="1:10" s="85" customFormat="1" x14ac:dyDescent="0.6">
      <c r="A105" s="85" t="s">
        <v>995</v>
      </c>
      <c r="B105" s="772" t="s">
        <v>804</v>
      </c>
      <c r="C105" s="123"/>
      <c r="D105" s="123"/>
      <c r="E105" s="123"/>
      <c r="F105" s="123"/>
      <c r="G105" s="130"/>
      <c r="H105" s="1406" t="s">
        <v>769</v>
      </c>
      <c r="I105" s="601"/>
      <c r="J105" s="123"/>
    </row>
    <row r="106" spans="1:10" s="85" customFormat="1" x14ac:dyDescent="0.6">
      <c r="A106" s="85" t="s">
        <v>996</v>
      </c>
      <c r="B106" s="123">
        <v>1783000000</v>
      </c>
      <c r="C106" s="123"/>
      <c r="D106" s="123"/>
      <c r="E106" s="123"/>
      <c r="F106" s="123">
        <f>B106</f>
        <v>1783000000</v>
      </c>
      <c r="G106" s="130"/>
      <c r="H106" s="1406" t="s">
        <v>769</v>
      </c>
      <c r="I106" s="601"/>
      <c r="J106" s="123"/>
    </row>
    <row r="107" spans="1:10" s="85" customFormat="1" x14ac:dyDescent="0.6">
      <c r="A107" s="85" t="s">
        <v>997</v>
      </c>
      <c r="B107" s="123">
        <v>375000000</v>
      </c>
      <c r="C107" s="123">
        <f>B107</f>
        <v>375000000</v>
      </c>
      <c r="D107" s="123"/>
      <c r="E107" s="123"/>
      <c r="F107" s="123"/>
      <c r="G107" s="130"/>
      <c r="H107" s="1406" t="s">
        <v>769</v>
      </c>
      <c r="I107" s="601"/>
      <c r="J107" s="123"/>
    </row>
    <row r="108" spans="1:10" s="85" customFormat="1" x14ac:dyDescent="0.6">
      <c r="A108" s="85" t="s">
        <v>998</v>
      </c>
      <c r="B108" s="123">
        <v>51000000</v>
      </c>
      <c r="C108" s="123">
        <f>B108</f>
        <v>51000000</v>
      </c>
      <c r="D108" s="123"/>
      <c r="E108" s="123"/>
      <c r="F108" s="123"/>
      <c r="G108" s="130"/>
      <c r="H108" s="1406" t="s">
        <v>769</v>
      </c>
      <c r="I108" s="601"/>
      <c r="J108" s="123"/>
    </row>
    <row r="109" spans="1:10" s="85" customFormat="1" x14ac:dyDescent="0.6">
      <c r="A109" s="85" t="s">
        <v>999</v>
      </c>
      <c r="B109" s="123">
        <v>95699243</v>
      </c>
      <c r="C109" s="123"/>
      <c r="D109" s="123"/>
      <c r="E109" s="123"/>
      <c r="F109" s="123">
        <f>B109</f>
        <v>95699243</v>
      </c>
      <c r="G109" s="130"/>
      <c r="H109" s="1572" t="s">
        <v>769</v>
      </c>
      <c r="I109" s="1567"/>
      <c r="J109" s="123"/>
    </row>
    <row r="110" spans="1:10" s="85" customFormat="1" x14ac:dyDescent="0.6">
      <c r="A110" s="85" t="s">
        <v>310</v>
      </c>
      <c r="B110" s="123">
        <v>340000000</v>
      </c>
      <c r="C110" s="123"/>
      <c r="D110" s="123"/>
      <c r="E110" s="123"/>
      <c r="F110" s="123">
        <f>B110</f>
        <v>340000000</v>
      </c>
      <c r="G110" s="130"/>
      <c r="H110" s="1065" t="s">
        <v>769</v>
      </c>
      <c r="I110" s="694"/>
      <c r="J110" s="123"/>
    </row>
    <row r="111" spans="1:10" s="85" customFormat="1" ht="15.9" thickBot="1" x14ac:dyDescent="0.65">
      <c r="A111" s="99" t="s">
        <v>1000</v>
      </c>
      <c r="B111" s="123">
        <v>35000000</v>
      </c>
      <c r="C111" s="124"/>
      <c r="D111" s="124"/>
      <c r="E111" s="124"/>
      <c r="F111" s="123">
        <f>B111</f>
        <v>35000000</v>
      </c>
      <c r="G111" s="136"/>
      <c r="H111" s="1065" t="s">
        <v>769</v>
      </c>
      <c r="I111" s="694"/>
      <c r="J111" s="123"/>
    </row>
    <row r="112" spans="1:10" s="748" customFormat="1" ht="15.9" thickTop="1" x14ac:dyDescent="0.6">
      <c r="A112" s="1060" t="s">
        <v>8</v>
      </c>
      <c r="B112" s="723">
        <f>SUM(B113:B120)</f>
        <v>127316509</v>
      </c>
      <c r="C112" s="723">
        <f t="shared" ref="C112:G112" si="5">SUM(C113:C120)</f>
        <v>13100000</v>
      </c>
      <c r="D112" s="723">
        <f t="shared" si="5"/>
        <v>25349523</v>
      </c>
      <c r="E112" s="723">
        <f t="shared" si="5"/>
        <v>0</v>
      </c>
      <c r="F112" s="723">
        <f t="shared" si="5"/>
        <v>88866986</v>
      </c>
      <c r="G112" s="724">
        <f t="shared" si="5"/>
        <v>0</v>
      </c>
      <c r="H112" s="1065"/>
      <c r="I112" s="694"/>
      <c r="J112" s="123"/>
    </row>
    <row r="113" spans="1:10" s="123" customFormat="1" x14ac:dyDescent="0.6">
      <c r="A113" s="599" t="s">
        <v>1005</v>
      </c>
      <c r="B113" s="599">
        <v>25349523</v>
      </c>
      <c r="C113" s="599"/>
      <c r="D113" s="599">
        <f>B113</f>
        <v>25349523</v>
      </c>
      <c r="E113" s="599"/>
      <c r="F113" s="599"/>
      <c r="G113" s="130"/>
      <c r="H113" s="1065"/>
      <c r="I113" s="694"/>
    </row>
    <row r="114" spans="1:10" s="123" customFormat="1" x14ac:dyDescent="0.6">
      <c r="A114" s="599" t="s">
        <v>735</v>
      </c>
      <c r="B114" s="686" t="s">
        <v>804</v>
      </c>
      <c r="C114" s="599"/>
      <c r="D114" s="599"/>
      <c r="E114" s="599"/>
      <c r="F114" s="599"/>
      <c r="G114" s="130"/>
      <c r="H114" s="1065" t="s">
        <v>769</v>
      </c>
      <c r="I114" s="694"/>
    </row>
    <row r="115" spans="1:10" s="123" customFormat="1" x14ac:dyDescent="0.6">
      <c r="A115" s="599" t="s">
        <v>1001</v>
      </c>
      <c r="B115" s="599">
        <v>64972</v>
      </c>
      <c r="C115" s="599"/>
      <c r="D115" s="599"/>
      <c r="E115" s="599"/>
      <c r="F115" s="599">
        <f>B115</f>
        <v>64972</v>
      </c>
      <c r="G115" s="130"/>
      <c r="H115" s="1065" t="s">
        <v>769</v>
      </c>
      <c r="I115" s="694"/>
    </row>
    <row r="116" spans="1:10" s="123" customFormat="1" x14ac:dyDescent="0.6">
      <c r="A116" s="599" t="s">
        <v>1002</v>
      </c>
      <c r="B116" s="599">
        <v>65333538</v>
      </c>
      <c r="C116" s="599"/>
      <c r="D116" s="599"/>
      <c r="E116" s="599"/>
      <c r="F116" s="599">
        <f>B116</f>
        <v>65333538</v>
      </c>
      <c r="G116" s="130"/>
      <c r="H116" s="1090" t="s">
        <v>769</v>
      </c>
      <c r="I116" s="1568"/>
    </row>
    <row r="117" spans="1:10" s="123" customFormat="1" x14ac:dyDescent="0.6">
      <c r="A117" s="599" t="s">
        <v>1003</v>
      </c>
      <c r="B117" s="599">
        <v>23468476</v>
      </c>
      <c r="C117" s="599"/>
      <c r="D117" s="599"/>
      <c r="E117" s="599"/>
      <c r="F117" s="599">
        <f>B117</f>
        <v>23468476</v>
      </c>
      <c r="G117" s="130"/>
      <c r="H117" s="1090" t="s">
        <v>769</v>
      </c>
      <c r="I117" s="605"/>
    </row>
    <row r="118" spans="1:10" s="123" customFormat="1" x14ac:dyDescent="0.6">
      <c r="A118" s="599" t="s">
        <v>1004</v>
      </c>
      <c r="B118" s="599">
        <v>13100000</v>
      </c>
      <c r="C118" s="599">
        <f>B118</f>
        <v>13100000</v>
      </c>
      <c r="D118" s="599"/>
      <c r="E118" s="599"/>
      <c r="F118" s="599"/>
      <c r="G118" s="130"/>
      <c r="H118" s="1090" t="s">
        <v>769</v>
      </c>
      <c r="I118" s="605"/>
    </row>
    <row r="119" spans="1:10" s="123" customFormat="1" x14ac:dyDescent="0.6">
      <c r="A119" s="599" t="s">
        <v>911</v>
      </c>
      <c r="B119" s="686" t="s">
        <v>804</v>
      </c>
      <c r="C119" s="599"/>
      <c r="D119" s="599"/>
      <c r="E119" s="599"/>
      <c r="F119" s="599"/>
      <c r="G119" s="130"/>
      <c r="H119" s="686" t="s">
        <v>769</v>
      </c>
      <c r="I119" s="595"/>
    </row>
    <row r="120" spans="1:10" s="85" customFormat="1" ht="15.9" thickBot="1" x14ac:dyDescent="0.65">
      <c r="A120" s="99" t="s">
        <v>912</v>
      </c>
      <c r="B120" s="598" t="s">
        <v>804</v>
      </c>
      <c r="C120" s="108"/>
      <c r="D120" s="124"/>
      <c r="E120" s="124"/>
      <c r="F120" s="99"/>
      <c r="G120" s="136"/>
      <c r="H120" s="686"/>
      <c r="I120" s="599"/>
      <c r="J120" s="123"/>
    </row>
    <row r="121" spans="1:10" s="192" customFormat="1" ht="15.9" thickTop="1" x14ac:dyDescent="0.6">
      <c r="A121" s="78" t="s">
        <v>9</v>
      </c>
      <c r="B121" s="723">
        <f t="shared" ref="B121:G121" si="6">SUM(B122:B143)</f>
        <v>9103557528</v>
      </c>
      <c r="C121" s="723">
        <f t="shared" si="6"/>
        <v>5176090199</v>
      </c>
      <c r="D121" s="723">
        <f t="shared" si="6"/>
        <v>0</v>
      </c>
      <c r="E121" s="723">
        <f t="shared" si="6"/>
        <v>31670000</v>
      </c>
      <c r="F121" s="723">
        <f t="shared" si="6"/>
        <v>3895797329</v>
      </c>
      <c r="G121" s="724">
        <f t="shared" si="6"/>
        <v>0</v>
      </c>
      <c r="H121" s="686"/>
      <c r="I121" s="599"/>
      <c r="J121" s="123"/>
    </row>
    <row r="122" spans="1:10" s="85" customFormat="1" x14ac:dyDescent="0.6">
      <c r="A122" s="85" t="s">
        <v>318</v>
      </c>
      <c r="B122" s="1078">
        <v>416721653</v>
      </c>
      <c r="C122" s="123"/>
      <c r="D122" s="123"/>
      <c r="E122" s="123"/>
      <c r="F122" s="123">
        <f>B122</f>
        <v>416721653</v>
      </c>
      <c r="G122" s="130"/>
      <c r="H122" s="686" t="s">
        <v>769</v>
      </c>
      <c r="I122" s="599"/>
      <c r="J122" s="123"/>
    </row>
    <row r="123" spans="1:10" s="85" customFormat="1" x14ac:dyDescent="0.6">
      <c r="A123" s="85" t="s">
        <v>319</v>
      </c>
      <c r="B123" s="599">
        <v>7700000</v>
      </c>
      <c r="C123" s="123">
        <f>B123</f>
        <v>7700000</v>
      </c>
      <c r="D123" s="123"/>
      <c r="E123" s="123"/>
      <c r="F123" s="123"/>
      <c r="G123" s="130"/>
      <c r="H123" s="686" t="s">
        <v>769</v>
      </c>
      <c r="I123" s="599"/>
      <c r="J123" s="123"/>
    </row>
    <row r="124" spans="1:10" s="85" customFormat="1" x14ac:dyDescent="0.6">
      <c r="A124" s="85" t="s">
        <v>320</v>
      </c>
      <c r="B124" s="599">
        <v>885800000</v>
      </c>
      <c r="C124" s="123"/>
      <c r="D124" s="123"/>
      <c r="E124" s="123"/>
      <c r="F124" s="123">
        <f>B124</f>
        <v>885800000</v>
      </c>
      <c r="G124" s="130"/>
      <c r="H124" s="686" t="s">
        <v>769</v>
      </c>
      <c r="I124" s="599"/>
      <c r="J124" s="123"/>
    </row>
    <row r="125" spans="1:10" s="85" customFormat="1" x14ac:dyDescent="0.6">
      <c r="A125" s="85" t="s">
        <v>321</v>
      </c>
      <c r="B125" s="599">
        <v>4970000</v>
      </c>
      <c r="C125" s="123"/>
      <c r="D125" s="123"/>
      <c r="E125" s="123">
        <f>B125</f>
        <v>4970000</v>
      </c>
      <c r="F125" s="123"/>
      <c r="G125" s="130"/>
      <c r="H125" s="686" t="s">
        <v>769</v>
      </c>
      <c r="I125" s="599"/>
      <c r="J125" s="123"/>
    </row>
    <row r="126" spans="1:10" s="85" customFormat="1" x14ac:dyDescent="0.6">
      <c r="A126" s="85" t="s">
        <v>322</v>
      </c>
      <c r="B126" s="599">
        <v>1292320000</v>
      </c>
      <c r="C126" s="123"/>
      <c r="D126" s="123"/>
      <c r="E126" s="123"/>
      <c r="F126" s="123">
        <f>B126</f>
        <v>1292320000</v>
      </c>
      <c r="G126" s="130"/>
      <c r="H126" s="686" t="s">
        <v>769</v>
      </c>
      <c r="I126" s="599"/>
      <c r="J126" s="123"/>
    </row>
    <row r="127" spans="1:10" s="85" customFormat="1" x14ac:dyDescent="0.6">
      <c r="A127" s="85" t="s">
        <v>323</v>
      </c>
      <c r="B127" s="599">
        <v>119519594</v>
      </c>
      <c r="C127" s="123">
        <f>B127</f>
        <v>119519594</v>
      </c>
      <c r="D127" s="123"/>
      <c r="E127" s="123"/>
      <c r="F127" s="123"/>
      <c r="G127" s="130"/>
      <c r="H127" s="686" t="s">
        <v>769</v>
      </c>
      <c r="I127" s="599"/>
      <c r="J127" s="123"/>
    </row>
    <row r="128" spans="1:10" s="85" customFormat="1" x14ac:dyDescent="0.6">
      <c r="A128" s="85" t="s">
        <v>324</v>
      </c>
      <c r="B128" s="599">
        <v>26700000</v>
      </c>
      <c r="C128" s="123"/>
      <c r="D128" s="123"/>
      <c r="E128" s="123">
        <f>B128</f>
        <v>26700000</v>
      </c>
      <c r="F128" s="123"/>
      <c r="G128" s="130"/>
      <c r="H128" s="686" t="s">
        <v>769</v>
      </c>
      <c r="I128" s="599"/>
      <c r="J128" s="123"/>
    </row>
    <row r="129" spans="1:10" s="85" customFormat="1" x14ac:dyDescent="0.6">
      <c r="A129" s="85" t="s">
        <v>325</v>
      </c>
      <c r="B129" s="599">
        <v>22880000</v>
      </c>
      <c r="C129" s="123">
        <f>B129</f>
        <v>22880000</v>
      </c>
      <c r="D129" s="123"/>
      <c r="E129" s="123"/>
      <c r="F129" s="123"/>
      <c r="G129" s="130"/>
      <c r="H129" s="838" t="s">
        <v>769</v>
      </c>
      <c r="I129" s="1565"/>
      <c r="J129" s="123"/>
    </row>
    <row r="130" spans="1:10" s="85" customFormat="1" x14ac:dyDescent="0.6">
      <c r="A130" s="85" t="s">
        <v>326</v>
      </c>
      <c r="B130" s="599">
        <v>500000</v>
      </c>
      <c r="C130" s="123"/>
      <c r="D130" s="123"/>
      <c r="E130" s="123"/>
      <c r="F130" s="123">
        <f>B130</f>
        <v>500000</v>
      </c>
      <c r="G130" s="130"/>
      <c r="H130" s="838" t="s">
        <v>769</v>
      </c>
      <c r="I130" s="593"/>
      <c r="J130" s="123"/>
    </row>
    <row r="131" spans="1:10" s="85" customFormat="1" x14ac:dyDescent="0.6">
      <c r="A131" s="85" t="s">
        <v>1006</v>
      </c>
      <c r="B131" s="599">
        <v>500000</v>
      </c>
      <c r="C131" s="123"/>
      <c r="D131" s="123"/>
      <c r="E131" s="123"/>
      <c r="F131" s="123">
        <f>B131</f>
        <v>500000</v>
      </c>
      <c r="G131" s="130"/>
      <c r="H131" s="774" t="s">
        <v>769</v>
      </c>
      <c r="I131" s="1569"/>
      <c r="J131" s="123"/>
    </row>
    <row r="132" spans="1:10" s="85" customFormat="1" x14ac:dyDescent="0.6">
      <c r="A132" s="85" t="s">
        <v>1007</v>
      </c>
      <c r="B132" s="599">
        <v>500000</v>
      </c>
      <c r="C132" s="123"/>
      <c r="D132" s="123"/>
      <c r="E132" s="123"/>
      <c r="F132" s="123">
        <f>B132</f>
        <v>500000</v>
      </c>
      <c r="G132" s="130"/>
      <c r="H132" s="774" t="s">
        <v>769</v>
      </c>
      <c r="I132" s="608"/>
      <c r="J132" s="123"/>
    </row>
    <row r="133" spans="1:10" s="85" customFormat="1" x14ac:dyDescent="0.6">
      <c r="A133" s="85" t="s">
        <v>327</v>
      </c>
      <c r="B133" s="599">
        <v>1000000</v>
      </c>
      <c r="C133" s="123"/>
      <c r="D133" s="123"/>
      <c r="E133" s="123"/>
      <c r="F133" s="123">
        <f>B133</f>
        <v>1000000</v>
      </c>
      <c r="G133" s="130"/>
      <c r="H133" s="774" t="s">
        <v>769</v>
      </c>
      <c r="I133" s="608"/>
      <c r="J133" s="123"/>
    </row>
    <row r="134" spans="1:10" s="85" customFormat="1" x14ac:dyDescent="0.6">
      <c r="A134" s="85" t="s">
        <v>1008</v>
      </c>
      <c r="B134" s="599">
        <v>500000</v>
      </c>
      <c r="C134" s="123"/>
      <c r="D134" s="123"/>
      <c r="E134" s="123"/>
      <c r="F134" s="123">
        <f>B134</f>
        <v>500000</v>
      </c>
      <c r="G134" s="130"/>
      <c r="H134" s="774" t="s">
        <v>769</v>
      </c>
      <c r="I134" s="608"/>
      <c r="J134" s="145"/>
    </row>
    <row r="135" spans="1:10" s="85" customFormat="1" x14ac:dyDescent="0.6">
      <c r="A135" s="85" t="s">
        <v>913</v>
      </c>
      <c r="B135" s="599">
        <v>52099985</v>
      </c>
      <c r="C135" s="123">
        <f>B135</f>
        <v>52099985</v>
      </c>
      <c r="D135" s="123"/>
      <c r="E135" s="123"/>
      <c r="F135" s="123"/>
      <c r="G135" s="130"/>
      <c r="H135" s="614" t="s">
        <v>769</v>
      </c>
      <c r="I135" s="1570"/>
      <c r="J135" s="123"/>
    </row>
    <row r="136" spans="1:10" s="85" customFormat="1" x14ac:dyDescent="0.6">
      <c r="A136" s="85" t="s">
        <v>1009</v>
      </c>
      <c r="B136" s="599">
        <v>42544178</v>
      </c>
      <c r="C136" s="123"/>
      <c r="D136" s="123"/>
      <c r="E136" s="123"/>
      <c r="F136" s="123">
        <f>B136</f>
        <v>42544178</v>
      </c>
      <c r="G136" s="130"/>
      <c r="H136" s="614" t="s">
        <v>769</v>
      </c>
      <c r="I136" s="611"/>
      <c r="J136" s="145"/>
    </row>
    <row r="137" spans="1:10" s="85" customFormat="1" x14ac:dyDescent="0.6">
      <c r="A137" s="85" t="s">
        <v>1010</v>
      </c>
      <c r="B137" s="599">
        <v>4973890620</v>
      </c>
      <c r="C137" s="123">
        <f>B137</f>
        <v>4973890620</v>
      </c>
      <c r="D137" s="123"/>
      <c r="E137" s="123"/>
      <c r="F137" s="123"/>
      <c r="G137" s="130"/>
      <c r="H137" s="1326" t="s">
        <v>769</v>
      </c>
      <c r="I137" s="1571"/>
      <c r="J137" s="123"/>
    </row>
    <row r="138" spans="1:10" s="85" customFormat="1" x14ac:dyDescent="0.6">
      <c r="A138" s="85" t="s">
        <v>1011</v>
      </c>
      <c r="B138" s="686" t="s">
        <v>804</v>
      </c>
      <c r="C138" s="123"/>
      <c r="D138" s="123"/>
      <c r="E138" s="123"/>
      <c r="F138" s="123"/>
      <c r="G138" s="741"/>
      <c r="H138" s="1326" t="s">
        <v>769</v>
      </c>
      <c r="I138" s="615"/>
      <c r="J138" s="123"/>
    </row>
    <row r="139" spans="1:10" s="85" customFormat="1" x14ac:dyDescent="0.6">
      <c r="A139" s="85" t="s">
        <v>914</v>
      </c>
      <c r="B139" s="686" t="s">
        <v>804</v>
      </c>
      <c r="C139" s="123"/>
      <c r="D139" s="123"/>
      <c r="E139" s="123"/>
      <c r="F139" s="123"/>
      <c r="G139" s="741"/>
      <c r="H139" s="1326" t="s">
        <v>769</v>
      </c>
      <c r="I139" s="615"/>
      <c r="J139" s="123"/>
    </row>
    <row r="140" spans="1:10" s="85" customFormat="1" x14ac:dyDescent="0.6">
      <c r="A140" s="85" t="s">
        <v>915</v>
      </c>
      <c r="B140" s="599">
        <v>231924762</v>
      </c>
      <c r="C140" s="123"/>
      <c r="D140" s="123"/>
      <c r="E140" s="123"/>
      <c r="F140" s="123">
        <f>B140</f>
        <v>231924762</v>
      </c>
      <c r="G140" s="130"/>
      <c r="H140" s="686" t="s">
        <v>769</v>
      </c>
      <c r="I140" s="595"/>
      <c r="J140" s="123"/>
    </row>
    <row r="141" spans="1:10" s="85" customFormat="1" x14ac:dyDescent="0.6">
      <c r="A141" s="85" t="s">
        <v>916</v>
      </c>
      <c r="B141" s="599">
        <v>1018109900</v>
      </c>
      <c r="C141" s="123"/>
      <c r="D141" s="123"/>
      <c r="E141" s="123"/>
      <c r="F141" s="123">
        <f t="shared" ref="F141:F143" si="7">B141</f>
        <v>1018109900</v>
      </c>
      <c r="G141" s="130"/>
      <c r="H141" s="686" t="s">
        <v>769</v>
      </c>
      <c r="I141" s="599"/>
      <c r="J141" s="123"/>
    </row>
    <row r="142" spans="1:10" s="85" customFormat="1" x14ac:dyDescent="0.6">
      <c r="A142" s="85" t="s">
        <v>1012</v>
      </c>
      <c r="B142" s="123">
        <v>2672756</v>
      </c>
      <c r="C142" s="123"/>
      <c r="D142" s="123"/>
      <c r="E142" s="123"/>
      <c r="F142" s="123">
        <f t="shared" si="7"/>
        <v>2672756</v>
      </c>
      <c r="G142" s="130"/>
      <c r="H142" s="686"/>
      <c r="I142" s="599"/>
      <c r="J142" s="123"/>
    </row>
    <row r="143" spans="1:10" s="85" customFormat="1" ht="15.9" thickBot="1" x14ac:dyDescent="0.65">
      <c r="A143" s="99" t="s">
        <v>1013</v>
      </c>
      <c r="B143" s="1079">
        <v>2704080</v>
      </c>
      <c r="C143" s="108"/>
      <c r="D143" s="124"/>
      <c r="E143" s="124"/>
      <c r="F143" s="123">
        <f t="shared" si="7"/>
        <v>2704080</v>
      </c>
      <c r="G143" s="136"/>
      <c r="H143" s="60"/>
      <c r="J143" s="1"/>
    </row>
    <row r="144" spans="1:10" s="192" customFormat="1" ht="15.9" thickTop="1" x14ac:dyDescent="0.6">
      <c r="A144" s="78" t="s">
        <v>10</v>
      </c>
      <c r="B144" s="723">
        <f>SUM(B145:B145)</f>
        <v>2000000</v>
      </c>
      <c r="C144" s="723">
        <f>SUM(C145:C145)</f>
        <v>0</v>
      </c>
      <c r="D144" s="723">
        <f>SUM(D145:D145)</f>
        <v>1000000</v>
      </c>
      <c r="E144" s="723">
        <f>E145</f>
        <v>0</v>
      </c>
      <c r="F144" s="723">
        <f>SUM(F145:F145)</f>
        <v>1000000</v>
      </c>
      <c r="G144" s="724">
        <f>SUM(G145:G145)</f>
        <v>0</v>
      </c>
      <c r="H144" s="114"/>
      <c r="I144" s="70"/>
      <c r="J144" s="1"/>
    </row>
    <row r="145" spans="1:10" s="85" customFormat="1" ht="15.9" thickBot="1" x14ac:dyDescent="0.65">
      <c r="A145" s="99" t="s">
        <v>709</v>
      </c>
      <c r="B145" s="124">
        <v>2000000</v>
      </c>
      <c r="C145" s="124"/>
      <c r="D145" s="124">
        <f>B145/2</f>
        <v>1000000</v>
      </c>
      <c r="E145" s="124"/>
      <c r="F145" s="124">
        <f>D145</f>
        <v>1000000</v>
      </c>
      <c r="G145" s="131"/>
      <c r="H145" s="114" t="s">
        <v>769</v>
      </c>
      <c r="I145" s="70"/>
      <c r="J145" s="1"/>
    </row>
    <row r="146" spans="1:10" s="630" customFormat="1" ht="15.9" thickTop="1" x14ac:dyDescent="0.6">
      <c r="A146" s="1080" t="s">
        <v>11</v>
      </c>
      <c r="B146" s="749">
        <f>SUM(B147:B149)</f>
        <v>45200000000</v>
      </c>
      <c r="C146" s="749">
        <f>SUM(C147:C149)</f>
        <v>5900000000</v>
      </c>
      <c r="D146" s="749">
        <f t="shared" ref="D146:E146" si="8">SUM(D147:D149)</f>
        <v>0</v>
      </c>
      <c r="E146" s="749">
        <f t="shared" si="8"/>
        <v>0</v>
      </c>
      <c r="F146" s="749">
        <f>SUM(F147:F149)</f>
        <v>39300000000</v>
      </c>
      <c r="G146" s="750">
        <f>SUM(G147:G149)</f>
        <v>0</v>
      </c>
      <c r="H146" s="114"/>
      <c r="I146" s="70"/>
      <c r="J146" s="1"/>
    </row>
    <row r="147" spans="1:10" s="632" customFormat="1" x14ac:dyDescent="0.6">
      <c r="A147" s="632" t="s">
        <v>1014</v>
      </c>
      <c r="B147" s="632">
        <v>11100000000</v>
      </c>
      <c r="F147" s="632">
        <f>B147</f>
        <v>11100000000</v>
      </c>
      <c r="G147" s="633"/>
      <c r="H147" s="60" t="s">
        <v>769</v>
      </c>
      <c r="I147" s="1"/>
      <c r="J147" s="1"/>
    </row>
    <row r="148" spans="1:10" s="632" customFormat="1" x14ac:dyDescent="0.6">
      <c r="A148" s="632" t="s">
        <v>710</v>
      </c>
      <c r="B148" s="632">
        <v>5900000000</v>
      </c>
      <c r="C148" s="632">
        <f>B148</f>
        <v>5900000000</v>
      </c>
      <c r="G148" s="633"/>
      <c r="H148" s="60" t="s">
        <v>769</v>
      </c>
      <c r="I148" s="1"/>
      <c r="J148" s="1"/>
    </row>
    <row r="149" spans="1:10" s="632" customFormat="1" ht="15.9" thickBot="1" x14ac:dyDescent="0.65">
      <c r="A149" s="634" t="s">
        <v>711</v>
      </c>
      <c r="B149" s="634">
        <v>28200000000</v>
      </c>
      <c r="C149" s="634"/>
      <c r="D149" s="634"/>
      <c r="E149" s="634"/>
      <c r="F149" s="634">
        <f>B149</f>
        <v>28200000000</v>
      </c>
      <c r="G149" s="635"/>
      <c r="H149" s="60" t="s">
        <v>769</v>
      </c>
      <c r="I149" s="1"/>
      <c r="J149" s="1"/>
    </row>
    <row r="150" spans="1:10" s="748" customFormat="1" ht="15.9" thickTop="1" x14ac:dyDescent="0.6">
      <c r="A150" s="1060" t="s">
        <v>12</v>
      </c>
      <c r="B150" s="723">
        <f t="shared" ref="B150:G150" si="9">B151</f>
        <v>0</v>
      </c>
      <c r="C150" s="723">
        <f t="shared" si="9"/>
        <v>0</v>
      </c>
      <c r="D150" s="723">
        <f t="shared" si="9"/>
        <v>0</v>
      </c>
      <c r="E150" s="723">
        <f t="shared" si="9"/>
        <v>0</v>
      </c>
      <c r="F150" s="723">
        <f t="shared" si="9"/>
        <v>0</v>
      </c>
      <c r="G150" s="724">
        <f t="shared" si="9"/>
        <v>0</v>
      </c>
      <c r="H150" s="60"/>
      <c r="I150" s="1"/>
      <c r="J150" s="1"/>
    </row>
    <row r="151" spans="1:10" s="85" customFormat="1" ht="15.9" thickBot="1" x14ac:dyDescent="0.65">
      <c r="A151" s="99" t="s">
        <v>1015</v>
      </c>
      <c r="B151" s="124">
        <v>0</v>
      </c>
      <c r="C151" s="108"/>
      <c r="D151" s="124"/>
      <c r="E151" s="124"/>
      <c r="F151" s="99"/>
      <c r="G151" s="136"/>
      <c r="H151" s="60" t="s">
        <v>769</v>
      </c>
      <c r="I151" s="1"/>
      <c r="J151" s="1"/>
    </row>
    <row r="152" spans="1:10" s="748" customFormat="1" ht="15.9" thickTop="1" x14ac:dyDescent="0.6">
      <c r="A152" s="1060" t="s">
        <v>13</v>
      </c>
      <c r="B152" s="723">
        <f>B158</f>
        <v>30104066</v>
      </c>
      <c r="C152" s="723">
        <f>C158</f>
        <v>0</v>
      </c>
      <c r="D152" s="723">
        <f>D158</f>
        <v>0</v>
      </c>
      <c r="E152" s="723">
        <f>SUM(E153:E158)</f>
        <v>0</v>
      </c>
      <c r="F152" s="723">
        <f>F158</f>
        <v>30104066</v>
      </c>
      <c r="G152" s="724">
        <f>G158</f>
        <v>0</v>
      </c>
      <c r="H152" s="60"/>
      <c r="I152" s="1"/>
      <c r="J152" s="1"/>
    </row>
    <row r="153" spans="1:10" s="123" customFormat="1" x14ac:dyDescent="0.6">
      <c r="A153" s="599" t="s">
        <v>1016</v>
      </c>
      <c r="B153" s="686" t="s">
        <v>804</v>
      </c>
      <c r="C153" s="599"/>
      <c r="D153" s="599"/>
      <c r="E153" s="599"/>
      <c r="F153" s="599"/>
      <c r="G153" s="130"/>
      <c r="H153" s="60" t="s">
        <v>769</v>
      </c>
      <c r="I153" s="1"/>
      <c r="J153" s="1"/>
    </row>
    <row r="154" spans="1:10" s="123" customFormat="1" x14ac:dyDescent="0.6">
      <c r="A154" s="599" t="s">
        <v>1017</v>
      </c>
      <c r="B154" s="686" t="s">
        <v>804</v>
      </c>
      <c r="C154" s="599"/>
      <c r="D154" s="599"/>
      <c r="E154" s="599"/>
      <c r="F154" s="599"/>
      <c r="G154" s="130"/>
      <c r="H154" s="60" t="s">
        <v>769</v>
      </c>
      <c r="I154" s="1"/>
      <c r="J154" s="1"/>
    </row>
    <row r="155" spans="1:10" s="123" customFormat="1" x14ac:dyDescent="0.6">
      <c r="A155" s="599" t="s">
        <v>1018</v>
      </c>
      <c r="B155" s="686" t="s">
        <v>804</v>
      </c>
      <c r="C155" s="599"/>
      <c r="D155" s="599"/>
      <c r="E155" s="599"/>
      <c r="F155" s="599"/>
      <c r="G155" s="130"/>
      <c r="H155" s="60" t="s">
        <v>769</v>
      </c>
      <c r="I155" s="1"/>
      <c r="J155" s="1"/>
    </row>
    <row r="156" spans="1:10" s="123" customFormat="1" x14ac:dyDescent="0.6">
      <c r="A156" s="599" t="s">
        <v>1019</v>
      </c>
      <c r="B156" s="686" t="s">
        <v>804</v>
      </c>
      <c r="C156" s="599"/>
      <c r="D156" s="599"/>
      <c r="E156" s="599"/>
      <c r="F156" s="599"/>
      <c r="G156" s="130"/>
      <c r="H156" s="60" t="s">
        <v>769</v>
      </c>
      <c r="I156" s="1"/>
      <c r="J156" s="1"/>
    </row>
    <row r="157" spans="1:10" s="123" customFormat="1" x14ac:dyDescent="0.6">
      <c r="A157" s="599" t="s">
        <v>917</v>
      </c>
      <c r="B157" s="686" t="s">
        <v>804</v>
      </c>
      <c r="C157" s="599"/>
      <c r="D157" s="599"/>
      <c r="E157" s="599"/>
      <c r="F157" s="599"/>
      <c r="G157" s="130"/>
      <c r="H157" s="60" t="s">
        <v>769</v>
      </c>
      <c r="I157" s="1"/>
      <c r="J157" s="1"/>
    </row>
    <row r="158" spans="1:10" s="85" customFormat="1" ht="15.9" thickBot="1" x14ac:dyDescent="0.65">
      <c r="A158" s="99" t="s">
        <v>712</v>
      </c>
      <c r="B158" s="686">
        <v>30104066</v>
      </c>
      <c r="C158" s="108"/>
      <c r="D158" s="124"/>
      <c r="E158" s="124"/>
      <c r="F158" s="124">
        <f>B158</f>
        <v>30104066</v>
      </c>
      <c r="G158" s="136"/>
      <c r="H158" s="60" t="s">
        <v>769</v>
      </c>
      <c r="I158" s="1"/>
      <c r="J158" s="1"/>
    </row>
    <row r="159" spans="1:10" s="748" customFormat="1" ht="15.9" thickTop="1" x14ac:dyDescent="0.6">
      <c r="A159" s="1060" t="s">
        <v>14</v>
      </c>
      <c r="B159" s="723">
        <f>SUM(B160:B161)</f>
        <v>1627191685</v>
      </c>
      <c r="C159" s="723">
        <f t="shared" ref="C159:G159" si="10">SUM(C160:C161)</f>
        <v>0</v>
      </c>
      <c r="D159" s="723">
        <f t="shared" si="10"/>
        <v>0</v>
      </c>
      <c r="E159" s="723">
        <f t="shared" si="10"/>
        <v>0</v>
      </c>
      <c r="F159" s="723">
        <f t="shared" si="10"/>
        <v>1627191685</v>
      </c>
      <c r="G159" s="724">
        <f t="shared" si="10"/>
        <v>0</v>
      </c>
      <c r="H159" s="60"/>
      <c r="I159" s="1"/>
      <c r="J159" s="1"/>
    </row>
    <row r="160" spans="1:10" s="123" customFormat="1" x14ac:dyDescent="0.6">
      <c r="A160" s="599" t="s">
        <v>1020</v>
      </c>
      <c r="B160" s="599">
        <v>813591685</v>
      </c>
      <c r="C160" s="599"/>
      <c r="D160" s="599"/>
      <c r="E160" s="599"/>
      <c r="F160" s="599">
        <f>B160</f>
        <v>813591685</v>
      </c>
      <c r="G160" s="130"/>
      <c r="H160" s="60" t="s">
        <v>769</v>
      </c>
      <c r="I160" s="1"/>
      <c r="J160" s="1"/>
    </row>
    <row r="161" spans="1:10" s="85" customFormat="1" ht="15.9" thickBot="1" x14ac:dyDescent="0.65">
      <c r="A161" s="99" t="s">
        <v>1021</v>
      </c>
      <c r="B161" s="124">
        <v>813600000</v>
      </c>
      <c r="C161" s="108"/>
      <c r="D161" s="124"/>
      <c r="E161" s="124"/>
      <c r="F161" s="124">
        <f>B161</f>
        <v>813600000</v>
      </c>
      <c r="G161" s="136"/>
      <c r="H161" s="60" t="s">
        <v>769</v>
      </c>
      <c r="I161" s="1"/>
      <c r="J161" s="1"/>
    </row>
    <row r="162" spans="1:10" s="192" customFormat="1" ht="15.9" thickTop="1" x14ac:dyDescent="0.6">
      <c r="A162" s="78" t="s">
        <v>15</v>
      </c>
      <c r="B162" s="723">
        <f t="shared" ref="B162:G162" si="11">SUM(B163:B170)</f>
        <v>104972642</v>
      </c>
      <c r="C162" s="723">
        <f t="shared" si="11"/>
        <v>7200000</v>
      </c>
      <c r="D162" s="723">
        <f t="shared" si="11"/>
        <v>0</v>
      </c>
      <c r="E162" s="723">
        <f t="shared" si="11"/>
        <v>0</v>
      </c>
      <c r="F162" s="723">
        <f t="shared" si="11"/>
        <v>97772642</v>
      </c>
      <c r="G162" s="724">
        <f t="shared" si="11"/>
        <v>0</v>
      </c>
      <c r="H162" s="60"/>
      <c r="I162" s="1"/>
      <c r="J162" s="1"/>
    </row>
    <row r="163" spans="1:10" s="85" customFormat="1" x14ac:dyDescent="0.6">
      <c r="A163" s="85" t="s">
        <v>338</v>
      </c>
      <c r="B163" s="123">
        <v>9130686</v>
      </c>
      <c r="C163" s="123"/>
      <c r="D163" s="123"/>
      <c r="E163" s="123"/>
      <c r="F163" s="123">
        <f>B163</f>
        <v>9130686</v>
      </c>
      <c r="G163" s="130"/>
      <c r="H163" s="60" t="s">
        <v>769</v>
      </c>
      <c r="I163" s="1"/>
      <c r="J163" s="1"/>
    </row>
    <row r="164" spans="1:10" s="85" customFormat="1" x14ac:dyDescent="0.6">
      <c r="A164" s="85" t="s">
        <v>1023</v>
      </c>
      <c r="B164" s="123">
        <v>6200000</v>
      </c>
      <c r="C164" s="123"/>
      <c r="D164" s="123"/>
      <c r="E164" s="123"/>
      <c r="F164" s="123">
        <f>B164</f>
        <v>6200000</v>
      </c>
      <c r="G164" s="130"/>
      <c r="H164" s="60" t="s">
        <v>769</v>
      </c>
      <c r="I164" s="1"/>
      <c r="J164" s="1"/>
    </row>
    <row r="165" spans="1:10" s="85" customFormat="1" x14ac:dyDescent="0.6">
      <c r="A165" s="85" t="s">
        <v>1024</v>
      </c>
      <c r="B165" s="123">
        <v>841956</v>
      </c>
      <c r="C165" s="123"/>
      <c r="D165" s="123"/>
      <c r="E165" s="123"/>
      <c r="F165" s="123">
        <f>B165</f>
        <v>841956</v>
      </c>
      <c r="G165" s="130"/>
      <c r="H165" s="60" t="s">
        <v>769</v>
      </c>
      <c r="I165" s="1"/>
      <c r="J165" s="1"/>
    </row>
    <row r="166" spans="1:10" s="85" customFormat="1" x14ac:dyDescent="0.6">
      <c r="A166" s="85" t="s">
        <v>1025</v>
      </c>
      <c r="B166" s="123">
        <v>700000</v>
      </c>
      <c r="C166" s="123"/>
      <c r="D166" s="123"/>
      <c r="E166" s="123"/>
      <c r="F166" s="123">
        <f>B166</f>
        <v>700000</v>
      </c>
      <c r="G166" s="130"/>
      <c r="H166" s="60" t="s">
        <v>769</v>
      </c>
      <c r="I166" s="1"/>
      <c r="J166" s="1"/>
    </row>
    <row r="167" spans="1:10" s="85" customFormat="1" x14ac:dyDescent="0.6">
      <c r="A167" s="85" t="s">
        <v>1026</v>
      </c>
      <c r="B167" s="772" t="s">
        <v>804</v>
      </c>
      <c r="C167" s="123"/>
      <c r="D167" s="123"/>
      <c r="E167" s="123"/>
      <c r="F167" s="123"/>
      <c r="G167" s="130"/>
      <c r="H167" s="60" t="s">
        <v>769</v>
      </c>
      <c r="I167" s="1"/>
      <c r="J167" s="1"/>
    </row>
    <row r="168" spans="1:10" s="85" customFormat="1" x14ac:dyDescent="0.6">
      <c r="A168" s="85" t="s">
        <v>339</v>
      </c>
      <c r="B168" s="123">
        <v>7200000</v>
      </c>
      <c r="C168" s="123">
        <f>B168</f>
        <v>7200000</v>
      </c>
      <c r="D168" s="123"/>
      <c r="E168" s="123"/>
      <c r="F168" s="123"/>
      <c r="G168" s="130"/>
      <c r="H168" s="60" t="s">
        <v>769</v>
      </c>
      <c r="I168" s="1"/>
      <c r="J168" s="1"/>
    </row>
    <row r="169" spans="1:10" s="85" customFormat="1" x14ac:dyDescent="0.6">
      <c r="A169" s="85" t="s">
        <v>382</v>
      </c>
      <c r="B169" s="123">
        <v>77200000</v>
      </c>
      <c r="C169" s="123"/>
      <c r="D169" s="123"/>
      <c r="E169" s="123"/>
      <c r="F169" s="123">
        <f>B169</f>
        <v>77200000</v>
      </c>
      <c r="G169" s="130"/>
      <c r="H169" s="60" t="s">
        <v>769</v>
      </c>
      <c r="I169" s="1"/>
      <c r="J169" s="1"/>
    </row>
    <row r="170" spans="1:10" s="85" customFormat="1" ht="15.9" thickBot="1" x14ac:dyDescent="0.65">
      <c r="A170" s="99" t="s">
        <v>1022</v>
      </c>
      <c r="B170" s="124">
        <v>3700000</v>
      </c>
      <c r="C170" s="124"/>
      <c r="D170" s="124"/>
      <c r="E170" s="124"/>
      <c r="F170" s="124">
        <f>B170</f>
        <v>3700000</v>
      </c>
      <c r="G170" s="131"/>
      <c r="H170" s="60" t="s">
        <v>769</v>
      </c>
      <c r="I170" s="1"/>
      <c r="J170" s="1"/>
    </row>
    <row r="171" spans="1:10" s="192" customFormat="1" ht="15.9" thickTop="1" x14ac:dyDescent="0.6">
      <c r="A171" s="78" t="s">
        <v>16</v>
      </c>
      <c r="B171" s="723">
        <f t="shared" ref="B171:G171" si="12">SUM(B172:B177)</f>
        <v>76599141</v>
      </c>
      <c r="C171" s="723">
        <f t="shared" si="12"/>
        <v>0</v>
      </c>
      <c r="D171" s="723">
        <f t="shared" si="12"/>
        <v>651373</v>
      </c>
      <c r="E171" s="723">
        <f t="shared" si="12"/>
        <v>43878334</v>
      </c>
      <c r="F171" s="723">
        <f t="shared" si="12"/>
        <v>32069434</v>
      </c>
      <c r="G171" s="724">
        <f t="shared" si="12"/>
        <v>0</v>
      </c>
      <c r="H171" s="60"/>
      <c r="I171" s="1"/>
      <c r="J171" s="1"/>
    </row>
    <row r="172" spans="1:10" s="85" customFormat="1" x14ac:dyDescent="0.6">
      <c r="A172" s="85" t="s">
        <v>342</v>
      </c>
      <c r="B172" s="123">
        <v>651373</v>
      </c>
      <c r="C172" s="123"/>
      <c r="D172" s="123">
        <f>B172</f>
        <v>651373</v>
      </c>
      <c r="E172" s="123"/>
      <c r="F172" s="123"/>
      <c r="G172" s="130"/>
      <c r="H172" s="60" t="s">
        <v>769</v>
      </c>
      <c r="I172" s="1"/>
      <c r="J172" s="1"/>
    </row>
    <row r="173" spans="1:10" s="85" customFormat="1" x14ac:dyDescent="0.6">
      <c r="A173" s="85" t="s">
        <v>383</v>
      </c>
      <c r="B173" s="123">
        <v>186545</v>
      </c>
      <c r="C173" s="123"/>
      <c r="D173" s="123"/>
      <c r="E173" s="123">
        <f>B173</f>
        <v>186545</v>
      </c>
      <c r="F173" s="123"/>
      <c r="G173" s="130"/>
      <c r="H173" s="60" t="s">
        <v>769</v>
      </c>
      <c r="I173" s="1"/>
      <c r="J173" s="1"/>
    </row>
    <row r="174" spans="1:10" s="85" customFormat="1" x14ac:dyDescent="0.6">
      <c r="A174" s="85" t="s">
        <v>343</v>
      </c>
      <c r="B174" s="123">
        <v>11441768</v>
      </c>
      <c r="C174" s="123"/>
      <c r="D174" s="123"/>
      <c r="E174" s="123"/>
      <c r="F174" s="123">
        <f>B174</f>
        <v>11441768</v>
      </c>
      <c r="G174" s="130"/>
      <c r="H174" s="60" t="s">
        <v>769</v>
      </c>
      <c r="I174" s="1"/>
      <c r="J174" s="1"/>
    </row>
    <row r="175" spans="1:10" s="85" customFormat="1" x14ac:dyDescent="0.6">
      <c r="A175" s="85" t="s">
        <v>384</v>
      </c>
      <c r="B175" s="123">
        <v>20627666</v>
      </c>
      <c r="C175" s="123"/>
      <c r="D175" s="123"/>
      <c r="E175" s="123"/>
      <c r="F175" s="123">
        <f>B175</f>
        <v>20627666</v>
      </c>
      <c r="G175" s="130"/>
      <c r="H175" s="60" t="s">
        <v>769</v>
      </c>
      <c r="I175" s="1"/>
      <c r="J175" s="1"/>
    </row>
    <row r="176" spans="1:10" s="85" customFormat="1" x14ac:dyDescent="0.6">
      <c r="A176" s="85" t="s">
        <v>1027</v>
      </c>
      <c r="B176" s="772" t="s">
        <v>804</v>
      </c>
      <c r="C176" s="123"/>
      <c r="D176" s="123"/>
      <c r="E176" s="123"/>
      <c r="F176" s="123"/>
      <c r="G176" s="130"/>
      <c r="H176" s="60" t="s">
        <v>769</v>
      </c>
      <c r="I176" s="1"/>
      <c r="J176" s="1"/>
    </row>
    <row r="177" spans="1:10" s="85" customFormat="1" ht="15.9" thickBot="1" x14ac:dyDescent="0.65">
      <c r="A177" s="99" t="s">
        <v>344</v>
      </c>
      <c r="B177" s="124">
        <v>43691789</v>
      </c>
      <c r="C177" s="124"/>
      <c r="D177" s="124"/>
      <c r="E177" s="124">
        <f>B177</f>
        <v>43691789</v>
      </c>
      <c r="F177" s="99"/>
      <c r="G177" s="136"/>
      <c r="H177" s="60" t="s">
        <v>769</v>
      </c>
      <c r="I177" s="1"/>
      <c r="J177" s="1"/>
    </row>
    <row r="178" spans="1:10" s="748" customFormat="1" ht="15.9" thickTop="1" x14ac:dyDescent="0.6">
      <c r="A178" s="1060" t="s">
        <v>17</v>
      </c>
      <c r="B178" s="723">
        <f>SUM(B179)</f>
        <v>0</v>
      </c>
      <c r="C178" s="723">
        <f>C179</f>
        <v>0</v>
      </c>
      <c r="D178" s="723">
        <f>D179</f>
        <v>0</v>
      </c>
      <c r="E178" s="723">
        <f>E179</f>
        <v>0</v>
      </c>
      <c r="F178" s="723">
        <f>F179</f>
        <v>0</v>
      </c>
      <c r="G178" s="724">
        <f>G179</f>
        <v>0</v>
      </c>
      <c r="H178" s="60"/>
      <c r="I178" s="1"/>
      <c r="J178" s="1"/>
    </row>
    <row r="179" spans="1:10" s="85" customFormat="1" ht="15.9" thickBot="1" x14ac:dyDescent="0.65">
      <c r="A179" s="99" t="s">
        <v>1028</v>
      </c>
      <c r="B179" s="598" t="s">
        <v>804</v>
      </c>
      <c r="C179" s="108"/>
      <c r="D179" s="124"/>
      <c r="E179" s="124"/>
      <c r="F179" s="99"/>
      <c r="G179" s="136"/>
      <c r="H179" s="60" t="s">
        <v>769</v>
      </c>
      <c r="I179" s="1"/>
      <c r="J179" s="1"/>
    </row>
    <row r="180" spans="1:10" s="192" customFormat="1" ht="15.9" thickTop="1" x14ac:dyDescent="0.6">
      <c r="A180" s="78" t="s">
        <v>18</v>
      </c>
      <c r="B180" s="723">
        <f>SUM(B181:B186)</f>
        <v>1239550324</v>
      </c>
      <c r="C180" s="723">
        <f>SUM(C181:C186)</f>
        <v>737000000</v>
      </c>
      <c r="D180" s="723">
        <f t="shared" ref="D180:G180" si="13">SUM(D181:D186)</f>
        <v>0</v>
      </c>
      <c r="E180" s="723">
        <f t="shared" si="13"/>
        <v>0</v>
      </c>
      <c r="F180" s="723">
        <f t="shared" si="13"/>
        <v>502550324</v>
      </c>
      <c r="G180" s="724">
        <f t="shared" si="13"/>
        <v>0</v>
      </c>
      <c r="H180" s="60"/>
      <c r="I180" s="1"/>
      <c r="J180" s="1"/>
    </row>
    <row r="181" spans="1:10" s="85" customFormat="1" x14ac:dyDescent="0.6">
      <c r="A181" s="85" t="s">
        <v>296</v>
      </c>
      <c r="B181" s="123">
        <v>737000000</v>
      </c>
      <c r="C181" s="123">
        <f>B181</f>
        <v>737000000</v>
      </c>
      <c r="D181" s="123"/>
      <c r="E181" s="123"/>
      <c r="F181" s="123"/>
      <c r="G181" s="130"/>
      <c r="H181" s="60" t="s">
        <v>769</v>
      </c>
      <c r="I181" s="1"/>
      <c r="J181" s="1"/>
    </row>
    <row r="182" spans="1:10" s="85" customFormat="1" x14ac:dyDescent="0.6">
      <c r="A182" s="85" t="s">
        <v>297</v>
      </c>
      <c r="B182" s="123">
        <v>465000000</v>
      </c>
      <c r="C182" s="123"/>
      <c r="D182" s="123"/>
      <c r="E182" s="123"/>
      <c r="F182" s="123">
        <f>B182</f>
        <v>465000000</v>
      </c>
      <c r="G182" s="130"/>
      <c r="H182" s="60" t="s">
        <v>769</v>
      </c>
      <c r="I182" s="1"/>
      <c r="J182" s="1"/>
    </row>
    <row r="183" spans="1:10" s="85" customFormat="1" x14ac:dyDescent="0.6">
      <c r="A183" s="85" t="s">
        <v>1029</v>
      </c>
      <c r="B183" s="772" t="s">
        <v>804</v>
      </c>
      <c r="C183" s="772"/>
      <c r="D183" s="123"/>
      <c r="E183" s="123"/>
      <c r="F183" s="123"/>
      <c r="G183" s="130"/>
      <c r="H183" s="60" t="s">
        <v>769</v>
      </c>
      <c r="I183" s="1"/>
      <c r="J183" s="1"/>
    </row>
    <row r="184" spans="1:10" s="85" customFormat="1" x14ac:dyDescent="0.6">
      <c r="A184" s="85" t="s">
        <v>299</v>
      </c>
      <c r="B184" s="123">
        <v>5256410</v>
      </c>
      <c r="C184" s="123"/>
      <c r="D184" s="123"/>
      <c r="E184" s="123"/>
      <c r="F184" s="123">
        <f>B184</f>
        <v>5256410</v>
      </c>
      <c r="G184" s="130"/>
      <c r="H184" s="60" t="s">
        <v>769</v>
      </c>
      <c r="I184" s="1"/>
      <c r="J184" s="1"/>
    </row>
    <row r="185" spans="1:10" s="85" customFormat="1" x14ac:dyDescent="0.6">
      <c r="A185" s="85" t="s">
        <v>300</v>
      </c>
      <c r="B185" s="123">
        <v>29972325</v>
      </c>
      <c r="C185" s="123"/>
      <c r="D185" s="123"/>
      <c r="E185" s="123"/>
      <c r="F185" s="123">
        <f t="shared" ref="F185:F186" si="14">B185</f>
        <v>29972325</v>
      </c>
      <c r="G185" s="130"/>
      <c r="H185" s="60" t="s">
        <v>769</v>
      </c>
      <c r="I185" s="1"/>
      <c r="J185" s="1"/>
    </row>
    <row r="186" spans="1:10" s="85" customFormat="1" ht="15.9" thickBot="1" x14ac:dyDescent="0.65">
      <c r="A186" s="99" t="s">
        <v>303</v>
      </c>
      <c r="B186" s="124">
        <v>2321589</v>
      </c>
      <c r="C186" s="124"/>
      <c r="D186" s="124"/>
      <c r="E186" s="124"/>
      <c r="F186" s="123">
        <f t="shared" si="14"/>
        <v>2321589</v>
      </c>
      <c r="G186" s="136"/>
      <c r="H186" s="60" t="s">
        <v>769</v>
      </c>
      <c r="I186" s="1"/>
      <c r="J186" s="1"/>
    </row>
    <row r="187" spans="1:10" s="192" customFormat="1" ht="15.9" thickTop="1" x14ac:dyDescent="0.6">
      <c r="A187" s="78" t="s">
        <v>19</v>
      </c>
      <c r="B187" s="751">
        <f>SUM(B188:B200)</f>
        <v>9258387719</v>
      </c>
      <c r="C187" s="751">
        <f t="shared" ref="C187:G187" si="15">SUM(C188:C200)</f>
        <v>8100000000</v>
      </c>
      <c r="D187" s="751">
        <f t="shared" si="15"/>
        <v>0</v>
      </c>
      <c r="E187" s="751">
        <f t="shared" si="15"/>
        <v>0</v>
      </c>
      <c r="F187" s="751">
        <f t="shared" si="15"/>
        <v>1158387719</v>
      </c>
      <c r="G187" s="752">
        <f t="shared" si="15"/>
        <v>0</v>
      </c>
      <c r="H187" s="60"/>
      <c r="I187" s="1"/>
      <c r="J187" s="1"/>
    </row>
    <row r="188" spans="1:10" s="85" customFormat="1" x14ac:dyDescent="0.6">
      <c r="A188" s="85" t="s">
        <v>1030</v>
      </c>
      <c r="B188" s="137">
        <v>8080000000</v>
      </c>
      <c r="C188" s="137">
        <f>B188</f>
        <v>8080000000</v>
      </c>
      <c r="D188" s="137"/>
      <c r="E188" s="137"/>
      <c r="F188" s="137"/>
      <c r="G188" s="138"/>
      <c r="H188" s="60" t="s">
        <v>769</v>
      </c>
      <c r="I188" s="1"/>
      <c r="J188" s="1"/>
    </row>
    <row r="189" spans="1:10" s="85" customFormat="1" x14ac:dyDescent="0.6">
      <c r="A189" s="85" t="s">
        <v>1031</v>
      </c>
      <c r="B189" s="137">
        <v>20000000</v>
      </c>
      <c r="C189" s="137">
        <f>B189</f>
        <v>20000000</v>
      </c>
      <c r="D189" s="137"/>
      <c r="E189" s="137"/>
      <c r="F189" s="137"/>
      <c r="G189" s="138"/>
      <c r="H189" s="60" t="s">
        <v>769</v>
      </c>
      <c r="I189" s="1"/>
      <c r="J189" s="1"/>
    </row>
    <row r="190" spans="1:10" s="85" customFormat="1" x14ac:dyDescent="0.6">
      <c r="A190" s="85" t="s">
        <v>345</v>
      </c>
      <c r="B190" s="137">
        <v>132035320</v>
      </c>
      <c r="C190" s="137"/>
      <c r="D190" s="137"/>
      <c r="E190" s="137"/>
      <c r="F190" s="137">
        <f>B190</f>
        <v>132035320</v>
      </c>
      <c r="G190" s="138"/>
      <c r="H190" s="60" t="s">
        <v>769</v>
      </c>
      <c r="I190" s="1"/>
      <c r="J190" s="1"/>
    </row>
    <row r="191" spans="1:10" s="85" customFormat="1" x14ac:dyDescent="0.6">
      <c r="A191" s="85" t="s">
        <v>347</v>
      </c>
      <c r="B191" s="137">
        <v>210000000</v>
      </c>
      <c r="C191" s="137"/>
      <c r="D191" s="137"/>
      <c r="E191" s="137"/>
      <c r="F191" s="137">
        <f t="shared" ref="F191:F198" si="16">B191</f>
        <v>210000000</v>
      </c>
      <c r="G191" s="138"/>
      <c r="H191" s="60" t="s">
        <v>769</v>
      </c>
      <c r="I191" s="1"/>
      <c r="J191" s="1"/>
    </row>
    <row r="192" spans="1:10" s="85" customFormat="1" x14ac:dyDescent="0.6">
      <c r="A192" s="85" t="s">
        <v>350</v>
      </c>
      <c r="B192" s="1081" t="s">
        <v>804</v>
      </c>
      <c r="C192" s="137"/>
      <c r="D192" s="137"/>
      <c r="E192" s="137"/>
      <c r="F192" s="137"/>
      <c r="G192" s="138"/>
      <c r="H192" s="60" t="s">
        <v>769</v>
      </c>
      <c r="I192" s="1"/>
      <c r="J192" s="1"/>
    </row>
    <row r="193" spans="1:10" s="85" customFormat="1" x14ac:dyDescent="0.6">
      <c r="A193" s="85" t="s">
        <v>351</v>
      </c>
      <c r="B193" s="1081" t="s">
        <v>804</v>
      </c>
      <c r="C193" s="137"/>
      <c r="D193" s="137"/>
      <c r="E193" s="137"/>
      <c r="F193" s="137"/>
      <c r="G193" s="138"/>
      <c r="H193" s="60" t="s">
        <v>769</v>
      </c>
      <c r="I193" s="1"/>
      <c r="J193" s="1"/>
    </row>
    <row r="194" spans="1:10" s="85" customFormat="1" x14ac:dyDescent="0.6">
      <c r="A194" s="85" t="s">
        <v>1032</v>
      </c>
      <c r="B194" s="137">
        <v>86695391</v>
      </c>
      <c r="C194" s="137"/>
      <c r="D194" s="137"/>
      <c r="E194" s="137"/>
      <c r="F194" s="137">
        <f t="shared" si="16"/>
        <v>86695391</v>
      </c>
      <c r="G194" s="138"/>
      <c r="H194" s="60" t="s">
        <v>769</v>
      </c>
      <c r="I194" s="1"/>
      <c r="J194" s="1"/>
    </row>
    <row r="195" spans="1:10" s="85" customFormat="1" x14ac:dyDescent="0.6">
      <c r="A195" s="85" t="s">
        <v>353</v>
      </c>
      <c r="B195" s="137">
        <v>420000000</v>
      </c>
      <c r="C195" s="137"/>
      <c r="D195" s="137"/>
      <c r="E195" s="137"/>
      <c r="F195" s="137">
        <f t="shared" si="16"/>
        <v>420000000</v>
      </c>
      <c r="G195" s="138"/>
      <c r="H195" s="60" t="s">
        <v>769</v>
      </c>
      <c r="I195" s="1"/>
      <c r="J195" s="1"/>
    </row>
    <row r="196" spans="1:10" s="85" customFormat="1" x14ac:dyDescent="0.6">
      <c r="A196" s="85" t="s">
        <v>1033</v>
      </c>
      <c r="B196" s="137">
        <v>20000000</v>
      </c>
      <c r="C196" s="137"/>
      <c r="D196" s="137"/>
      <c r="E196" s="137"/>
      <c r="F196" s="137">
        <f t="shared" si="16"/>
        <v>20000000</v>
      </c>
      <c r="G196" s="138"/>
      <c r="H196" s="60" t="s">
        <v>769</v>
      </c>
      <c r="I196" s="1"/>
      <c r="J196" s="1"/>
    </row>
    <row r="197" spans="1:10" s="85" customFormat="1" x14ac:dyDescent="0.6">
      <c r="A197" s="85" t="s">
        <v>354</v>
      </c>
      <c r="B197" s="137">
        <v>119657008</v>
      </c>
      <c r="C197" s="137"/>
      <c r="D197" s="137"/>
      <c r="E197" s="137"/>
      <c r="F197" s="137">
        <f t="shared" si="16"/>
        <v>119657008</v>
      </c>
      <c r="G197" s="138"/>
      <c r="H197" s="60" t="s">
        <v>769</v>
      </c>
      <c r="I197" s="1"/>
      <c r="J197" s="1"/>
    </row>
    <row r="198" spans="1:10" s="85" customFormat="1" x14ac:dyDescent="0.6">
      <c r="A198" s="85" t="s">
        <v>355</v>
      </c>
      <c r="B198" s="137">
        <v>170000000</v>
      </c>
      <c r="C198" s="137"/>
      <c r="D198" s="137"/>
      <c r="E198" s="137"/>
      <c r="F198" s="137">
        <f t="shared" si="16"/>
        <v>170000000</v>
      </c>
      <c r="G198" s="138"/>
      <c r="H198" s="60" t="s">
        <v>769</v>
      </c>
      <c r="I198" s="1"/>
      <c r="J198" s="1"/>
    </row>
    <row r="199" spans="1:10" s="85" customFormat="1" x14ac:dyDescent="0.6">
      <c r="A199" s="85" t="s">
        <v>1034</v>
      </c>
      <c r="B199" s="1081" t="s">
        <v>804</v>
      </c>
      <c r="C199" s="137"/>
      <c r="D199" s="137"/>
      <c r="E199" s="137"/>
      <c r="F199" s="137"/>
      <c r="G199" s="138"/>
      <c r="H199" s="60" t="s">
        <v>769</v>
      </c>
      <c r="I199" s="1"/>
      <c r="J199" s="1"/>
    </row>
    <row r="200" spans="1:10" s="104" customFormat="1" x14ac:dyDescent="0.6">
      <c r="A200" s="104" t="s">
        <v>1035</v>
      </c>
      <c r="B200" s="1081" t="s">
        <v>804</v>
      </c>
      <c r="C200" s="139"/>
      <c r="D200" s="139"/>
      <c r="E200" s="139"/>
      <c r="F200" s="137"/>
      <c r="G200" s="138"/>
      <c r="H200" s="60" t="s">
        <v>769</v>
      </c>
      <c r="I200" s="1"/>
      <c r="J200" s="1"/>
    </row>
    <row r="201" spans="1:10" ht="15.9" thickBot="1" x14ac:dyDescent="0.65">
      <c r="A201" s="99" t="s">
        <v>1036</v>
      </c>
      <c r="B201" s="1081" t="s">
        <v>804</v>
      </c>
      <c r="C201" s="621"/>
      <c r="D201" s="99"/>
      <c r="E201" s="99"/>
      <c r="F201" s="137"/>
      <c r="G201" s="136"/>
      <c r="H201" s="60" t="s">
        <v>769</v>
      </c>
      <c r="I201" s="1"/>
    </row>
    <row r="202" spans="1:10" s="636" customFormat="1" ht="15.9" thickTop="1" x14ac:dyDescent="0.6">
      <c r="A202" s="1084" t="s">
        <v>20</v>
      </c>
      <c r="B202" s="753">
        <f t="shared" ref="B202:G202" si="17">SUM(B203:B207)</f>
        <v>1234505539</v>
      </c>
      <c r="C202" s="753">
        <f t="shared" si="17"/>
        <v>0</v>
      </c>
      <c r="D202" s="753">
        <f t="shared" si="17"/>
        <v>0</v>
      </c>
      <c r="E202" s="753">
        <f t="shared" si="17"/>
        <v>0</v>
      </c>
      <c r="F202" s="753">
        <f t="shared" si="17"/>
        <v>1234505539</v>
      </c>
      <c r="G202" s="754">
        <f t="shared" si="17"/>
        <v>0</v>
      </c>
      <c r="H202" s="60"/>
      <c r="I202" s="1"/>
      <c r="J202" s="1"/>
    </row>
    <row r="203" spans="1:10" s="637" customFormat="1" x14ac:dyDescent="0.6">
      <c r="A203" s="637" t="s">
        <v>312</v>
      </c>
      <c r="B203" s="637">
        <v>29505539</v>
      </c>
      <c r="F203" s="637">
        <f>B203</f>
        <v>29505539</v>
      </c>
      <c r="G203" s="638"/>
      <c r="H203" s="60" t="s">
        <v>769</v>
      </c>
      <c r="I203" s="1"/>
      <c r="J203" s="1"/>
    </row>
    <row r="204" spans="1:10" s="637" customFormat="1" x14ac:dyDescent="0.6">
      <c r="A204" s="637" t="s">
        <v>1037</v>
      </c>
      <c r="B204" s="637">
        <v>1205000000</v>
      </c>
      <c r="F204" s="637">
        <f>B204</f>
        <v>1205000000</v>
      </c>
      <c r="G204" s="638"/>
      <c r="H204" s="60"/>
      <c r="I204" s="1"/>
      <c r="J204" s="1"/>
    </row>
    <row r="205" spans="1:10" s="637" customFormat="1" x14ac:dyDescent="0.6">
      <c r="A205" s="637" t="s">
        <v>1038</v>
      </c>
      <c r="B205" s="1083" t="s">
        <v>804</v>
      </c>
      <c r="G205" s="638"/>
      <c r="H205" s="60" t="s">
        <v>769</v>
      </c>
      <c r="I205" s="1"/>
      <c r="J205" s="1"/>
    </row>
    <row r="206" spans="1:10" s="637" customFormat="1" x14ac:dyDescent="0.6">
      <c r="A206" s="637" t="s">
        <v>1039</v>
      </c>
      <c r="B206" s="1083" t="s">
        <v>804</v>
      </c>
      <c r="G206" s="638"/>
      <c r="H206" s="60" t="s">
        <v>769</v>
      </c>
      <c r="I206" s="1"/>
      <c r="J206" s="1"/>
    </row>
    <row r="207" spans="1:10" s="637" customFormat="1" ht="15.9" thickBot="1" x14ac:dyDescent="0.65">
      <c r="A207" s="639" t="s">
        <v>713</v>
      </c>
      <c r="B207" s="1082" t="s">
        <v>804</v>
      </c>
      <c r="C207" s="639"/>
      <c r="D207" s="639"/>
      <c r="E207" s="639"/>
      <c r="F207" s="639"/>
      <c r="G207" s="640"/>
      <c r="H207" s="60" t="s">
        <v>769</v>
      </c>
      <c r="I207" s="1"/>
      <c r="J207" s="1"/>
    </row>
    <row r="208" spans="1:10" s="192" customFormat="1" ht="15.9" thickTop="1" x14ac:dyDescent="0.6">
      <c r="A208" s="78" t="s">
        <v>38</v>
      </c>
      <c r="B208" s="755">
        <f>SUM(B209:B242)</f>
        <v>914538014</v>
      </c>
      <c r="C208" s="755">
        <f>SUM(C209:C242)</f>
        <v>428634615</v>
      </c>
      <c r="D208" s="755">
        <f>SUM(D209:D242)</f>
        <v>24701302</v>
      </c>
      <c r="E208" s="755">
        <f>SUM(E209:E242)</f>
        <v>400000</v>
      </c>
      <c r="F208" s="755">
        <f>SUM(F209:F242)</f>
        <v>460802097</v>
      </c>
      <c r="G208" s="756"/>
      <c r="H208" s="60"/>
      <c r="I208" s="1"/>
      <c r="J208" s="1"/>
    </row>
    <row r="209" spans="1:10" s="85" customFormat="1" x14ac:dyDescent="0.6">
      <c r="A209" s="85" t="s">
        <v>1040</v>
      </c>
      <c r="B209" s="652" t="s">
        <v>804</v>
      </c>
      <c r="C209" s="141"/>
      <c r="D209" s="141"/>
      <c r="E209" s="141"/>
      <c r="F209" s="141"/>
      <c r="G209" s="142"/>
      <c r="H209" s="60"/>
      <c r="I209" s="1"/>
      <c r="J209" s="1"/>
    </row>
    <row r="210" spans="1:10" s="85" customFormat="1" x14ac:dyDescent="0.6">
      <c r="A210" s="85" t="s">
        <v>1041</v>
      </c>
      <c r="B210" s="652" t="s">
        <v>804</v>
      </c>
      <c r="C210" s="141"/>
      <c r="D210" s="141"/>
      <c r="E210" s="141"/>
      <c r="F210" s="141"/>
      <c r="G210" s="142"/>
      <c r="H210" s="60"/>
      <c r="I210" s="1"/>
      <c r="J210" s="1"/>
    </row>
    <row r="211" spans="1:10" s="85" customFormat="1" x14ac:dyDescent="0.6">
      <c r="A211" s="85" t="s">
        <v>385</v>
      </c>
      <c r="B211" s="141">
        <v>3520000</v>
      </c>
      <c r="C211" s="141"/>
      <c r="D211" s="141">
        <f>B211</f>
        <v>3520000</v>
      </c>
      <c r="E211" s="141"/>
      <c r="F211" s="141"/>
      <c r="G211" s="142"/>
      <c r="H211" s="60"/>
      <c r="I211" s="1"/>
      <c r="J211" s="1"/>
    </row>
    <row r="212" spans="1:10" s="85" customFormat="1" x14ac:dyDescent="0.6">
      <c r="A212" s="85" t="s">
        <v>386</v>
      </c>
      <c r="B212" s="141">
        <v>794366</v>
      </c>
      <c r="C212" s="141"/>
      <c r="D212" s="141">
        <f>B212</f>
        <v>794366</v>
      </c>
      <c r="E212" s="141"/>
      <c r="F212" s="141"/>
      <c r="G212" s="142"/>
      <c r="H212" s="60"/>
      <c r="I212" s="1"/>
      <c r="J212" s="1"/>
    </row>
    <row r="213" spans="1:10" s="85" customFormat="1" x14ac:dyDescent="0.6">
      <c r="A213" s="85" t="s">
        <v>387</v>
      </c>
      <c r="B213" s="141">
        <v>666017</v>
      </c>
      <c r="C213" s="141"/>
      <c r="D213" s="141">
        <f>B213</f>
        <v>666017</v>
      </c>
      <c r="E213" s="141"/>
      <c r="F213" s="141"/>
      <c r="G213" s="142"/>
      <c r="H213" s="60"/>
      <c r="I213" s="1"/>
      <c r="J213" s="1"/>
    </row>
    <row r="214" spans="1:10" s="85" customFormat="1" x14ac:dyDescent="0.6">
      <c r="A214" s="85" t="s">
        <v>388</v>
      </c>
      <c r="B214" s="141">
        <v>1600000</v>
      </c>
      <c r="C214" s="141"/>
      <c r="D214" s="141">
        <f>B214</f>
        <v>1600000</v>
      </c>
      <c r="E214" s="141"/>
      <c r="F214" s="141"/>
      <c r="G214" s="142"/>
      <c r="H214" s="60"/>
      <c r="I214" s="1"/>
      <c r="J214" s="1"/>
    </row>
    <row r="215" spans="1:10" s="85" customFormat="1" x14ac:dyDescent="0.6">
      <c r="A215" s="85" t="s">
        <v>260</v>
      </c>
      <c r="B215" s="141">
        <v>212500000</v>
      </c>
      <c r="C215" s="141">
        <f>B215</f>
        <v>212500000</v>
      </c>
      <c r="D215" s="141"/>
      <c r="E215" s="141"/>
      <c r="F215" s="141"/>
      <c r="G215" s="142"/>
      <c r="H215" s="60" t="s">
        <v>769</v>
      </c>
      <c r="I215" s="1"/>
      <c r="J215" s="1"/>
    </row>
    <row r="216" spans="1:10" s="85" customFormat="1" x14ac:dyDescent="0.6">
      <c r="A216" s="85" t="s">
        <v>1042</v>
      </c>
      <c r="B216" s="141">
        <v>59459964</v>
      </c>
      <c r="C216" s="141"/>
      <c r="D216" s="141"/>
      <c r="E216" s="141"/>
      <c r="F216" s="141">
        <f>B216</f>
        <v>59459964</v>
      </c>
      <c r="G216" s="142"/>
      <c r="H216" s="60" t="s">
        <v>769</v>
      </c>
      <c r="I216" s="1"/>
      <c r="J216" s="1"/>
    </row>
    <row r="217" spans="1:10" s="85" customFormat="1" x14ac:dyDescent="0.6">
      <c r="A217" s="85" t="s">
        <v>261</v>
      </c>
      <c r="B217" s="141">
        <v>52114116</v>
      </c>
      <c r="C217" s="141"/>
      <c r="D217" s="141"/>
      <c r="E217" s="141"/>
      <c r="F217" s="141">
        <f>B217</f>
        <v>52114116</v>
      </c>
      <c r="G217" s="142"/>
      <c r="H217" s="60"/>
      <c r="I217" s="1"/>
      <c r="J217" s="1"/>
    </row>
    <row r="218" spans="1:10" s="85" customFormat="1" x14ac:dyDescent="0.6">
      <c r="A218" s="85" t="s">
        <v>920</v>
      </c>
      <c r="B218" s="652" t="s">
        <v>804</v>
      </c>
      <c r="C218" s="141"/>
      <c r="D218" s="141"/>
      <c r="E218" s="141"/>
      <c r="F218" s="141"/>
      <c r="G218" s="142"/>
      <c r="H218" s="60" t="s">
        <v>769</v>
      </c>
      <c r="I218" s="1"/>
      <c r="J218" s="1"/>
    </row>
    <row r="219" spans="1:10" s="85" customFormat="1" x14ac:dyDescent="0.6">
      <c r="A219" s="85" t="s">
        <v>1043</v>
      </c>
      <c r="B219" s="652" t="s">
        <v>804</v>
      </c>
      <c r="C219" s="141"/>
      <c r="D219" s="141"/>
      <c r="E219" s="141"/>
      <c r="F219" s="141"/>
      <c r="G219" s="142"/>
      <c r="H219" s="60"/>
      <c r="I219" s="1"/>
      <c r="J219" s="1"/>
    </row>
    <row r="220" spans="1:10" s="85" customFormat="1" x14ac:dyDescent="0.6">
      <c r="A220" s="85" t="s">
        <v>263</v>
      </c>
      <c r="B220" s="141">
        <v>18120919</v>
      </c>
      <c r="C220" s="141"/>
      <c r="D220" s="141">
        <f>B220</f>
        <v>18120919</v>
      </c>
      <c r="E220" s="141"/>
      <c r="F220" s="141"/>
      <c r="G220" s="142"/>
      <c r="H220" s="60" t="s">
        <v>769</v>
      </c>
      <c r="I220" s="1"/>
      <c r="J220" s="1"/>
    </row>
    <row r="221" spans="1:10" s="85" customFormat="1" x14ac:dyDescent="0.6">
      <c r="A221" s="85" t="s">
        <v>264</v>
      </c>
      <c r="B221" s="141">
        <v>8000000</v>
      </c>
      <c r="C221" s="141"/>
      <c r="D221" s="141"/>
      <c r="E221" s="141"/>
      <c r="F221" s="141">
        <f>B221</f>
        <v>8000000</v>
      </c>
      <c r="G221" s="142"/>
      <c r="H221" s="60" t="s">
        <v>769</v>
      </c>
      <c r="I221" s="1"/>
      <c r="J221" s="1"/>
    </row>
    <row r="222" spans="1:10" s="85" customFormat="1" x14ac:dyDescent="0.6">
      <c r="A222" s="85" t="s">
        <v>266</v>
      </c>
      <c r="B222" s="141">
        <v>37305410</v>
      </c>
      <c r="C222" s="141"/>
      <c r="D222" s="141"/>
      <c r="E222" s="141"/>
      <c r="F222" s="141">
        <f>B222</f>
        <v>37305410</v>
      </c>
      <c r="G222" s="142"/>
      <c r="H222" s="60" t="s">
        <v>769</v>
      </c>
      <c r="I222" s="1"/>
      <c r="J222" s="1"/>
    </row>
    <row r="223" spans="1:10" s="85" customFormat="1" x14ac:dyDescent="0.6">
      <c r="A223" s="85" t="s">
        <v>1044</v>
      </c>
      <c r="B223" s="652" t="s">
        <v>804</v>
      </c>
      <c r="C223" s="141"/>
      <c r="D223" s="141"/>
      <c r="E223" s="141"/>
      <c r="F223" s="141"/>
      <c r="G223" s="142"/>
      <c r="H223" s="60" t="s">
        <v>769</v>
      </c>
      <c r="I223" s="1"/>
      <c r="J223" s="1"/>
    </row>
    <row r="224" spans="1:10" s="85" customFormat="1" x14ac:dyDescent="0.6">
      <c r="A224" s="85" t="s">
        <v>268</v>
      </c>
      <c r="B224" s="141">
        <v>5400000</v>
      </c>
      <c r="C224" s="141"/>
      <c r="D224" s="141"/>
      <c r="E224" s="141"/>
      <c r="F224" s="141">
        <f>B224</f>
        <v>5400000</v>
      </c>
      <c r="G224" s="142"/>
      <c r="H224" s="60" t="s">
        <v>769</v>
      </c>
      <c r="I224" s="1"/>
      <c r="J224" s="1"/>
    </row>
    <row r="225" spans="1:10" s="85" customFormat="1" x14ac:dyDescent="0.6">
      <c r="A225" s="85" t="s">
        <v>269</v>
      </c>
      <c r="B225" s="141">
        <v>400000</v>
      </c>
      <c r="C225" s="141"/>
      <c r="D225" s="141"/>
      <c r="E225" s="141">
        <f>B225</f>
        <v>400000</v>
      </c>
      <c r="F225" s="141"/>
      <c r="G225" s="142"/>
      <c r="H225" s="60" t="s">
        <v>769</v>
      </c>
      <c r="I225" s="1"/>
      <c r="J225" s="1"/>
    </row>
    <row r="226" spans="1:10" s="85" customFormat="1" x14ac:dyDescent="0.6">
      <c r="A226" s="85" t="s">
        <v>270</v>
      </c>
      <c r="B226" s="141">
        <v>215000000</v>
      </c>
      <c r="C226" s="141"/>
      <c r="D226" s="141"/>
      <c r="E226" s="141"/>
      <c r="F226" s="141">
        <f>B226</f>
        <v>215000000</v>
      </c>
      <c r="G226" s="142"/>
      <c r="H226" s="60" t="s">
        <v>769</v>
      </c>
      <c r="I226" s="1"/>
      <c r="J226" s="1"/>
    </row>
    <row r="227" spans="1:10" s="85" customFormat="1" x14ac:dyDescent="0.6">
      <c r="A227" s="85" t="s">
        <v>271</v>
      </c>
      <c r="B227" s="141">
        <v>65000000</v>
      </c>
      <c r="C227" s="141">
        <f>B227</f>
        <v>65000000</v>
      </c>
      <c r="D227" s="141"/>
      <c r="E227" s="141"/>
      <c r="F227" s="141"/>
      <c r="G227" s="142"/>
      <c r="H227" s="60" t="s">
        <v>769</v>
      </c>
      <c r="I227" s="1"/>
      <c r="J227" s="1"/>
    </row>
    <row r="228" spans="1:10" s="85" customFormat="1" x14ac:dyDescent="0.6">
      <c r="A228" s="85" t="s">
        <v>272</v>
      </c>
      <c r="B228" s="141">
        <v>3000000</v>
      </c>
      <c r="C228" s="141"/>
      <c r="D228" s="141"/>
      <c r="E228" s="141"/>
      <c r="F228" s="141">
        <f>B228</f>
        <v>3000000</v>
      </c>
      <c r="G228" s="142"/>
      <c r="H228" s="114" t="s">
        <v>769</v>
      </c>
      <c r="I228" s="70"/>
      <c r="J228" s="1"/>
    </row>
    <row r="229" spans="1:10" s="85" customFormat="1" x14ac:dyDescent="0.6">
      <c r="A229" s="85" t="s">
        <v>921</v>
      </c>
      <c r="B229" s="652" t="s">
        <v>804</v>
      </c>
      <c r="C229" s="141"/>
      <c r="D229" s="141"/>
      <c r="E229" s="141"/>
      <c r="F229" s="141"/>
      <c r="G229" s="142"/>
      <c r="H229" s="114" t="s">
        <v>769</v>
      </c>
      <c r="I229" s="70"/>
      <c r="J229" s="1"/>
    </row>
    <row r="230" spans="1:10" s="85" customFormat="1" x14ac:dyDescent="0.6">
      <c r="A230" s="85" t="s">
        <v>275</v>
      </c>
      <c r="B230" s="141">
        <v>8160793</v>
      </c>
      <c r="C230" s="141"/>
      <c r="D230" s="141"/>
      <c r="E230" s="141"/>
      <c r="F230" s="141">
        <f>B230</f>
        <v>8160793</v>
      </c>
      <c r="G230" s="142"/>
      <c r="H230" s="114" t="s">
        <v>769</v>
      </c>
      <c r="I230" s="70"/>
      <c r="J230" s="1"/>
    </row>
    <row r="231" spans="1:10" s="85" customFormat="1" x14ac:dyDescent="0.6">
      <c r="A231" s="85" t="s">
        <v>1045</v>
      </c>
      <c r="B231" s="652" t="s">
        <v>804</v>
      </c>
      <c r="C231" s="141"/>
      <c r="D231" s="141"/>
      <c r="E231" s="141"/>
      <c r="F231" s="141"/>
      <c r="G231" s="142"/>
      <c r="H231" s="114" t="s">
        <v>769</v>
      </c>
      <c r="I231" s="70"/>
      <c r="J231" s="1"/>
    </row>
    <row r="232" spans="1:10" s="85" customFormat="1" x14ac:dyDescent="0.6">
      <c r="A232" s="85" t="s">
        <v>277</v>
      </c>
      <c r="B232" s="141">
        <v>91384615</v>
      </c>
      <c r="C232" s="141">
        <f>B232</f>
        <v>91384615</v>
      </c>
      <c r="D232" s="141"/>
      <c r="E232" s="141"/>
      <c r="F232" s="141"/>
      <c r="G232" s="142"/>
      <c r="H232" s="114" t="s">
        <v>769</v>
      </c>
      <c r="I232" s="70"/>
      <c r="J232" s="1"/>
    </row>
    <row r="233" spans="1:10" s="85" customFormat="1" x14ac:dyDescent="0.6">
      <c r="A233" s="85" t="s">
        <v>278</v>
      </c>
      <c r="B233" s="141">
        <v>8545455</v>
      </c>
      <c r="C233" s="141"/>
      <c r="D233" s="141"/>
      <c r="E233" s="141"/>
      <c r="F233" s="141">
        <f>B233</f>
        <v>8545455</v>
      </c>
      <c r="G233" s="142"/>
      <c r="H233" s="114" t="s">
        <v>769</v>
      </c>
      <c r="I233" s="70"/>
      <c r="J233" s="1"/>
    </row>
    <row r="234" spans="1:10" s="85" customFormat="1" x14ac:dyDescent="0.6">
      <c r="A234" s="85" t="s">
        <v>279</v>
      </c>
      <c r="B234" s="141">
        <v>27000000</v>
      </c>
      <c r="C234" s="141">
        <f>B234</f>
        <v>27000000</v>
      </c>
      <c r="D234" s="141"/>
      <c r="E234" s="141"/>
      <c r="F234" s="141"/>
      <c r="G234" s="142"/>
      <c r="H234" s="114" t="s">
        <v>769</v>
      </c>
      <c r="I234" s="70"/>
      <c r="J234" s="1"/>
    </row>
    <row r="235" spans="1:10" s="85" customFormat="1" x14ac:dyDescent="0.6">
      <c r="A235" s="85" t="s">
        <v>280</v>
      </c>
      <c r="B235" s="141">
        <v>19000000</v>
      </c>
      <c r="C235" s="141"/>
      <c r="D235" s="141"/>
      <c r="E235" s="141"/>
      <c r="F235" s="141">
        <f>B235</f>
        <v>19000000</v>
      </c>
      <c r="G235" s="142"/>
      <c r="H235" s="114" t="s">
        <v>769</v>
      </c>
      <c r="I235" s="70"/>
      <c r="J235" s="1"/>
    </row>
    <row r="236" spans="1:10" s="85" customFormat="1" x14ac:dyDescent="0.6">
      <c r="A236" s="85" t="s">
        <v>1046</v>
      </c>
      <c r="B236" s="1085">
        <v>4500000</v>
      </c>
      <c r="C236" s="141">
        <f>B236/2</f>
        <v>2250000</v>
      </c>
      <c r="D236" s="141"/>
      <c r="E236" s="141"/>
      <c r="F236" s="141">
        <f>B236/2</f>
        <v>2250000</v>
      </c>
      <c r="G236" s="142"/>
      <c r="H236" s="114" t="s">
        <v>769</v>
      </c>
      <c r="I236" s="70"/>
      <c r="J236" s="1"/>
    </row>
    <row r="237" spans="1:10" s="85" customFormat="1" x14ac:dyDescent="0.6">
      <c r="A237" s="85" t="s">
        <v>281</v>
      </c>
      <c r="B237" s="1085">
        <v>7019639</v>
      </c>
      <c r="C237" s="141"/>
      <c r="D237" s="141"/>
      <c r="E237" s="141"/>
      <c r="F237" s="141">
        <f>B237</f>
        <v>7019639</v>
      </c>
      <c r="G237" s="142"/>
      <c r="H237" s="114" t="s">
        <v>769</v>
      </c>
      <c r="I237" s="70"/>
      <c r="J237" s="1"/>
    </row>
    <row r="238" spans="1:10" s="85" customFormat="1" x14ac:dyDescent="0.6">
      <c r="A238" s="85" t="s">
        <v>282</v>
      </c>
      <c r="B238" s="1085">
        <v>35546720</v>
      </c>
      <c r="C238" s="141"/>
      <c r="D238" s="141"/>
      <c r="E238" s="141"/>
      <c r="F238" s="141">
        <f>B238</f>
        <v>35546720</v>
      </c>
      <c r="G238" s="142"/>
      <c r="H238" s="114"/>
      <c r="I238" s="70"/>
      <c r="J238" s="1"/>
    </row>
    <row r="239" spans="1:10" s="85" customFormat="1" x14ac:dyDescent="0.6">
      <c r="A239" s="85" t="s">
        <v>360</v>
      </c>
      <c r="B239" s="652" t="s">
        <v>804</v>
      </c>
      <c r="C239" s="141"/>
      <c r="D239" s="141"/>
      <c r="E239" s="141"/>
      <c r="F239" s="141"/>
      <c r="G239" s="142"/>
      <c r="H239" s="114"/>
      <c r="I239" s="70"/>
      <c r="J239" s="1"/>
    </row>
    <row r="240" spans="1:10" s="85" customFormat="1" x14ac:dyDescent="0.6">
      <c r="A240" s="85" t="s">
        <v>361</v>
      </c>
      <c r="B240" s="652" t="s">
        <v>804</v>
      </c>
      <c r="C240" s="141"/>
      <c r="D240" s="141"/>
      <c r="E240" s="141"/>
      <c r="F240" s="141"/>
      <c r="G240" s="142"/>
      <c r="H240" s="114" t="s">
        <v>769</v>
      </c>
      <c r="I240" s="70"/>
      <c r="J240" s="1"/>
    </row>
    <row r="241" spans="1:10" s="85" customFormat="1" x14ac:dyDescent="0.6">
      <c r="A241" s="85" t="s">
        <v>362</v>
      </c>
      <c r="B241" s="652" t="s">
        <v>804</v>
      </c>
      <c r="C241" s="141"/>
      <c r="D241" s="141"/>
      <c r="E241" s="141"/>
      <c r="F241" s="141"/>
      <c r="G241" s="142"/>
      <c r="H241" s="114" t="s">
        <v>769</v>
      </c>
      <c r="I241" s="70"/>
      <c r="J241" s="1"/>
    </row>
    <row r="242" spans="1:10" s="85" customFormat="1" ht="15.9" thickBot="1" x14ac:dyDescent="0.65">
      <c r="A242" s="99" t="s">
        <v>1047</v>
      </c>
      <c r="B242" s="1086">
        <v>30500000</v>
      </c>
      <c r="C242" s="143">
        <f>B242</f>
        <v>30500000</v>
      </c>
      <c r="D242" s="143"/>
      <c r="E242" s="143"/>
      <c r="F242" s="143"/>
      <c r="G242" s="144"/>
      <c r="H242" s="114" t="s">
        <v>769</v>
      </c>
      <c r="I242" s="70"/>
      <c r="J242" s="1"/>
    </row>
    <row r="243" spans="1:10" s="192" customFormat="1" ht="15.9" thickTop="1" x14ac:dyDescent="0.6">
      <c r="A243" s="78" t="s">
        <v>39</v>
      </c>
      <c r="B243" s="729">
        <f>SUM(B244:B253)</f>
        <v>5405425194</v>
      </c>
      <c r="C243" s="729">
        <f t="shared" ref="C243:E243" si="18">SUM(C244:C253)</f>
        <v>3285805322</v>
      </c>
      <c r="D243" s="729">
        <f t="shared" si="18"/>
        <v>0</v>
      </c>
      <c r="E243" s="729">
        <f t="shared" si="18"/>
        <v>0</v>
      </c>
      <c r="F243" s="729">
        <f t="shared" ref="F243:G243" si="19">SUM(F244:F253)</f>
        <v>2119619872</v>
      </c>
      <c r="G243" s="757">
        <f t="shared" si="19"/>
        <v>0</v>
      </c>
      <c r="H243" s="114"/>
      <c r="I243" s="70"/>
      <c r="J243" s="1"/>
    </row>
    <row r="244" spans="1:10" s="85" customFormat="1" x14ac:dyDescent="0.6">
      <c r="A244" s="85" t="s">
        <v>1048</v>
      </c>
      <c r="B244" s="145">
        <v>154981795</v>
      </c>
      <c r="C244" s="145"/>
      <c r="D244" s="145"/>
      <c r="E244" s="145"/>
      <c r="F244" s="145">
        <f>B244</f>
        <v>154981795</v>
      </c>
      <c r="G244" s="146"/>
      <c r="H244" s="114" t="s">
        <v>769</v>
      </c>
      <c r="I244" s="70"/>
      <c r="J244" s="1"/>
    </row>
    <row r="245" spans="1:10" s="85" customFormat="1" x14ac:dyDescent="0.6">
      <c r="A245" s="85" t="s">
        <v>1049</v>
      </c>
      <c r="B245" s="1040" t="s">
        <v>804</v>
      </c>
      <c r="C245" s="145"/>
      <c r="D245" s="145"/>
      <c r="E245" s="145"/>
      <c r="F245" s="145"/>
      <c r="G245" s="146"/>
      <c r="H245" s="114" t="s">
        <v>769</v>
      </c>
      <c r="I245" s="70"/>
      <c r="J245" s="1"/>
    </row>
    <row r="246" spans="1:10" s="85" customFormat="1" x14ac:dyDescent="0.6">
      <c r="A246" s="85" t="s">
        <v>1050</v>
      </c>
      <c r="B246" s="145">
        <v>2968196824</v>
      </c>
      <c r="C246" s="145">
        <f>B246</f>
        <v>2968196824</v>
      </c>
      <c r="D246" s="145"/>
      <c r="E246" s="145"/>
      <c r="F246" s="145"/>
      <c r="G246" s="146"/>
      <c r="H246" s="114" t="s">
        <v>769</v>
      </c>
      <c r="I246" s="70"/>
      <c r="J246" s="1"/>
    </row>
    <row r="247" spans="1:10" s="85" customFormat="1" x14ac:dyDescent="0.6">
      <c r="A247" s="85" t="s">
        <v>1051</v>
      </c>
      <c r="B247" s="1040" t="s">
        <v>804</v>
      </c>
      <c r="C247" s="145"/>
      <c r="D247" s="145"/>
      <c r="E247" s="145"/>
      <c r="F247" s="145"/>
      <c r="G247" s="146"/>
      <c r="H247" s="114" t="s">
        <v>769</v>
      </c>
      <c r="I247" s="70"/>
      <c r="J247" s="1"/>
    </row>
    <row r="248" spans="1:10" s="85" customFormat="1" x14ac:dyDescent="0.6">
      <c r="A248" s="85" t="s">
        <v>922</v>
      </c>
      <c r="B248" s="145">
        <v>509204031</v>
      </c>
      <c r="C248" s="145"/>
      <c r="D248" s="145"/>
      <c r="E248" s="145"/>
      <c r="F248" s="145">
        <f t="shared" ref="F248:F249" si="20">B248</f>
        <v>509204031</v>
      </c>
      <c r="G248" s="146"/>
      <c r="H248" s="114" t="s">
        <v>769</v>
      </c>
      <c r="I248" s="70"/>
      <c r="J248" s="1"/>
    </row>
    <row r="249" spans="1:10" s="85" customFormat="1" x14ac:dyDescent="0.6">
      <c r="A249" s="85" t="s">
        <v>1052</v>
      </c>
      <c r="B249" s="145">
        <v>295434046</v>
      </c>
      <c r="C249" s="1040"/>
      <c r="D249" s="145"/>
      <c r="E249" s="145"/>
      <c r="F249" s="145">
        <f t="shared" si="20"/>
        <v>295434046</v>
      </c>
      <c r="G249" s="146"/>
      <c r="H249" s="114" t="s">
        <v>769</v>
      </c>
      <c r="I249" s="70"/>
      <c r="J249" s="1"/>
    </row>
    <row r="250" spans="1:10" s="85" customFormat="1" x14ac:dyDescent="0.6">
      <c r="A250" s="85" t="s">
        <v>1053</v>
      </c>
      <c r="B250" s="145">
        <v>1125000000</v>
      </c>
      <c r="C250" s="145"/>
      <c r="D250" s="145"/>
      <c r="E250" s="145"/>
      <c r="F250" s="145">
        <f>B250</f>
        <v>1125000000</v>
      </c>
      <c r="G250" s="146"/>
      <c r="H250" s="114" t="s">
        <v>769</v>
      </c>
      <c r="I250" s="70"/>
      <c r="J250" s="1"/>
    </row>
    <row r="251" spans="1:10" s="85" customFormat="1" x14ac:dyDescent="0.6">
      <c r="A251" s="85" t="s">
        <v>1054</v>
      </c>
      <c r="B251" s="145">
        <v>25000000</v>
      </c>
      <c r="C251" s="145">
        <f>B251</f>
        <v>25000000</v>
      </c>
      <c r="D251" s="145"/>
      <c r="E251" s="145"/>
      <c r="F251" s="145"/>
      <c r="G251" s="146"/>
      <c r="H251" s="114" t="s">
        <v>769</v>
      </c>
      <c r="I251" s="70"/>
      <c r="J251" s="1"/>
    </row>
    <row r="252" spans="1:10" s="85" customFormat="1" x14ac:dyDescent="0.6">
      <c r="A252" s="85" t="s">
        <v>1055</v>
      </c>
      <c r="B252" s="145">
        <v>35000000</v>
      </c>
      <c r="C252" s="145"/>
      <c r="D252" s="145"/>
      <c r="E252" s="145"/>
      <c r="F252" s="145">
        <f>B252</f>
        <v>35000000</v>
      </c>
      <c r="G252" s="146"/>
      <c r="H252" s="114" t="s">
        <v>769</v>
      </c>
      <c r="I252" s="70"/>
      <c r="J252" s="1"/>
    </row>
    <row r="253" spans="1:10" s="85" customFormat="1" ht="15.9" thickBot="1" x14ac:dyDescent="0.65">
      <c r="A253" s="99" t="s">
        <v>1056</v>
      </c>
      <c r="B253" s="147">
        <v>292608498</v>
      </c>
      <c r="C253" s="147">
        <f>B253</f>
        <v>292608498</v>
      </c>
      <c r="D253" s="147"/>
      <c r="E253" s="147"/>
      <c r="F253" s="147"/>
      <c r="G253" s="148"/>
      <c r="H253" s="114" t="s">
        <v>769</v>
      </c>
      <c r="I253" s="70"/>
      <c r="J253" s="1"/>
    </row>
    <row r="254" spans="1:10" s="646" customFormat="1" ht="15.9" thickTop="1" x14ac:dyDescent="0.6">
      <c r="A254" s="1088" t="s">
        <v>40</v>
      </c>
      <c r="B254" s="758">
        <f>SUM(B255:B262)</f>
        <v>427447442</v>
      </c>
      <c r="C254" s="758">
        <f t="shared" ref="C254:G254" si="21">SUM(C255:C262)</f>
        <v>331977823</v>
      </c>
      <c r="D254" s="758">
        <f t="shared" si="21"/>
        <v>0</v>
      </c>
      <c r="E254" s="758">
        <f t="shared" si="21"/>
        <v>2073527</v>
      </c>
      <c r="F254" s="758">
        <f t="shared" si="21"/>
        <v>93396092</v>
      </c>
      <c r="G254" s="759">
        <f t="shared" si="21"/>
        <v>0</v>
      </c>
      <c r="H254" s="114"/>
      <c r="I254" s="70"/>
      <c r="J254" s="1"/>
    </row>
    <row r="255" spans="1:10" s="647" customFormat="1" x14ac:dyDescent="0.6">
      <c r="A255" s="647" t="s">
        <v>924</v>
      </c>
      <c r="B255" s="647">
        <v>77492000</v>
      </c>
      <c r="C255" s="647">
        <f>B255</f>
        <v>77492000</v>
      </c>
      <c r="G255" s="648"/>
      <c r="H255" s="114" t="s">
        <v>769</v>
      </c>
      <c r="I255" s="70"/>
      <c r="J255" s="1"/>
    </row>
    <row r="256" spans="1:10" s="647" customFormat="1" x14ac:dyDescent="0.6">
      <c r="A256" s="647" t="s">
        <v>925</v>
      </c>
      <c r="B256" s="647">
        <v>55927000</v>
      </c>
      <c r="F256" s="647">
        <f>B256</f>
        <v>55927000</v>
      </c>
      <c r="G256" s="648"/>
      <c r="H256" s="114" t="s">
        <v>769</v>
      </c>
      <c r="I256" s="70"/>
      <c r="J256" s="1"/>
    </row>
    <row r="257" spans="1:10" s="647" customFormat="1" x14ac:dyDescent="0.6">
      <c r="A257" s="647" t="s">
        <v>1057</v>
      </c>
      <c r="B257" s="647">
        <v>23405593</v>
      </c>
      <c r="F257" s="647">
        <f>B257</f>
        <v>23405593</v>
      </c>
      <c r="G257" s="648"/>
      <c r="H257" s="114" t="s">
        <v>769</v>
      </c>
      <c r="I257" s="70"/>
      <c r="J257" s="1"/>
    </row>
    <row r="258" spans="1:10" s="647" customFormat="1" x14ac:dyDescent="0.6">
      <c r="A258" s="647" t="s">
        <v>926</v>
      </c>
      <c r="B258" s="647">
        <v>4055000</v>
      </c>
      <c r="F258" s="647">
        <f t="shared" ref="F258:F259" si="22">B258</f>
        <v>4055000</v>
      </c>
      <c r="G258" s="648"/>
      <c r="H258" s="114" t="s">
        <v>769</v>
      </c>
      <c r="I258" s="70"/>
      <c r="J258" s="1"/>
    </row>
    <row r="259" spans="1:10" s="647" customFormat="1" x14ac:dyDescent="0.6">
      <c r="A259" s="647" t="s">
        <v>927</v>
      </c>
      <c r="B259" s="647">
        <v>7237347</v>
      </c>
      <c r="F259" s="647">
        <f t="shared" si="22"/>
        <v>7237347</v>
      </c>
      <c r="G259" s="648"/>
      <c r="H259" s="114" t="s">
        <v>769</v>
      </c>
      <c r="I259" s="70"/>
      <c r="J259" s="1"/>
    </row>
    <row r="260" spans="1:10" s="647" customFormat="1" x14ac:dyDescent="0.6">
      <c r="A260" s="647" t="s">
        <v>928</v>
      </c>
      <c r="B260" s="647">
        <v>2073527</v>
      </c>
      <c r="E260" s="647">
        <f>B260</f>
        <v>2073527</v>
      </c>
      <c r="G260" s="648"/>
      <c r="H260" s="114" t="s">
        <v>769</v>
      </c>
      <c r="I260" s="70"/>
      <c r="J260" s="1"/>
    </row>
    <row r="261" spans="1:10" s="647" customFormat="1" x14ac:dyDescent="0.6">
      <c r="A261" s="647" t="s">
        <v>929</v>
      </c>
      <c r="B261" s="647">
        <v>2771152</v>
      </c>
      <c r="F261" s="647">
        <f>B261</f>
        <v>2771152</v>
      </c>
      <c r="G261" s="648"/>
      <c r="H261" s="114" t="s">
        <v>769</v>
      </c>
      <c r="I261" s="70"/>
      <c r="J261" s="1"/>
    </row>
    <row r="262" spans="1:10" s="647" customFormat="1" ht="15.9" thickBot="1" x14ac:dyDescent="0.65">
      <c r="A262" s="649" t="s">
        <v>930</v>
      </c>
      <c r="B262" s="1087">
        <v>254485823</v>
      </c>
      <c r="C262" s="649">
        <f>B262</f>
        <v>254485823</v>
      </c>
      <c r="D262" s="649"/>
      <c r="E262" s="649"/>
      <c r="F262" s="649"/>
      <c r="G262" s="650"/>
      <c r="H262" s="114" t="s">
        <v>769</v>
      </c>
      <c r="I262" s="70"/>
      <c r="J262" s="1"/>
    </row>
    <row r="263" spans="1:10" s="748" customFormat="1" ht="15.9" thickTop="1" x14ac:dyDescent="0.6">
      <c r="A263" s="1060" t="s">
        <v>31</v>
      </c>
      <c r="B263" s="1089">
        <f>SUM(B264:B267)</f>
        <v>3134001847</v>
      </c>
      <c r="C263" s="1089">
        <f t="shared" ref="C263:G263" si="23">SUM(C264:C267)</f>
        <v>3134001847</v>
      </c>
      <c r="D263" s="1089">
        <f t="shared" si="23"/>
        <v>0</v>
      </c>
      <c r="E263" s="1089">
        <f t="shared" si="23"/>
        <v>0</v>
      </c>
      <c r="F263" s="1089">
        <f t="shared" si="23"/>
        <v>0</v>
      </c>
      <c r="G263" s="1408">
        <f t="shared" si="23"/>
        <v>0</v>
      </c>
      <c r="H263" s="114"/>
      <c r="I263" s="70"/>
      <c r="J263" s="1"/>
    </row>
    <row r="264" spans="1:10" s="123" customFormat="1" x14ac:dyDescent="0.6">
      <c r="A264" s="599" t="s">
        <v>931</v>
      </c>
      <c r="B264" s="1065" t="s">
        <v>804</v>
      </c>
      <c r="C264" s="694"/>
      <c r="D264" s="694"/>
      <c r="E264" s="694"/>
      <c r="F264" s="694"/>
      <c r="G264" s="696"/>
      <c r="H264" s="114"/>
      <c r="I264" s="70"/>
      <c r="J264" s="1"/>
    </row>
    <row r="265" spans="1:10" s="123" customFormat="1" x14ac:dyDescent="0.6">
      <c r="A265" s="599" t="s">
        <v>932</v>
      </c>
      <c r="B265" s="694">
        <v>880457532</v>
      </c>
      <c r="C265" s="694">
        <f>B265</f>
        <v>880457532</v>
      </c>
      <c r="D265" s="694"/>
      <c r="E265" s="694"/>
      <c r="F265" s="694"/>
      <c r="G265" s="696"/>
      <c r="H265" s="114"/>
      <c r="I265" s="70"/>
      <c r="J265" s="1"/>
    </row>
    <row r="266" spans="1:10" s="123" customFormat="1" x14ac:dyDescent="0.6">
      <c r="A266" s="599" t="s">
        <v>933</v>
      </c>
      <c r="B266" s="694">
        <v>111270166</v>
      </c>
      <c r="C266" s="694">
        <f>B266</f>
        <v>111270166</v>
      </c>
      <c r="D266" s="694"/>
      <c r="E266" s="694"/>
      <c r="F266" s="694"/>
      <c r="G266" s="696"/>
      <c r="H266" s="114"/>
      <c r="I266" s="70"/>
      <c r="J266" s="1"/>
    </row>
    <row r="267" spans="1:10" s="85" customFormat="1" ht="15.9" thickBot="1" x14ac:dyDescent="0.65">
      <c r="A267" s="99" t="s">
        <v>935</v>
      </c>
      <c r="B267" s="698">
        <v>2142274149</v>
      </c>
      <c r="C267" s="698">
        <f>B267</f>
        <v>2142274149</v>
      </c>
      <c r="D267" s="698"/>
      <c r="E267" s="698"/>
      <c r="F267" s="698"/>
      <c r="G267" s="700"/>
      <c r="H267" s="114"/>
      <c r="I267" s="70"/>
      <c r="J267" s="1"/>
    </row>
    <row r="268" spans="1:10" s="641" customFormat="1" ht="15.9" thickTop="1" x14ac:dyDescent="0.6">
      <c r="A268" s="1091" t="s">
        <v>47</v>
      </c>
      <c r="B268" s="732">
        <f t="shared" ref="B268:G268" si="24">SUM(B269:B273)</f>
        <v>1337511000000</v>
      </c>
      <c r="C268" s="732">
        <f t="shared" si="24"/>
        <v>0</v>
      </c>
      <c r="D268" s="732">
        <f t="shared" si="24"/>
        <v>0</v>
      </c>
      <c r="E268" s="732">
        <f t="shared" si="24"/>
        <v>0</v>
      </c>
      <c r="F268" s="732">
        <f t="shared" si="24"/>
        <v>1337511000000</v>
      </c>
      <c r="G268" s="733">
        <f t="shared" si="24"/>
        <v>0</v>
      </c>
      <c r="H268" s="114"/>
      <c r="I268" s="70"/>
      <c r="J268" s="1"/>
    </row>
    <row r="269" spans="1:10" s="642" customFormat="1" x14ac:dyDescent="0.6">
      <c r="A269" s="605" t="s">
        <v>1058</v>
      </c>
      <c r="B269" s="1090" t="s">
        <v>804</v>
      </c>
      <c r="C269" s="605"/>
      <c r="D269" s="605"/>
      <c r="E269" s="605"/>
      <c r="F269" s="605"/>
      <c r="G269" s="606"/>
      <c r="H269" s="114" t="s">
        <v>769</v>
      </c>
      <c r="I269" s="70"/>
      <c r="J269" s="1"/>
    </row>
    <row r="270" spans="1:10" s="642" customFormat="1" x14ac:dyDescent="0.6">
      <c r="A270" s="605" t="s">
        <v>1059</v>
      </c>
      <c r="B270" s="1090" t="s">
        <v>804</v>
      </c>
      <c r="C270" s="605"/>
      <c r="D270" s="605"/>
      <c r="E270" s="605"/>
      <c r="F270" s="605"/>
      <c r="G270" s="606"/>
      <c r="H270" s="114"/>
      <c r="I270" s="70"/>
      <c r="J270" s="1"/>
    </row>
    <row r="271" spans="1:10" s="642" customFormat="1" x14ac:dyDescent="0.6">
      <c r="A271" s="605" t="s">
        <v>1060</v>
      </c>
      <c r="B271" s="1090" t="s">
        <v>804</v>
      </c>
      <c r="C271" s="605"/>
      <c r="D271" s="605"/>
      <c r="E271" s="605"/>
      <c r="F271" s="605"/>
      <c r="G271" s="606"/>
      <c r="H271" s="114"/>
      <c r="I271" s="70"/>
      <c r="J271" s="1"/>
    </row>
    <row r="272" spans="1:10" s="642" customFormat="1" x14ac:dyDescent="0.6">
      <c r="A272" s="605" t="s">
        <v>704</v>
      </c>
      <c r="B272" s="605">
        <v>740311000000</v>
      </c>
      <c r="C272" s="605"/>
      <c r="D272" s="605"/>
      <c r="E272" s="605"/>
      <c r="F272" s="642">
        <f>B272</f>
        <v>740311000000</v>
      </c>
      <c r="G272" s="606"/>
      <c r="H272" s="114" t="s">
        <v>769</v>
      </c>
      <c r="I272" s="70"/>
      <c r="J272" s="1"/>
    </row>
    <row r="273" spans="1:10" s="642" customFormat="1" ht="15.9" thickBot="1" x14ac:dyDescent="0.65">
      <c r="A273" s="625" t="s">
        <v>705</v>
      </c>
      <c r="B273" s="625">
        <v>597200000000</v>
      </c>
      <c r="C273" s="625"/>
      <c r="D273" s="625"/>
      <c r="E273" s="625"/>
      <c r="F273" s="625">
        <f>B273</f>
        <v>597200000000</v>
      </c>
      <c r="G273" s="626"/>
      <c r="H273" s="114" t="s">
        <v>769</v>
      </c>
      <c r="I273" s="70"/>
      <c r="J273" s="1"/>
    </row>
    <row r="274" spans="1:10" s="17" customFormat="1" ht="15.9" thickTop="1" x14ac:dyDescent="0.6">
      <c r="A274" s="1092" t="s">
        <v>32</v>
      </c>
      <c r="B274" s="727">
        <f>SUM(B275:B290)</f>
        <v>6116900000</v>
      </c>
      <c r="C274" s="727">
        <f t="shared" ref="C274:G274" si="25">SUM(C275:C290)</f>
        <v>3058450000</v>
      </c>
      <c r="D274" s="727">
        <f t="shared" si="25"/>
        <v>611690000</v>
      </c>
      <c r="E274" s="727">
        <f t="shared" si="25"/>
        <v>611690000</v>
      </c>
      <c r="F274" s="727">
        <f t="shared" si="25"/>
        <v>1835070000</v>
      </c>
      <c r="G274" s="728">
        <f t="shared" si="25"/>
        <v>0</v>
      </c>
      <c r="H274" s="114"/>
      <c r="I274" s="70"/>
      <c r="J274" s="1"/>
    </row>
    <row r="275" spans="1:10" s="70" customFormat="1" x14ac:dyDescent="0.6">
      <c r="A275" s="593" t="s">
        <v>940</v>
      </c>
      <c r="B275" s="838" t="s">
        <v>804</v>
      </c>
      <c r="C275" s="593"/>
      <c r="D275" s="593"/>
      <c r="E275" s="593"/>
      <c r="F275" s="593"/>
      <c r="G275" s="607"/>
      <c r="H275" s="114"/>
      <c r="J275" s="1"/>
    </row>
    <row r="276" spans="1:10" s="70" customFormat="1" x14ac:dyDescent="0.6">
      <c r="A276" s="593" t="s">
        <v>1061</v>
      </c>
      <c r="B276" s="838" t="s">
        <v>804</v>
      </c>
      <c r="C276" s="593"/>
      <c r="D276" s="593"/>
      <c r="E276" s="593"/>
      <c r="F276" s="593"/>
      <c r="G276" s="607"/>
      <c r="H276" s="114"/>
      <c r="J276" s="1"/>
    </row>
    <row r="277" spans="1:10" s="70" customFormat="1" x14ac:dyDescent="0.6">
      <c r="A277" s="593" t="s">
        <v>941</v>
      </c>
      <c r="B277" s="838" t="s">
        <v>804</v>
      </c>
      <c r="C277" s="593"/>
      <c r="D277" s="593"/>
      <c r="E277" s="593"/>
      <c r="F277" s="593"/>
      <c r="G277" s="607"/>
      <c r="H277" s="114"/>
      <c r="J277" s="1"/>
    </row>
    <row r="278" spans="1:10" s="70" customFormat="1" x14ac:dyDescent="0.6">
      <c r="A278" s="593" t="s">
        <v>942</v>
      </c>
      <c r="B278" s="838" t="s">
        <v>804</v>
      </c>
      <c r="C278" s="593"/>
      <c r="D278" s="593"/>
      <c r="E278" s="593"/>
      <c r="F278" s="593"/>
      <c r="G278" s="607"/>
      <c r="H278" s="114"/>
      <c r="J278" s="1"/>
    </row>
    <row r="279" spans="1:10" s="70" customFormat="1" x14ac:dyDescent="0.6">
      <c r="A279" s="593" t="s">
        <v>943</v>
      </c>
      <c r="B279" s="838" t="s">
        <v>804</v>
      </c>
      <c r="C279" s="593"/>
      <c r="D279" s="593"/>
      <c r="E279" s="593"/>
      <c r="F279" s="593"/>
      <c r="G279" s="607"/>
      <c r="H279" s="114"/>
      <c r="J279" s="1"/>
    </row>
    <row r="280" spans="1:10" s="70" customFormat="1" x14ac:dyDescent="0.6">
      <c r="A280" s="593" t="s">
        <v>1062</v>
      </c>
      <c r="B280" s="838" t="s">
        <v>804</v>
      </c>
      <c r="C280" s="593"/>
      <c r="D280" s="593"/>
      <c r="E280" s="593"/>
      <c r="F280" s="593"/>
      <c r="G280" s="607"/>
      <c r="H280" s="114"/>
      <c r="J280" s="1"/>
    </row>
    <row r="281" spans="1:10" s="70" customFormat="1" x14ac:dyDescent="0.6">
      <c r="A281" s="593" t="s">
        <v>944</v>
      </c>
      <c r="B281" s="838" t="s">
        <v>804</v>
      </c>
      <c r="C281" s="593"/>
      <c r="D281" s="593"/>
      <c r="E281" s="593"/>
      <c r="F281" s="593"/>
      <c r="G281" s="607"/>
      <c r="H281" s="114"/>
      <c r="J281" s="1"/>
    </row>
    <row r="282" spans="1:10" s="70" customFormat="1" x14ac:dyDescent="0.6">
      <c r="A282" s="593" t="s">
        <v>1063</v>
      </c>
      <c r="B282" s="838" t="s">
        <v>804</v>
      </c>
      <c r="C282" s="593"/>
      <c r="D282" s="593"/>
      <c r="E282" s="593"/>
      <c r="F282" s="593"/>
      <c r="G282" s="607"/>
      <c r="H282" s="114"/>
      <c r="J282" s="1"/>
    </row>
    <row r="283" spans="1:10" s="70" customFormat="1" x14ac:dyDescent="0.6">
      <c r="A283" s="593" t="s">
        <v>945</v>
      </c>
      <c r="B283" s="838" t="s">
        <v>804</v>
      </c>
      <c r="C283" s="593"/>
      <c r="D283" s="593"/>
      <c r="E283" s="593"/>
      <c r="F283" s="593"/>
      <c r="G283" s="607"/>
      <c r="H283" s="114"/>
      <c r="J283" s="1"/>
    </row>
    <row r="284" spans="1:10" s="70" customFormat="1" x14ac:dyDescent="0.6">
      <c r="A284" s="593" t="s">
        <v>1064</v>
      </c>
      <c r="B284" s="838" t="s">
        <v>804</v>
      </c>
      <c r="C284" s="593"/>
      <c r="D284" s="593"/>
      <c r="E284" s="593"/>
      <c r="F284" s="593"/>
      <c r="G284" s="607"/>
      <c r="H284" s="114"/>
      <c r="J284" s="1"/>
    </row>
    <row r="285" spans="1:10" s="70" customFormat="1" x14ac:dyDescent="0.6">
      <c r="A285" s="593" t="s">
        <v>1065</v>
      </c>
      <c r="B285" s="838" t="s">
        <v>804</v>
      </c>
      <c r="C285" s="593"/>
      <c r="D285" s="593"/>
      <c r="E285" s="593"/>
      <c r="F285" s="593"/>
      <c r="G285" s="607"/>
      <c r="H285" s="114" t="s">
        <v>769</v>
      </c>
      <c r="J285" s="1"/>
    </row>
    <row r="286" spans="1:10" s="70" customFormat="1" x14ac:dyDescent="0.6">
      <c r="A286" s="593" t="s">
        <v>1066</v>
      </c>
      <c r="B286" s="838" t="s">
        <v>804</v>
      </c>
      <c r="C286" s="593"/>
      <c r="D286" s="593"/>
      <c r="E286" s="593"/>
      <c r="F286" s="593"/>
      <c r="G286" s="607"/>
      <c r="H286" s="114"/>
      <c r="J286" s="1"/>
    </row>
    <row r="287" spans="1:10" s="70" customFormat="1" x14ac:dyDescent="0.6">
      <c r="A287" s="593" t="s">
        <v>937</v>
      </c>
      <c r="B287" s="838" t="s">
        <v>804</v>
      </c>
      <c r="C287" s="593"/>
      <c r="D287" s="593"/>
      <c r="E287" s="593"/>
      <c r="F287" s="593"/>
      <c r="G287" s="607"/>
      <c r="H287" s="114"/>
      <c r="J287" s="1"/>
    </row>
    <row r="288" spans="1:10" s="70" customFormat="1" x14ac:dyDescent="0.6">
      <c r="A288" s="593" t="s">
        <v>1067</v>
      </c>
      <c r="B288" s="838" t="s">
        <v>804</v>
      </c>
      <c r="C288" s="593"/>
      <c r="D288" s="593"/>
      <c r="E288" s="593"/>
      <c r="F288" s="593"/>
      <c r="G288" s="607"/>
      <c r="H288" s="114"/>
      <c r="J288" s="1"/>
    </row>
    <row r="289" spans="1:10" s="70" customFormat="1" x14ac:dyDescent="0.6">
      <c r="A289" s="593" t="s">
        <v>939</v>
      </c>
      <c r="B289" s="838" t="s">
        <v>804</v>
      </c>
      <c r="C289" s="593"/>
      <c r="D289" s="593"/>
      <c r="E289" s="593"/>
      <c r="F289" s="593"/>
      <c r="G289" s="607"/>
      <c r="H289" s="114"/>
      <c r="J289" s="1"/>
    </row>
    <row r="290" spans="1:10" s="70" customFormat="1" ht="15.9" thickBot="1" x14ac:dyDescent="0.65">
      <c r="A290" s="108" t="s">
        <v>714</v>
      </c>
      <c r="B290" s="108">
        <v>6116900000</v>
      </c>
      <c r="C290" s="108">
        <f>B290/2</f>
        <v>3058450000</v>
      </c>
      <c r="D290" s="108">
        <f>B290/10</f>
        <v>611690000</v>
      </c>
      <c r="E290" s="108">
        <f>D290</f>
        <v>611690000</v>
      </c>
      <c r="F290" s="108">
        <f>B290-C290-D290-E290</f>
        <v>1835070000</v>
      </c>
      <c r="G290" s="624"/>
      <c r="H290" s="114"/>
      <c r="J290" s="1"/>
    </row>
    <row r="291" spans="1:10" s="596" customFormat="1" ht="15.9" thickTop="1" x14ac:dyDescent="0.6">
      <c r="A291" s="1060" t="s">
        <v>33</v>
      </c>
      <c r="B291" s="723">
        <f t="shared" ref="B291:G291" si="26">B292</f>
        <v>0</v>
      </c>
      <c r="C291" s="723">
        <f t="shared" si="26"/>
        <v>0</v>
      </c>
      <c r="D291" s="723">
        <f t="shared" si="26"/>
        <v>0</v>
      </c>
      <c r="E291" s="723">
        <f t="shared" si="26"/>
        <v>0</v>
      </c>
      <c r="F291" s="723">
        <f t="shared" si="26"/>
        <v>0</v>
      </c>
      <c r="G291" s="724">
        <f t="shared" si="26"/>
        <v>0</v>
      </c>
      <c r="H291" s="114"/>
      <c r="I291" s="70"/>
      <c r="J291" s="1"/>
    </row>
    <row r="292" spans="1:10" s="85" customFormat="1" ht="15.9" thickBot="1" x14ac:dyDescent="0.65">
      <c r="A292" s="99"/>
      <c r="B292" s="124"/>
      <c r="C292" s="108"/>
      <c r="D292" s="124"/>
      <c r="E292" s="124"/>
      <c r="F292" s="99"/>
      <c r="G292" s="136"/>
      <c r="H292" s="1593"/>
      <c r="I292" s="108"/>
      <c r="J292" s="16"/>
    </row>
    <row r="293" spans="1:10" s="217" customFormat="1" ht="15.9" thickTop="1" x14ac:dyDescent="0.6">
      <c r="A293" s="1093" t="s">
        <v>46</v>
      </c>
      <c r="B293" s="734">
        <f>B294</f>
        <v>147952000000</v>
      </c>
      <c r="C293" s="734">
        <f>C294+C297</f>
        <v>147952000000</v>
      </c>
      <c r="D293" s="734">
        <f>D294+D297</f>
        <v>0</v>
      </c>
      <c r="E293" s="734">
        <f>SUM(E294:E297)</f>
        <v>0</v>
      </c>
      <c r="F293" s="734">
        <f>F294+F297</f>
        <v>0</v>
      </c>
      <c r="G293" s="735">
        <f>G294+G297</f>
        <v>0</v>
      </c>
      <c r="H293" s="114"/>
    </row>
    <row r="294" spans="1:10" s="643" customFormat="1" x14ac:dyDescent="0.6">
      <c r="A294" s="608" t="s">
        <v>715</v>
      </c>
      <c r="B294" s="608">
        <v>147952000000</v>
      </c>
      <c r="C294" s="608">
        <f>B294</f>
        <v>147952000000</v>
      </c>
      <c r="D294" s="608"/>
      <c r="E294" s="608"/>
      <c r="G294" s="609"/>
      <c r="H294" s="114"/>
      <c r="I294" s="1594" t="s">
        <v>78</v>
      </c>
      <c r="J294" s="69"/>
    </row>
    <row r="295" spans="1:10" s="643" customFormat="1" x14ac:dyDescent="0.6">
      <c r="A295" s="608" t="s">
        <v>1068</v>
      </c>
      <c r="B295" s="774" t="s">
        <v>804</v>
      </c>
      <c r="C295" s="608"/>
      <c r="D295" s="608"/>
      <c r="E295" s="608"/>
      <c r="G295" s="609"/>
      <c r="H295" s="114"/>
      <c r="I295" s="593" t="s">
        <v>42</v>
      </c>
      <c r="J295" s="1">
        <v>13</v>
      </c>
    </row>
    <row r="296" spans="1:10" s="643" customFormat="1" x14ac:dyDescent="0.6">
      <c r="A296" s="608" t="s">
        <v>947</v>
      </c>
      <c r="B296" s="774" t="s">
        <v>804</v>
      </c>
      <c r="C296" s="608"/>
      <c r="D296" s="608"/>
      <c r="E296" s="608"/>
      <c r="G296" s="609"/>
      <c r="H296" s="114"/>
      <c r="I296" s="593" t="s">
        <v>802</v>
      </c>
      <c r="J296" s="1">
        <v>5</v>
      </c>
    </row>
    <row r="297" spans="1:10" s="643" customFormat="1" ht="15.9" thickBot="1" x14ac:dyDescent="0.65">
      <c r="A297" s="627" t="s">
        <v>716</v>
      </c>
      <c r="B297" s="773" t="s">
        <v>804</v>
      </c>
      <c r="C297" s="627"/>
      <c r="D297" s="627"/>
      <c r="E297" s="627"/>
      <c r="F297" s="627"/>
      <c r="G297" s="610"/>
      <c r="H297" s="114" t="s">
        <v>769</v>
      </c>
      <c r="I297" s="593" t="s">
        <v>1732</v>
      </c>
      <c r="J297" s="1">
        <v>4</v>
      </c>
    </row>
    <row r="298" spans="1:10" s="644" customFormat="1" ht="15.9" thickTop="1" x14ac:dyDescent="0.6">
      <c r="A298" s="1094" t="s">
        <v>49</v>
      </c>
      <c r="B298" s="737">
        <f t="shared" ref="B298:G298" si="27">B299</f>
        <v>41293900000</v>
      </c>
      <c r="C298" s="737">
        <f t="shared" si="27"/>
        <v>41293900000</v>
      </c>
      <c r="D298" s="737">
        <f t="shared" si="27"/>
        <v>0</v>
      </c>
      <c r="E298" s="737">
        <f t="shared" si="27"/>
        <v>0</v>
      </c>
      <c r="F298" s="737">
        <f t="shared" si="27"/>
        <v>0</v>
      </c>
      <c r="G298" s="738">
        <f t="shared" si="27"/>
        <v>0</v>
      </c>
      <c r="H298" s="114"/>
      <c r="I298" s="593" t="s">
        <v>239</v>
      </c>
      <c r="J298" s="1"/>
    </row>
    <row r="299" spans="1:10" s="645" customFormat="1" ht="15.9" thickBot="1" x14ac:dyDescent="0.65">
      <c r="A299" s="629" t="s">
        <v>717</v>
      </c>
      <c r="B299" s="629">
        <v>41293900000</v>
      </c>
      <c r="C299" s="629">
        <f>B299</f>
        <v>41293900000</v>
      </c>
      <c r="D299" s="629"/>
      <c r="E299" s="629"/>
      <c r="F299" s="629"/>
      <c r="G299" s="613"/>
      <c r="H299" s="114"/>
      <c r="I299" s="70"/>
      <c r="J299" s="1"/>
    </row>
    <row r="300" spans="1:10" s="192" customFormat="1" ht="15.9" thickTop="1" x14ac:dyDescent="0.6">
      <c r="A300" s="78" t="s">
        <v>50</v>
      </c>
      <c r="B300" s="739">
        <f>SUM(B301:B306)</f>
        <v>21201174589</v>
      </c>
      <c r="C300" s="739">
        <f>SUM(C301:C306)</f>
        <v>17165781043</v>
      </c>
      <c r="D300" s="739">
        <f>SUM(D301:D306)</f>
        <v>0</v>
      </c>
      <c r="E300" s="739">
        <f>SUM(E301:E306)</f>
        <v>0</v>
      </c>
      <c r="F300" s="739">
        <f>SUM(F301:F306)</f>
        <v>4035393546</v>
      </c>
      <c r="G300" s="740"/>
      <c r="H300" s="114"/>
      <c r="I300" s="70"/>
      <c r="J300" s="1"/>
    </row>
    <row r="301" spans="1:10" s="85" customFormat="1" x14ac:dyDescent="0.6">
      <c r="A301" s="85" t="s">
        <v>257</v>
      </c>
      <c r="B301" s="149">
        <v>3405541318</v>
      </c>
      <c r="C301" s="149">
        <f>B301</f>
        <v>3405541318</v>
      </c>
      <c r="D301" s="149"/>
      <c r="E301" s="149"/>
      <c r="F301" s="149"/>
      <c r="G301" s="150"/>
      <c r="H301" s="114" t="s">
        <v>769</v>
      </c>
      <c r="I301" s="70"/>
      <c r="J301" s="1"/>
    </row>
    <row r="302" spans="1:10" s="85" customFormat="1" x14ac:dyDescent="0.6">
      <c r="A302" s="85" t="s">
        <v>258</v>
      </c>
      <c r="B302" s="149">
        <v>552439725</v>
      </c>
      <c r="C302" s="149">
        <f>B302</f>
        <v>552439725</v>
      </c>
      <c r="D302" s="149"/>
      <c r="E302" s="149"/>
      <c r="F302" s="149"/>
      <c r="G302" s="150"/>
      <c r="H302" s="114"/>
      <c r="I302" s="70"/>
      <c r="J302" s="1"/>
    </row>
    <row r="303" spans="1:10" s="85" customFormat="1" x14ac:dyDescent="0.6">
      <c r="A303" s="85" t="s">
        <v>259</v>
      </c>
      <c r="B303" s="149">
        <v>13207800000</v>
      </c>
      <c r="C303" s="149">
        <f>B303</f>
        <v>13207800000</v>
      </c>
      <c r="D303" s="149"/>
      <c r="E303" s="149"/>
      <c r="F303" s="149"/>
      <c r="G303" s="150"/>
      <c r="H303" s="114" t="s">
        <v>769</v>
      </c>
      <c r="I303" s="70"/>
      <c r="J303" s="1"/>
    </row>
    <row r="304" spans="1:10" s="85" customFormat="1" x14ac:dyDescent="0.6">
      <c r="A304" s="85" t="s">
        <v>1069</v>
      </c>
      <c r="B304" s="149">
        <v>2591853</v>
      </c>
      <c r="C304" s="149"/>
      <c r="D304" s="149"/>
      <c r="E304" s="149"/>
      <c r="F304" s="149">
        <f>B304</f>
        <v>2591853</v>
      </c>
      <c r="G304" s="150"/>
      <c r="H304" s="114" t="s">
        <v>769</v>
      </c>
      <c r="I304" s="70"/>
      <c r="J304" s="1"/>
    </row>
    <row r="305" spans="1:10" s="85" customFormat="1" x14ac:dyDescent="0.6">
      <c r="A305" s="85" t="s">
        <v>390</v>
      </c>
      <c r="B305" s="149">
        <v>4020931636</v>
      </c>
      <c r="C305" s="149"/>
      <c r="D305" s="149"/>
      <c r="E305" s="149"/>
      <c r="F305" s="149">
        <f>B305</f>
        <v>4020931636</v>
      </c>
      <c r="G305" s="150"/>
      <c r="H305" s="114"/>
      <c r="I305" s="70"/>
      <c r="J305" s="1"/>
    </row>
    <row r="306" spans="1:10" s="85" customFormat="1" ht="15.9" thickBot="1" x14ac:dyDescent="0.65">
      <c r="A306" s="99" t="s">
        <v>391</v>
      </c>
      <c r="B306" s="151">
        <v>11870057</v>
      </c>
      <c r="C306" s="151"/>
      <c r="D306" s="151"/>
      <c r="E306" s="151"/>
      <c r="F306" s="151">
        <f>B306</f>
        <v>11870057</v>
      </c>
      <c r="G306" s="152"/>
      <c r="H306" s="114"/>
      <c r="I306" s="70"/>
      <c r="J306" s="1"/>
    </row>
    <row r="307" spans="1:10" s="596" customFormat="1" ht="15.9" thickTop="1" x14ac:dyDescent="0.6">
      <c r="A307" s="1060" t="s">
        <v>51</v>
      </c>
      <c r="B307" s="723"/>
      <c r="C307" s="723">
        <f>C309</f>
        <v>0</v>
      </c>
      <c r="D307" s="723">
        <f>D309</f>
        <v>0</v>
      </c>
      <c r="E307" s="723">
        <f>SUM(E308:E309)</f>
        <v>0</v>
      </c>
      <c r="F307" s="723">
        <f>F309</f>
        <v>0</v>
      </c>
      <c r="G307" s="724">
        <f>G309</f>
        <v>0</v>
      </c>
      <c r="H307" s="114"/>
      <c r="I307" s="70"/>
      <c r="J307" s="1"/>
    </row>
    <row r="308" spans="1:10" s="123" customFormat="1" x14ac:dyDescent="0.6">
      <c r="A308" s="599" t="s">
        <v>1070</v>
      </c>
      <c r="B308" s="774" t="s">
        <v>804</v>
      </c>
      <c r="C308" s="599"/>
      <c r="D308" s="599"/>
      <c r="E308" s="599"/>
      <c r="F308" s="599"/>
      <c r="G308" s="130"/>
      <c r="H308" s="114"/>
      <c r="I308" s="70"/>
      <c r="J308" s="1"/>
    </row>
    <row r="309" spans="1:10" s="85" customFormat="1" ht="15.9" thickBot="1" x14ac:dyDescent="0.65">
      <c r="A309" s="99" t="s">
        <v>1071</v>
      </c>
      <c r="B309" s="773" t="s">
        <v>804</v>
      </c>
      <c r="C309" s="108"/>
      <c r="D309" s="124"/>
      <c r="E309" s="124"/>
      <c r="F309" s="99"/>
      <c r="G309" s="136"/>
      <c r="H309" s="114"/>
      <c r="I309" s="70"/>
      <c r="J309" s="1"/>
    </row>
    <row r="310" spans="1:10" ht="15.9" thickTop="1" x14ac:dyDescent="0.6"/>
    <row r="311" spans="1:10" x14ac:dyDescent="0.6">
      <c r="A311" s="1370" t="s">
        <v>1451</v>
      </c>
      <c r="B311" s="13">
        <f>COUNTIF(B2:B309,"=ND")</f>
        <v>84</v>
      </c>
    </row>
    <row r="312" spans="1:10" x14ac:dyDescent="0.6">
      <c r="A312" s="1370" t="s">
        <v>1454</v>
      </c>
      <c r="B312" s="13">
        <f>COUNT(B2:B309)</f>
        <v>222</v>
      </c>
    </row>
    <row r="313" spans="1:10" x14ac:dyDescent="0.6">
      <c r="A313" s="1370" t="s">
        <v>1452</v>
      </c>
      <c r="B313" s="13">
        <f>COUNTBLANK(B2:B309)</f>
        <v>2</v>
      </c>
    </row>
    <row r="314" spans="1:10" x14ac:dyDescent="0.6">
      <c r="A314" s="1370" t="s">
        <v>1453</v>
      </c>
      <c r="B314" s="13">
        <v>29</v>
      </c>
    </row>
    <row r="315" spans="1:10" x14ac:dyDescent="0.6">
      <c r="A315" s="1370" t="s">
        <v>42</v>
      </c>
      <c r="B315" s="13">
        <f>SUM(B311:B313)</f>
        <v>308</v>
      </c>
    </row>
    <row r="316" spans="1:10" x14ac:dyDescent="0.6">
      <c r="A316" s="1370" t="s">
        <v>1456</v>
      </c>
      <c r="B316" s="13">
        <v>308</v>
      </c>
    </row>
    <row r="317" spans="1:10" x14ac:dyDescent="0.6">
      <c r="A317" s="1370"/>
      <c r="B317" s="13"/>
    </row>
    <row r="318" spans="1:10" x14ac:dyDescent="0.6">
      <c r="A318" s="1370" t="s">
        <v>1455</v>
      </c>
      <c r="B318" s="13">
        <f>B312-B313</f>
        <v>220</v>
      </c>
    </row>
    <row r="319" spans="1:10" x14ac:dyDescent="0.6">
      <c r="A319" s="826" t="s">
        <v>804</v>
      </c>
      <c r="B319" s="13">
        <f>B311</f>
        <v>84</v>
      </c>
    </row>
    <row r="320" spans="1:10" x14ac:dyDescent="0.6">
      <c r="A320" s="826" t="s">
        <v>42</v>
      </c>
      <c r="B320" s="13">
        <f>B319+B318</f>
        <v>304</v>
      </c>
    </row>
    <row r="321" spans="1:2" x14ac:dyDescent="0.6">
      <c r="A321" s="826"/>
      <c r="B321" s="13"/>
    </row>
    <row r="322" spans="1:2" x14ac:dyDescent="0.6">
      <c r="A322" s="826" t="s">
        <v>1456</v>
      </c>
      <c r="B322" s="13">
        <f>B311+B312-B313</f>
        <v>304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227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" defaultRowHeight="15.6" x14ac:dyDescent="0.6"/>
  <cols>
    <col min="1" max="1" width="77.59765625" customWidth="1"/>
    <col min="2" max="2" width="17.5" customWidth="1"/>
    <col min="3" max="4" width="15.34765625" customWidth="1"/>
    <col min="5" max="6" width="16.5" customWidth="1"/>
    <col min="7" max="7" width="16.09765625" customWidth="1"/>
    <col min="8" max="8" width="8.09765625" style="114" bestFit="1" customWidth="1"/>
    <col min="9" max="9" width="15" style="70" customWidth="1"/>
    <col min="10" max="10" width="10.84765625" style="1"/>
    <col min="11" max="15" width="10.84765625" customWidth="1"/>
  </cols>
  <sheetData>
    <row r="1" spans="1:10" s="1" customFormat="1" x14ac:dyDescent="0.6">
      <c r="A1" s="78" t="s">
        <v>762</v>
      </c>
      <c r="B1" s="109" t="s">
        <v>237</v>
      </c>
      <c r="C1" s="109" t="s">
        <v>98</v>
      </c>
      <c r="D1" s="109" t="s">
        <v>131</v>
      </c>
      <c r="E1" s="109" t="s">
        <v>196</v>
      </c>
      <c r="F1" s="109" t="s">
        <v>238</v>
      </c>
      <c r="G1" s="165" t="s">
        <v>239</v>
      </c>
      <c r="H1" s="838" t="s">
        <v>1731</v>
      </c>
      <c r="I1" s="1477"/>
    </row>
    <row r="2" spans="1:10" s="192" customFormat="1" x14ac:dyDescent="0.6">
      <c r="A2" s="78" t="s">
        <v>37</v>
      </c>
      <c r="B2" s="742">
        <f t="shared" ref="B2:G2" si="0">SUM(B3:B10)</f>
        <v>1730934170</v>
      </c>
      <c r="C2" s="742">
        <f t="shared" si="0"/>
        <v>0</v>
      </c>
      <c r="D2" s="742">
        <f t="shared" si="0"/>
        <v>157362010</v>
      </c>
      <c r="E2" s="742">
        <f t="shared" si="0"/>
        <v>0</v>
      </c>
      <c r="F2" s="742">
        <f t="shared" si="0"/>
        <v>1338935838</v>
      </c>
      <c r="G2" s="743">
        <f t="shared" si="0"/>
        <v>234636322</v>
      </c>
      <c r="H2" s="838"/>
      <c r="I2" s="1564"/>
      <c r="J2" s="1"/>
    </row>
    <row r="3" spans="1:10" s="1" customFormat="1" x14ac:dyDescent="0.6">
      <c r="A3" s="1" t="s">
        <v>250</v>
      </c>
      <c r="B3" s="70">
        <v>1338935838</v>
      </c>
      <c r="C3" s="70"/>
      <c r="D3" s="85"/>
      <c r="E3" s="85"/>
      <c r="F3" s="70">
        <f>B3</f>
        <v>1338935838</v>
      </c>
      <c r="G3" s="616"/>
      <c r="H3" s="838"/>
      <c r="I3" s="1594" t="s">
        <v>37</v>
      </c>
    </row>
    <row r="4" spans="1:10" s="1" customFormat="1" x14ac:dyDescent="0.6">
      <c r="A4" s="1" t="s">
        <v>728</v>
      </c>
      <c r="B4" s="70">
        <v>157362010</v>
      </c>
      <c r="C4" s="70"/>
      <c r="D4" s="70">
        <f>B4</f>
        <v>157362010</v>
      </c>
      <c r="E4" s="85"/>
      <c r="F4" s="70"/>
      <c r="G4" s="616"/>
      <c r="H4" s="838"/>
      <c r="I4" s="593" t="s">
        <v>42</v>
      </c>
      <c r="J4" s="1">
        <f>10-2</f>
        <v>8</v>
      </c>
    </row>
    <row r="5" spans="1:10" s="1" customFormat="1" x14ac:dyDescent="0.6">
      <c r="A5" s="1" t="s">
        <v>1103</v>
      </c>
      <c r="B5" s="114" t="s">
        <v>804</v>
      </c>
      <c r="C5" s="70"/>
      <c r="D5" s="70"/>
      <c r="E5" s="85"/>
      <c r="F5" s="70"/>
      <c r="G5" s="616"/>
      <c r="H5" s="838" t="s">
        <v>769</v>
      </c>
      <c r="I5" s="593" t="s">
        <v>802</v>
      </c>
      <c r="J5" s="1">
        <f>COUNTIF(B3:B10,"ND")</f>
        <v>1</v>
      </c>
    </row>
    <row r="6" spans="1:10" s="1" customFormat="1" x14ac:dyDescent="0.6">
      <c r="A6" s="1" t="s">
        <v>1104</v>
      </c>
      <c r="B6" s="70">
        <v>9900000</v>
      </c>
      <c r="C6" s="70"/>
      <c r="D6" s="85"/>
      <c r="E6" s="85"/>
      <c r="F6" s="85"/>
      <c r="G6" s="607">
        <f>B6</f>
        <v>9900000</v>
      </c>
      <c r="H6" s="838"/>
      <c r="I6" s="593" t="s">
        <v>1732</v>
      </c>
      <c r="J6" s="1">
        <f>COUNTIF(H3:H10,"x")</f>
        <v>1</v>
      </c>
    </row>
    <row r="7" spans="1:10" s="1" customFormat="1" x14ac:dyDescent="0.6">
      <c r="A7" s="1" t="s">
        <v>965</v>
      </c>
      <c r="B7" s="70">
        <v>209932503</v>
      </c>
      <c r="C7" s="70"/>
      <c r="D7" s="85"/>
      <c r="E7" s="85"/>
      <c r="F7" s="85"/>
      <c r="G7" s="607">
        <f>B7</f>
        <v>209932503</v>
      </c>
      <c r="H7" s="838"/>
      <c r="I7" s="593" t="s">
        <v>239</v>
      </c>
      <c r="J7" s="1">
        <f>COUNT(G3:G10)</f>
        <v>5</v>
      </c>
    </row>
    <row r="8" spans="1:10" s="1" customFormat="1" x14ac:dyDescent="0.6">
      <c r="A8" s="1" t="s">
        <v>901</v>
      </c>
      <c r="B8" s="70">
        <v>105362</v>
      </c>
      <c r="C8" s="70"/>
      <c r="D8" s="85"/>
      <c r="E8" s="85"/>
      <c r="F8" s="85"/>
      <c r="G8" s="607">
        <f>B8</f>
        <v>105362</v>
      </c>
      <c r="H8" s="114"/>
      <c r="I8" s="70"/>
    </row>
    <row r="9" spans="1:10" s="1" customFormat="1" x14ac:dyDescent="0.6">
      <c r="A9" s="1" t="s">
        <v>1105</v>
      </c>
      <c r="B9" s="70">
        <v>7991473</v>
      </c>
      <c r="C9" s="70"/>
      <c r="D9" s="85"/>
      <c r="E9" s="85"/>
      <c r="F9" s="85"/>
      <c r="G9" s="607">
        <f>B9</f>
        <v>7991473</v>
      </c>
      <c r="H9" s="838"/>
      <c r="I9" s="593"/>
    </row>
    <row r="10" spans="1:10" s="1" customFormat="1" ht="15.9" thickBot="1" x14ac:dyDescent="0.65">
      <c r="A10" s="16" t="s">
        <v>903</v>
      </c>
      <c r="B10" s="70">
        <v>6706984</v>
      </c>
      <c r="C10" s="70"/>
      <c r="D10" s="85"/>
      <c r="E10" s="85"/>
      <c r="F10" s="85"/>
      <c r="G10" s="607">
        <f>B10</f>
        <v>6706984</v>
      </c>
      <c r="H10" s="1593"/>
      <c r="I10" s="108"/>
      <c r="J10" s="16"/>
    </row>
    <row r="11" spans="1:10" s="192" customFormat="1" ht="15.9" thickTop="1" x14ac:dyDescent="0.6">
      <c r="A11" s="78" t="s">
        <v>0</v>
      </c>
      <c r="B11" s="723">
        <f t="shared" ref="B11:G11" si="1">SUM(B12:B15)</f>
        <v>2824000</v>
      </c>
      <c r="C11" s="723">
        <f t="shared" si="1"/>
        <v>0</v>
      </c>
      <c r="D11" s="723">
        <f t="shared" si="1"/>
        <v>1412000</v>
      </c>
      <c r="E11" s="723">
        <f t="shared" si="1"/>
        <v>1412000</v>
      </c>
      <c r="F11" s="723">
        <f t="shared" si="1"/>
        <v>0</v>
      </c>
      <c r="G11" s="724">
        <f t="shared" si="1"/>
        <v>0</v>
      </c>
      <c r="H11" s="838"/>
      <c r="I11" s="593"/>
      <c r="J11" s="1"/>
    </row>
    <row r="12" spans="1:10" s="85" customFormat="1" x14ac:dyDescent="0.6">
      <c r="A12" s="85" t="s">
        <v>254</v>
      </c>
      <c r="B12" s="123">
        <v>2824000</v>
      </c>
      <c r="C12" s="123"/>
      <c r="D12" s="123">
        <f>B12/2</f>
        <v>1412000</v>
      </c>
      <c r="E12" s="123">
        <f>D12</f>
        <v>1412000</v>
      </c>
      <c r="F12" s="123"/>
      <c r="G12" s="130"/>
      <c r="H12" s="838" t="s">
        <v>769</v>
      </c>
      <c r="I12" s="1594" t="s">
        <v>1739</v>
      </c>
      <c r="J12" s="69"/>
    </row>
    <row r="13" spans="1:10" s="85" customFormat="1" x14ac:dyDescent="0.6">
      <c r="A13" s="85" t="s">
        <v>1102</v>
      </c>
      <c r="B13" s="772" t="s">
        <v>804</v>
      </c>
      <c r="C13" s="123"/>
      <c r="D13" s="123"/>
      <c r="E13" s="123"/>
      <c r="F13" s="123"/>
      <c r="G13" s="130"/>
      <c r="H13" s="838" t="s">
        <v>769</v>
      </c>
      <c r="I13" s="593" t="s">
        <v>42</v>
      </c>
      <c r="J13" s="1">
        <v>77</v>
      </c>
    </row>
    <row r="14" spans="1:10" s="85" customFormat="1" x14ac:dyDescent="0.6">
      <c r="A14" s="85" t="s">
        <v>704</v>
      </c>
      <c r="B14" s="772" t="s">
        <v>804</v>
      </c>
      <c r="C14" s="123"/>
      <c r="D14" s="123"/>
      <c r="E14" s="123"/>
      <c r="F14" s="123"/>
      <c r="G14" s="130"/>
      <c r="H14" s="838" t="s">
        <v>769</v>
      </c>
      <c r="I14" s="593" t="s">
        <v>802</v>
      </c>
      <c r="J14" s="1">
        <f>COUNTIF(B11:B124,"ND")</f>
        <v>28</v>
      </c>
    </row>
    <row r="15" spans="1:10" s="85" customFormat="1" ht="15.9" thickBot="1" x14ac:dyDescent="0.65">
      <c r="A15" s="99" t="s">
        <v>718</v>
      </c>
      <c r="B15" s="598" t="s">
        <v>804</v>
      </c>
      <c r="C15" s="124"/>
      <c r="D15" s="124"/>
      <c r="E15" s="124"/>
      <c r="F15" s="124"/>
      <c r="G15" s="131"/>
      <c r="H15" s="838" t="s">
        <v>769</v>
      </c>
      <c r="I15" s="593" t="s">
        <v>1732</v>
      </c>
      <c r="J15" s="1">
        <f>COUNTIF(H11:H124,"x")</f>
        <v>49</v>
      </c>
    </row>
    <row r="16" spans="1:10" s="192" customFormat="1" ht="15.9" thickTop="1" x14ac:dyDescent="0.6">
      <c r="A16" s="78" t="s">
        <v>1</v>
      </c>
      <c r="B16" s="744">
        <f t="shared" ref="B16:G16" si="2">SUM(B17:B17)</f>
        <v>0</v>
      </c>
      <c r="C16" s="744">
        <f t="shared" si="2"/>
        <v>0</v>
      </c>
      <c r="D16" s="744">
        <f t="shared" si="2"/>
        <v>0</v>
      </c>
      <c r="E16" s="744">
        <f t="shared" si="2"/>
        <v>0</v>
      </c>
      <c r="F16" s="744">
        <f t="shared" si="2"/>
        <v>0</v>
      </c>
      <c r="G16" s="745">
        <f t="shared" si="2"/>
        <v>0</v>
      </c>
      <c r="H16" s="838"/>
      <c r="I16" s="593" t="s">
        <v>239</v>
      </c>
      <c r="J16" s="1"/>
    </row>
    <row r="17" spans="1:10" s="85" customFormat="1" ht="15.9" thickBot="1" x14ac:dyDescent="0.65">
      <c r="A17" s="99"/>
      <c r="B17" s="126"/>
      <c r="C17" s="126"/>
      <c r="D17" s="126"/>
      <c r="E17" s="126"/>
      <c r="F17" s="126"/>
      <c r="G17" s="133"/>
      <c r="H17" s="838"/>
      <c r="I17" s="593"/>
      <c r="J17" s="1"/>
    </row>
    <row r="18" spans="1:10" s="192" customFormat="1" ht="15.9" thickTop="1" x14ac:dyDescent="0.6">
      <c r="A18" s="78" t="s">
        <v>2</v>
      </c>
      <c r="B18" s="746">
        <f t="shared" ref="B18:G18" si="3">SUM(B19:B19)</f>
        <v>0</v>
      </c>
      <c r="C18" s="746">
        <f t="shared" si="3"/>
        <v>0</v>
      </c>
      <c r="D18" s="746">
        <f t="shared" si="3"/>
        <v>0</v>
      </c>
      <c r="E18" s="746">
        <f t="shared" si="3"/>
        <v>0</v>
      </c>
      <c r="F18" s="746">
        <f t="shared" si="3"/>
        <v>0</v>
      </c>
      <c r="G18" s="747">
        <f t="shared" si="3"/>
        <v>0</v>
      </c>
      <c r="H18" s="838"/>
      <c r="I18" s="593"/>
      <c r="J18" s="1"/>
    </row>
    <row r="19" spans="1:10" s="85" customFormat="1" ht="15.9" thickBot="1" x14ac:dyDescent="0.65">
      <c r="A19" s="99" t="s">
        <v>372</v>
      </c>
      <c r="B19" s="771" t="s">
        <v>804</v>
      </c>
      <c r="C19" s="128"/>
      <c r="D19" s="128"/>
      <c r="E19" s="128"/>
      <c r="F19" s="128"/>
      <c r="G19" s="135"/>
      <c r="H19" s="838" t="s">
        <v>769</v>
      </c>
      <c r="I19" s="593"/>
      <c r="J19" s="1"/>
    </row>
    <row r="20" spans="1:10" s="763" customFormat="1" ht="15.9" thickTop="1" x14ac:dyDescent="0.6">
      <c r="A20" s="78" t="s">
        <v>3</v>
      </c>
      <c r="B20" s="761">
        <f>SUM(B22:B25)</f>
        <v>78248607</v>
      </c>
      <c r="C20" s="761">
        <f>SUM(C22:C25)</f>
        <v>75542912</v>
      </c>
      <c r="D20" s="761">
        <f>SUM(D22:D25)</f>
        <v>0</v>
      </c>
      <c r="E20" s="761">
        <f>SUM(E22:E25)</f>
        <v>0</v>
      </c>
      <c r="F20" s="761">
        <f>SUM(F22:F25)</f>
        <v>2705695</v>
      </c>
      <c r="G20" s="762">
        <f>SUM(G22:G87)</f>
        <v>366595468</v>
      </c>
      <c r="H20" s="838"/>
      <c r="I20" s="593"/>
      <c r="J20" s="1"/>
    </row>
    <row r="21" spans="1:10" s="1" customFormat="1" x14ac:dyDescent="0.6">
      <c r="A21" s="1" t="s">
        <v>285</v>
      </c>
      <c r="B21" s="596">
        <v>640190</v>
      </c>
      <c r="C21" s="596"/>
      <c r="D21" s="596"/>
      <c r="E21" s="596"/>
      <c r="F21" s="596">
        <f>B21</f>
        <v>640190</v>
      </c>
      <c r="G21" s="1295"/>
      <c r="H21" s="838" t="s">
        <v>769</v>
      </c>
      <c r="I21" s="593"/>
    </row>
    <row r="22" spans="1:10" s="1" customFormat="1" x14ac:dyDescent="0.6">
      <c r="A22" s="1" t="s">
        <v>286</v>
      </c>
      <c r="B22" s="596">
        <v>744875</v>
      </c>
      <c r="C22" s="596"/>
      <c r="D22" s="596"/>
      <c r="E22" s="596"/>
      <c r="F22" s="596">
        <f>B22</f>
        <v>744875</v>
      </c>
      <c r="G22" s="1295"/>
      <c r="H22" s="838"/>
      <c r="I22" s="593"/>
    </row>
    <row r="23" spans="1:10" s="1" customFormat="1" x14ac:dyDescent="0.6">
      <c r="A23" s="1" t="s">
        <v>287</v>
      </c>
      <c r="B23" s="596">
        <v>875633</v>
      </c>
      <c r="C23" s="596"/>
      <c r="D23" s="596"/>
      <c r="E23" s="596"/>
      <c r="F23" s="596">
        <f>B23</f>
        <v>875633</v>
      </c>
      <c r="G23" s="1295"/>
      <c r="H23" s="838" t="s">
        <v>769</v>
      </c>
      <c r="I23" s="593"/>
    </row>
    <row r="24" spans="1:10" s="1" customFormat="1" x14ac:dyDescent="0.6">
      <c r="A24" s="1" t="s">
        <v>288</v>
      </c>
      <c r="B24" s="596">
        <v>1085187</v>
      </c>
      <c r="C24" s="596"/>
      <c r="D24" s="596"/>
      <c r="E24" s="596"/>
      <c r="F24" s="596">
        <f>B24</f>
        <v>1085187</v>
      </c>
      <c r="G24" s="1295"/>
      <c r="H24" s="838"/>
      <c r="I24" s="593"/>
    </row>
    <row r="25" spans="1:10" s="1" customFormat="1" ht="15.9" thickBot="1" x14ac:dyDescent="0.65">
      <c r="A25" s="16" t="s">
        <v>290</v>
      </c>
      <c r="B25" s="597">
        <v>75542912</v>
      </c>
      <c r="C25" s="597">
        <f>B25</f>
        <v>75542912</v>
      </c>
      <c r="D25" s="597"/>
      <c r="E25" s="597"/>
      <c r="F25" s="597"/>
      <c r="G25" s="657"/>
      <c r="H25" s="838" t="s">
        <v>769</v>
      </c>
      <c r="I25" s="593"/>
    </row>
    <row r="26" spans="1:10" s="192" customFormat="1" ht="15.9" thickTop="1" x14ac:dyDescent="0.6">
      <c r="A26" s="78" t="s">
        <v>4</v>
      </c>
      <c r="B26" s="723">
        <f t="shared" ref="B26:G26" si="4">SUM(B27:B27)</f>
        <v>0</v>
      </c>
      <c r="C26" s="723">
        <f t="shared" si="4"/>
        <v>0</v>
      </c>
      <c r="D26" s="723">
        <f t="shared" si="4"/>
        <v>0</v>
      </c>
      <c r="E26" s="723">
        <f t="shared" si="4"/>
        <v>0</v>
      </c>
      <c r="F26" s="723">
        <f t="shared" si="4"/>
        <v>0</v>
      </c>
      <c r="G26" s="724">
        <f t="shared" si="4"/>
        <v>0</v>
      </c>
      <c r="H26" s="838"/>
      <c r="I26" s="593"/>
      <c r="J26" s="1"/>
    </row>
    <row r="27" spans="1:10" s="85" customFormat="1" ht="15.9" thickBot="1" x14ac:dyDescent="0.65">
      <c r="A27" s="99"/>
      <c r="B27" s="124"/>
      <c r="C27" s="124"/>
      <c r="D27" s="124"/>
      <c r="E27" s="124"/>
      <c r="F27" s="124"/>
      <c r="G27" s="131"/>
      <c r="H27" s="838"/>
      <c r="I27" s="593"/>
      <c r="J27" s="1"/>
    </row>
    <row r="28" spans="1:10" s="192" customFormat="1" ht="15.9" thickTop="1" x14ac:dyDescent="0.6">
      <c r="A28" s="78" t="s">
        <v>5</v>
      </c>
      <c r="B28" s="723">
        <f t="shared" ref="B28:G28" si="5">SUM(B29:B29)</f>
        <v>2220242</v>
      </c>
      <c r="C28" s="723">
        <f t="shared" si="5"/>
        <v>0</v>
      </c>
      <c r="D28" s="723">
        <f t="shared" si="5"/>
        <v>0</v>
      </c>
      <c r="E28" s="723">
        <f t="shared" si="5"/>
        <v>2220242</v>
      </c>
      <c r="F28" s="723">
        <f t="shared" si="5"/>
        <v>0</v>
      </c>
      <c r="G28" s="724">
        <f t="shared" si="5"/>
        <v>0</v>
      </c>
      <c r="H28" s="686"/>
      <c r="I28" s="595"/>
      <c r="J28" s="596"/>
    </row>
    <row r="29" spans="1:10" s="85" customFormat="1" ht="15.9" thickBot="1" x14ac:dyDescent="0.65">
      <c r="A29" s="99" t="s">
        <v>316</v>
      </c>
      <c r="B29" s="598">
        <v>2220242</v>
      </c>
      <c r="C29" s="108"/>
      <c r="D29" s="124"/>
      <c r="E29" s="124">
        <f>B29</f>
        <v>2220242</v>
      </c>
      <c r="F29" s="99"/>
      <c r="G29" s="136"/>
      <c r="H29" s="686" t="s">
        <v>769</v>
      </c>
      <c r="I29" s="599"/>
      <c r="J29" s="596"/>
    </row>
    <row r="30" spans="1:10" s="748" customFormat="1" ht="15.9" thickTop="1" x14ac:dyDescent="0.6">
      <c r="A30" s="1060" t="s">
        <v>6</v>
      </c>
      <c r="B30" s="723">
        <f t="shared" ref="B30:G30" si="6">B31</f>
        <v>714257</v>
      </c>
      <c r="C30" s="723">
        <f t="shared" si="6"/>
        <v>0</v>
      </c>
      <c r="D30" s="723">
        <f t="shared" si="6"/>
        <v>0</v>
      </c>
      <c r="E30" s="723">
        <f t="shared" si="6"/>
        <v>0</v>
      </c>
      <c r="F30" s="723">
        <f t="shared" si="6"/>
        <v>714257</v>
      </c>
      <c r="G30" s="724">
        <f t="shared" si="6"/>
        <v>0</v>
      </c>
      <c r="H30" s="686"/>
      <c r="I30" s="595"/>
      <c r="J30" s="596"/>
    </row>
    <row r="31" spans="1:10" s="85" customFormat="1" ht="15.9" thickBot="1" x14ac:dyDescent="0.65">
      <c r="A31" s="99" t="s">
        <v>719</v>
      </c>
      <c r="B31" s="124">
        <v>714257</v>
      </c>
      <c r="C31" s="108"/>
      <c r="D31" s="124"/>
      <c r="E31" s="124"/>
      <c r="F31" s="124">
        <f>B31</f>
        <v>714257</v>
      </c>
      <c r="G31" s="136"/>
      <c r="H31" s="686" t="s">
        <v>769</v>
      </c>
      <c r="I31" s="599"/>
      <c r="J31" s="596"/>
    </row>
    <row r="32" spans="1:10" s="192" customFormat="1" ht="15.9" thickTop="1" x14ac:dyDescent="0.6">
      <c r="A32" s="78" t="s">
        <v>7</v>
      </c>
      <c r="B32" s="723">
        <f t="shared" ref="B32:G32" si="7">SUM(B33:B39)</f>
        <v>189228312</v>
      </c>
      <c r="C32" s="723">
        <f t="shared" si="7"/>
        <v>2401772</v>
      </c>
      <c r="D32" s="723">
        <f t="shared" si="7"/>
        <v>0</v>
      </c>
      <c r="E32" s="723">
        <f t="shared" si="7"/>
        <v>0</v>
      </c>
      <c r="F32" s="723">
        <f t="shared" si="7"/>
        <v>3826540</v>
      </c>
      <c r="G32" s="724">
        <f t="shared" si="7"/>
        <v>183000000</v>
      </c>
      <c r="H32" s="686"/>
      <c r="I32" s="595"/>
      <c r="J32" s="596"/>
    </row>
    <row r="33" spans="1:10" s="85" customFormat="1" x14ac:dyDescent="0.6">
      <c r="A33" s="85" t="s">
        <v>991</v>
      </c>
      <c r="B33" s="123">
        <v>1871819</v>
      </c>
      <c r="C33" s="123"/>
      <c r="D33" s="123"/>
      <c r="E33" s="123"/>
      <c r="F33" s="123">
        <f>B33</f>
        <v>1871819</v>
      </c>
      <c r="G33" s="130"/>
      <c r="H33" s="686" t="s">
        <v>769</v>
      </c>
      <c r="I33" s="595"/>
      <c r="J33" s="596"/>
    </row>
    <row r="34" spans="1:10" s="85" customFormat="1" x14ac:dyDescent="0.6">
      <c r="A34" s="85" t="s">
        <v>992</v>
      </c>
      <c r="B34" s="123">
        <v>1191157</v>
      </c>
      <c r="C34" s="123"/>
      <c r="D34" s="123"/>
      <c r="E34" s="123"/>
      <c r="F34" s="123">
        <f>B34</f>
        <v>1191157</v>
      </c>
      <c r="G34" s="130"/>
      <c r="H34" s="686" t="s">
        <v>769</v>
      </c>
      <c r="I34" s="599"/>
      <c r="J34" s="596"/>
    </row>
    <row r="35" spans="1:10" s="85" customFormat="1" x14ac:dyDescent="0.6">
      <c r="A35" s="85" t="s">
        <v>305</v>
      </c>
      <c r="B35" s="123">
        <v>2281849</v>
      </c>
      <c r="C35" s="123">
        <f>B35</f>
        <v>2281849</v>
      </c>
      <c r="D35" s="123"/>
      <c r="E35" s="123"/>
      <c r="F35" s="123"/>
      <c r="G35" s="130"/>
      <c r="H35" s="686" t="s">
        <v>769</v>
      </c>
      <c r="I35" s="595"/>
      <c r="J35" s="596"/>
    </row>
    <row r="36" spans="1:10" s="85" customFormat="1" x14ac:dyDescent="0.6">
      <c r="A36" s="85" t="s">
        <v>993</v>
      </c>
      <c r="B36" s="123">
        <v>119923</v>
      </c>
      <c r="C36" s="123">
        <f>B36</f>
        <v>119923</v>
      </c>
      <c r="D36" s="123"/>
      <c r="E36" s="123"/>
      <c r="F36" s="123"/>
      <c r="G36" s="130"/>
      <c r="H36" s="686" t="s">
        <v>769</v>
      </c>
      <c r="I36" s="599"/>
      <c r="J36" s="596"/>
    </row>
    <row r="37" spans="1:10" s="85" customFormat="1" x14ac:dyDescent="0.6">
      <c r="A37" s="85" t="s">
        <v>1106</v>
      </c>
      <c r="B37" s="123">
        <v>183000000</v>
      </c>
      <c r="C37" s="123"/>
      <c r="D37" s="123"/>
      <c r="E37" s="123"/>
      <c r="F37" s="123"/>
      <c r="G37" s="130">
        <f>B37</f>
        <v>183000000</v>
      </c>
      <c r="H37" s="686" t="s">
        <v>769</v>
      </c>
      <c r="I37" s="595"/>
      <c r="J37" s="596"/>
    </row>
    <row r="38" spans="1:10" s="85" customFormat="1" x14ac:dyDescent="0.6">
      <c r="A38" s="85" t="s">
        <v>1107</v>
      </c>
      <c r="B38" s="772" t="s">
        <v>804</v>
      </c>
      <c r="C38" s="123"/>
      <c r="D38" s="123"/>
      <c r="E38" s="123"/>
      <c r="F38" s="123"/>
      <c r="G38" s="130"/>
      <c r="H38" s="686" t="s">
        <v>769</v>
      </c>
      <c r="I38" s="599"/>
      <c r="J38" s="596"/>
    </row>
    <row r="39" spans="1:10" s="85" customFormat="1" ht="15.9" thickBot="1" x14ac:dyDescent="0.65">
      <c r="A39" s="99" t="s">
        <v>311</v>
      </c>
      <c r="B39" s="124">
        <v>763564</v>
      </c>
      <c r="C39" s="108"/>
      <c r="D39" s="124"/>
      <c r="E39" s="124"/>
      <c r="F39" s="124">
        <f>B39</f>
        <v>763564</v>
      </c>
      <c r="G39" s="136"/>
      <c r="H39" s="686" t="s">
        <v>769</v>
      </c>
      <c r="I39" s="595"/>
      <c r="J39" s="596"/>
    </row>
    <row r="40" spans="1:10" s="748" customFormat="1" ht="15.9" thickTop="1" x14ac:dyDescent="0.6">
      <c r="A40" s="1060" t="s">
        <v>8</v>
      </c>
      <c r="B40" s="723">
        <f>SUM(B41:B45)</f>
        <v>8086699</v>
      </c>
      <c r="C40" s="723">
        <f t="shared" ref="C40:G40" si="8">SUM(C41:C45)</f>
        <v>0</v>
      </c>
      <c r="D40" s="723">
        <f t="shared" si="8"/>
        <v>7539109</v>
      </c>
      <c r="E40" s="723">
        <f t="shared" si="8"/>
        <v>0</v>
      </c>
      <c r="F40" s="723">
        <f t="shared" si="8"/>
        <v>547590</v>
      </c>
      <c r="G40" s="724">
        <f t="shared" si="8"/>
        <v>0</v>
      </c>
      <c r="H40" s="686"/>
      <c r="I40" s="595"/>
      <c r="J40" s="596"/>
    </row>
    <row r="41" spans="1:10" s="123" customFormat="1" x14ac:dyDescent="0.6">
      <c r="A41" s="599" t="s">
        <v>1001</v>
      </c>
      <c r="B41" s="686" t="s">
        <v>804</v>
      </c>
      <c r="C41" s="599"/>
      <c r="D41" s="599"/>
      <c r="E41" s="599"/>
      <c r="F41" s="599"/>
      <c r="G41" s="130"/>
      <c r="H41" s="686" t="s">
        <v>769</v>
      </c>
      <c r="I41" s="599"/>
      <c r="J41" s="596"/>
    </row>
    <row r="42" spans="1:10" s="123" customFormat="1" x14ac:dyDescent="0.6">
      <c r="A42" s="599" t="s">
        <v>1003</v>
      </c>
      <c r="B42" s="599">
        <v>547590</v>
      </c>
      <c r="C42" s="599"/>
      <c r="D42" s="599"/>
      <c r="E42" s="599"/>
      <c r="F42" s="599">
        <f>B42</f>
        <v>547590</v>
      </c>
      <c r="G42" s="130"/>
      <c r="H42" s="686" t="s">
        <v>769</v>
      </c>
      <c r="I42" s="595"/>
      <c r="J42" s="596"/>
    </row>
    <row r="43" spans="1:10" s="123" customFormat="1" x14ac:dyDescent="0.6">
      <c r="A43" s="599" t="s">
        <v>911</v>
      </c>
      <c r="B43" s="686" t="s">
        <v>804</v>
      </c>
      <c r="C43" s="599"/>
      <c r="D43" s="599"/>
      <c r="E43" s="599"/>
      <c r="F43" s="599"/>
      <c r="G43" s="130"/>
      <c r="H43" s="686" t="s">
        <v>769</v>
      </c>
      <c r="I43" s="595"/>
      <c r="J43" s="596"/>
    </row>
    <row r="44" spans="1:10" s="123" customFormat="1" x14ac:dyDescent="0.6">
      <c r="A44" s="599" t="s">
        <v>912</v>
      </c>
      <c r="B44" s="686" t="s">
        <v>804</v>
      </c>
      <c r="C44" s="599"/>
      <c r="D44" s="599"/>
      <c r="E44" s="599"/>
      <c r="F44" s="599"/>
      <c r="G44" s="130"/>
      <c r="H44" s="686"/>
      <c r="I44" s="599"/>
      <c r="J44" s="596"/>
    </row>
    <row r="45" spans="1:10" s="85" customFormat="1" ht="15.9" thickBot="1" x14ac:dyDescent="0.65">
      <c r="A45" s="99" t="s">
        <v>1108</v>
      </c>
      <c r="B45" s="124">
        <v>7539109</v>
      </c>
      <c r="C45" s="108"/>
      <c r="D45" s="124">
        <f>B45</f>
        <v>7539109</v>
      </c>
      <c r="E45" s="124"/>
      <c r="F45" s="99"/>
      <c r="G45" s="136"/>
      <c r="H45" s="686"/>
      <c r="I45" s="595"/>
      <c r="J45" s="596"/>
    </row>
    <row r="46" spans="1:10" s="192" customFormat="1" ht="15.9" thickTop="1" x14ac:dyDescent="0.6">
      <c r="A46" s="78" t="s">
        <v>9</v>
      </c>
      <c r="B46" s="723">
        <f>SUM(B47:B56)</f>
        <v>150408968</v>
      </c>
      <c r="C46" s="723">
        <f t="shared" ref="C46:G46" si="9">SUM(C47:C56)</f>
        <v>7818213</v>
      </c>
      <c r="D46" s="723">
        <f t="shared" si="9"/>
        <v>111480406</v>
      </c>
      <c r="E46" s="723">
        <f t="shared" si="9"/>
        <v>0</v>
      </c>
      <c r="F46" s="723">
        <f t="shared" si="9"/>
        <v>30812615</v>
      </c>
      <c r="G46" s="724">
        <f t="shared" si="9"/>
        <v>297734</v>
      </c>
      <c r="H46" s="686"/>
      <c r="I46" s="599"/>
      <c r="J46" s="123"/>
    </row>
    <row r="47" spans="1:10" s="85" customFormat="1" x14ac:dyDescent="0.6">
      <c r="A47" s="85" t="s">
        <v>1111</v>
      </c>
      <c r="B47" s="599">
        <v>148000</v>
      </c>
      <c r="C47" s="599"/>
      <c r="D47" s="599"/>
      <c r="E47" s="599"/>
      <c r="F47" s="599"/>
      <c r="G47" s="130">
        <f>B47</f>
        <v>148000</v>
      </c>
      <c r="H47" s="686"/>
      <c r="I47" s="599"/>
      <c r="J47" s="123"/>
    </row>
    <row r="48" spans="1:10" s="85" customFormat="1" x14ac:dyDescent="0.6">
      <c r="A48" s="85" t="s">
        <v>1013</v>
      </c>
      <c r="B48" s="599">
        <v>149734</v>
      </c>
      <c r="C48" s="599"/>
      <c r="D48" s="599"/>
      <c r="E48" s="599"/>
      <c r="F48" s="599"/>
      <c r="G48" s="130">
        <f>B48</f>
        <v>149734</v>
      </c>
      <c r="H48" s="686"/>
      <c r="I48" s="599"/>
      <c r="J48" s="123"/>
    </row>
    <row r="49" spans="1:10" s="85" customFormat="1" x14ac:dyDescent="0.6">
      <c r="A49" s="85" t="s">
        <v>323</v>
      </c>
      <c r="B49" s="599">
        <v>111480406</v>
      </c>
      <c r="C49" s="599"/>
      <c r="D49" s="599">
        <f>B49</f>
        <v>111480406</v>
      </c>
      <c r="E49" s="599"/>
      <c r="F49" s="599"/>
      <c r="G49" s="130"/>
      <c r="H49" s="686" t="s">
        <v>769</v>
      </c>
      <c r="I49" s="599"/>
      <c r="J49" s="123"/>
    </row>
    <row r="50" spans="1:10" s="85" customFormat="1" x14ac:dyDescent="0.6">
      <c r="A50" s="85" t="s">
        <v>720</v>
      </c>
      <c r="B50" s="599">
        <v>6300000</v>
      </c>
      <c r="C50" s="599">
        <f>B50/2</f>
        <v>3150000</v>
      </c>
      <c r="D50" s="599"/>
      <c r="E50" s="599"/>
      <c r="F50" s="599">
        <f>C50</f>
        <v>3150000</v>
      </c>
      <c r="G50" s="130"/>
      <c r="H50" s="686" t="s">
        <v>769</v>
      </c>
      <c r="I50" s="599"/>
      <c r="J50" s="123"/>
    </row>
    <row r="51" spans="1:10" s="85" customFormat="1" x14ac:dyDescent="0.6">
      <c r="A51" s="85" t="s">
        <v>913</v>
      </c>
      <c r="B51" s="599">
        <v>4668213</v>
      </c>
      <c r="C51" s="599">
        <f>B51</f>
        <v>4668213</v>
      </c>
      <c r="D51" s="599"/>
      <c r="E51" s="599"/>
      <c r="F51" s="599"/>
      <c r="G51" s="130"/>
      <c r="H51" s="686"/>
      <c r="I51" s="599"/>
      <c r="J51" s="123"/>
    </row>
    <row r="52" spans="1:10" s="85" customFormat="1" x14ac:dyDescent="0.6">
      <c r="A52" s="85" t="s">
        <v>1009</v>
      </c>
      <c r="B52" s="599">
        <v>2355822</v>
      </c>
      <c r="C52" s="599"/>
      <c r="D52" s="599"/>
      <c r="E52" s="599"/>
      <c r="F52" s="599">
        <f>B52</f>
        <v>2355822</v>
      </c>
      <c r="G52" s="130"/>
      <c r="H52" s="686"/>
      <c r="I52" s="599"/>
      <c r="J52" s="123"/>
    </row>
    <row r="53" spans="1:10" s="85" customFormat="1" x14ac:dyDescent="0.6">
      <c r="A53" s="85" t="s">
        <v>1109</v>
      </c>
      <c r="B53" s="686" t="s">
        <v>804</v>
      </c>
      <c r="C53" s="599"/>
      <c r="D53" s="599"/>
      <c r="E53" s="599"/>
      <c r="F53" s="599"/>
      <c r="G53" s="130"/>
      <c r="H53" s="686" t="s">
        <v>769</v>
      </c>
      <c r="I53" s="595"/>
      <c r="J53" s="123"/>
    </row>
    <row r="54" spans="1:10" s="85" customFormat="1" x14ac:dyDescent="0.6">
      <c r="A54" s="85" t="s">
        <v>914</v>
      </c>
      <c r="B54" s="686" t="s">
        <v>804</v>
      </c>
      <c r="C54" s="599"/>
      <c r="D54" s="599"/>
      <c r="E54" s="599"/>
      <c r="F54" s="599"/>
      <c r="G54" s="130"/>
      <c r="H54" s="686" t="s">
        <v>769</v>
      </c>
      <c r="I54" s="595"/>
      <c r="J54" s="123"/>
    </row>
    <row r="55" spans="1:10" s="85" customFormat="1" x14ac:dyDescent="0.6">
      <c r="A55" s="85" t="s">
        <v>1110</v>
      </c>
      <c r="B55" s="686" t="s">
        <v>804</v>
      </c>
      <c r="C55" s="599"/>
      <c r="D55" s="599"/>
      <c r="E55" s="599"/>
      <c r="F55" s="599"/>
      <c r="G55" s="130"/>
      <c r="H55" s="686" t="s">
        <v>769</v>
      </c>
      <c r="I55" s="599"/>
      <c r="J55" s="123"/>
    </row>
    <row r="56" spans="1:10" s="85" customFormat="1" ht="15.9" thickBot="1" x14ac:dyDescent="0.65">
      <c r="A56" s="99" t="s">
        <v>916</v>
      </c>
      <c r="B56" s="599">
        <v>25306793</v>
      </c>
      <c r="C56" s="599"/>
      <c r="D56" s="599"/>
      <c r="E56" s="599"/>
      <c r="F56" s="599">
        <f>B56</f>
        <v>25306793</v>
      </c>
      <c r="G56" s="130"/>
      <c r="H56" s="686" t="s">
        <v>769</v>
      </c>
      <c r="I56" s="595"/>
      <c r="J56" s="123"/>
    </row>
    <row r="57" spans="1:10" s="192" customFormat="1" ht="15.9" thickTop="1" x14ac:dyDescent="0.6">
      <c r="A57" s="78" t="s">
        <v>10</v>
      </c>
      <c r="B57" s="723">
        <f t="shared" ref="B57:G57" si="10">SUM(B59:B59)</f>
        <v>0</v>
      </c>
      <c r="C57" s="723">
        <f t="shared" si="10"/>
        <v>0</v>
      </c>
      <c r="D57" s="723">
        <f t="shared" si="10"/>
        <v>0</v>
      </c>
      <c r="E57" s="723">
        <f t="shared" si="10"/>
        <v>0</v>
      </c>
      <c r="F57" s="723">
        <f t="shared" si="10"/>
        <v>0</v>
      </c>
      <c r="G57" s="724">
        <f t="shared" si="10"/>
        <v>0</v>
      </c>
      <c r="H57" s="686"/>
      <c r="I57" s="599"/>
      <c r="J57" s="123"/>
    </row>
    <row r="58" spans="1:10" s="85" customFormat="1" x14ac:dyDescent="0.6">
      <c r="A58" s="85" t="s">
        <v>1112</v>
      </c>
      <c r="B58" s="686" t="s">
        <v>804</v>
      </c>
      <c r="C58" s="599"/>
      <c r="D58" s="599"/>
      <c r="E58" s="599"/>
      <c r="F58" s="599"/>
      <c r="G58" s="130"/>
      <c r="H58" s="686" t="s">
        <v>769</v>
      </c>
      <c r="I58" s="599"/>
      <c r="J58" s="123"/>
    </row>
    <row r="59" spans="1:10" s="85" customFormat="1" ht="15.9" thickBot="1" x14ac:dyDescent="0.65">
      <c r="A59" s="99" t="s">
        <v>709</v>
      </c>
      <c r="B59" s="598" t="s">
        <v>804</v>
      </c>
      <c r="C59" s="124"/>
      <c r="D59" s="124"/>
      <c r="E59" s="124"/>
      <c r="F59" s="124"/>
      <c r="G59" s="131"/>
      <c r="H59" s="686" t="s">
        <v>769</v>
      </c>
      <c r="I59" s="599"/>
      <c r="J59" s="123"/>
    </row>
    <row r="60" spans="1:10" s="630" customFormat="1" ht="15.9" thickTop="1" x14ac:dyDescent="0.6">
      <c r="A60" s="1080" t="s">
        <v>11</v>
      </c>
      <c r="B60" s="749">
        <f t="shared" ref="B60:G60" si="11">SUM(B61:B61)</f>
        <v>0</v>
      </c>
      <c r="C60" s="749">
        <f t="shared" si="11"/>
        <v>0</v>
      </c>
      <c r="D60" s="749">
        <f t="shared" si="11"/>
        <v>0</v>
      </c>
      <c r="E60" s="749">
        <f t="shared" si="11"/>
        <v>0</v>
      </c>
      <c r="F60" s="749">
        <f t="shared" si="11"/>
        <v>0</v>
      </c>
      <c r="G60" s="750">
        <f t="shared" si="11"/>
        <v>0</v>
      </c>
      <c r="H60" s="686"/>
      <c r="I60" s="599"/>
      <c r="J60" s="123"/>
    </row>
    <row r="61" spans="1:10" s="632" customFormat="1" ht="15.9" thickBot="1" x14ac:dyDescent="0.65">
      <c r="A61" s="634"/>
      <c r="B61" s="634"/>
      <c r="C61" s="634"/>
      <c r="D61" s="634"/>
      <c r="E61" s="634"/>
      <c r="F61" s="634"/>
      <c r="G61" s="635"/>
      <c r="H61" s="686"/>
      <c r="I61" s="595"/>
      <c r="J61" s="123"/>
    </row>
    <row r="62" spans="1:10" s="748" customFormat="1" ht="15.9" thickTop="1" x14ac:dyDescent="0.6">
      <c r="A62" s="1060" t="s">
        <v>12</v>
      </c>
      <c r="B62" s="595"/>
      <c r="C62" s="595"/>
      <c r="D62" s="595"/>
      <c r="E62" s="595"/>
      <c r="G62" s="725"/>
      <c r="H62" s="686"/>
      <c r="I62" s="599"/>
      <c r="J62" s="123"/>
    </row>
    <row r="63" spans="1:10" s="85" customFormat="1" ht="15.9" thickBot="1" x14ac:dyDescent="0.65">
      <c r="A63" s="99"/>
      <c r="B63" s="124"/>
      <c r="C63" s="108"/>
      <c r="D63" s="124"/>
      <c r="E63" s="124"/>
      <c r="F63" s="99"/>
      <c r="G63" s="136"/>
      <c r="H63" s="686"/>
      <c r="I63" s="595"/>
      <c r="J63" s="123"/>
    </row>
    <row r="64" spans="1:10" s="748" customFormat="1" ht="15.9" thickTop="1" x14ac:dyDescent="0.6">
      <c r="A64" s="1060" t="s">
        <v>13</v>
      </c>
      <c r="B64" s="723">
        <f>SUM(B65:B66)</f>
        <v>7323397</v>
      </c>
      <c r="C64" s="723">
        <f t="shared" ref="C64:G64" si="12">SUM(C65:C66)</f>
        <v>0</v>
      </c>
      <c r="D64" s="723">
        <f t="shared" si="12"/>
        <v>0</v>
      </c>
      <c r="E64" s="723">
        <f t="shared" si="12"/>
        <v>0</v>
      </c>
      <c r="F64" s="723">
        <f t="shared" si="12"/>
        <v>7323397</v>
      </c>
      <c r="G64" s="724">
        <f t="shared" si="12"/>
        <v>0</v>
      </c>
      <c r="H64" s="686"/>
      <c r="I64" s="599"/>
      <c r="J64" s="123"/>
    </row>
    <row r="65" spans="1:10" s="123" customFormat="1" x14ac:dyDescent="0.6">
      <c r="A65" s="599" t="s">
        <v>1113</v>
      </c>
      <c r="B65" s="599"/>
      <c r="C65" s="599"/>
      <c r="D65" s="599"/>
      <c r="G65" s="130"/>
      <c r="H65" s="686" t="s">
        <v>769</v>
      </c>
      <c r="I65" s="595"/>
    </row>
    <row r="66" spans="1:10" s="85" customFormat="1" ht="15.9" thickBot="1" x14ac:dyDescent="0.65">
      <c r="A66" s="99" t="s">
        <v>721</v>
      </c>
      <c r="B66" s="124">
        <v>7323397</v>
      </c>
      <c r="C66" s="108"/>
      <c r="D66" s="124"/>
      <c r="E66" s="99"/>
      <c r="F66" s="124">
        <f>B66</f>
        <v>7323397</v>
      </c>
      <c r="G66" s="136"/>
      <c r="H66" s="686" t="s">
        <v>769</v>
      </c>
      <c r="I66" s="599"/>
      <c r="J66" s="123"/>
    </row>
    <row r="67" spans="1:10" s="748" customFormat="1" ht="15.9" thickTop="1" x14ac:dyDescent="0.6">
      <c r="A67" s="1060" t="s">
        <v>14</v>
      </c>
      <c r="B67" s="595"/>
      <c r="C67" s="595"/>
      <c r="D67" s="595"/>
      <c r="G67" s="725"/>
      <c r="H67" s="686"/>
      <c r="I67" s="595"/>
      <c r="J67" s="123"/>
    </row>
    <row r="68" spans="1:10" s="85" customFormat="1" ht="15.9" thickBot="1" x14ac:dyDescent="0.65">
      <c r="A68" s="99"/>
      <c r="B68" s="124"/>
      <c r="C68" s="108"/>
      <c r="D68" s="124"/>
      <c r="E68" s="99"/>
      <c r="F68" s="99"/>
      <c r="G68" s="136"/>
      <c r="H68" s="686"/>
      <c r="I68" s="599"/>
      <c r="J68" s="123"/>
    </row>
    <row r="69" spans="1:10" s="192" customFormat="1" ht="15.9" thickTop="1" x14ac:dyDescent="0.6">
      <c r="A69" s="78" t="s">
        <v>15</v>
      </c>
      <c r="B69" s="723">
        <f>SUM(B70:B70)</f>
        <v>32584981</v>
      </c>
      <c r="C69" s="723">
        <f t="shared" ref="C69:G69" si="13">SUM(C70:C70)</f>
        <v>0</v>
      </c>
      <c r="D69" s="723">
        <f t="shared" si="13"/>
        <v>0</v>
      </c>
      <c r="E69" s="723">
        <f t="shared" si="13"/>
        <v>0</v>
      </c>
      <c r="F69" s="723">
        <f t="shared" si="13"/>
        <v>32584981</v>
      </c>
      <c r="G69" s="724">
        <f t="shared" si="13"/>
        <v>0</v>
      </c>
      <c r="H69" s="686"/>
      <c r="I69" s="595"/>
      <c r="J69" s="123"/>
    </row>
    <row r="70" spans="1:10" s="85" customFormat="1" ht="15.9" thickBot="1" x14ac:dyDescent="0.65">
      <c r="A70" s="99" t="s">
        <v>340</v>
      </c>
      <c r="B70" s="598">
        <v>32584981</v>
      </c>
      <c r="C70" s="124"/>
      <c r="D70" s="124"/>
      <c r="E70" s="124"/>
      <c r="F70" s="124">
        <f>B70</f>
        <v>32584981</v>
      </c>
      <c r="G70" s="131"/>
      <c r="H70" s="686" t="s">
        <v>769</v>
      </c>
      <c r="I70" s="599"/>
      <c r="J70" s="123"/>
    </row>
    <row r="71" spans="1:10" s="192" customFormat="1" ht="15.9" thickTop="1" x14ac:dyDescent="0.6">
      <c r="A71" s="78" t="s">
        <v>16</v>
      </c>
      <c r="B71" s="723">
        <f>SUM(B72:B72)</f>
        <v>0</v>
      </c>
      <c r="C71" s="723">
        <f>SUM(C72:C72)</f>
        <v>0</v>
      </c>
      <c r="D71" s="723">
        <f>SUM(D72:D72)</f>
        <v>0</v>
      </c>
      <c r="E71" s="723">
        <f>SUM(E72:E72)</f>
        <v>0</v>
      </c>
      <c r="F71" s="723"/>
      <c r="G71" s="724">
        <f>SUM(G72:G72)</f>
        <v>0</v>
      </c>
      <c r="H71" s="686"/>
      <c r="I71" s="595"/>
      <c r="J71" s="123"/>
    </row>
    <row r="72" spans="1:10" s="85" customFormat="1" ht="15.9" thickBot="1" x14ac:dyDescent="0.65">
      <c r="A72" s="99"/>
      <c r="B72" s="124"/>
      <c r="C72" s="108"/>
      <c r="D72" s="124"/>
      <c r="E72" s="99"/>
      <c r="F72" s="99"/>
      <c r="G72" s="136"/>
      <c r="H72" s="686"/>
      <c r="I72" s="599"/>
      <c r="J72" s="123"/>
    </row>
    <row r="73" spans="1:10" s="748" customFormat="1" ht="15.9" thickTop="1" x14ac:dyDescent="0.6">
      <c r="A73" s="1060" t="s">
        <v>17</v>
      </c>
      <c r="B73" s="723"/>
      <c r="C73" s="723"/>
      <c r="D73" s="723"/>
      <c r="E73" s="723"/>
      <c r="F73" s="723"/>
      <c r="G73" s="724"/>
      <c r="H73" s="686"/>
      <c r="I73" s="595"/>
      <c r="J73" s="123"/>
    </row>
    <row r="74" spans="1:10" s="85" customFormat="1" ht="15.9" thickBot="1" x14ac:dyDescent="0.65">
      <c r="A74" s="99" t="s">
        <v>1114</v>
      </c>
      <c r="B74" s="598" t="s">
        <v>804</v>
      </c>
      <c r="C74" s="108"/>
      <c r="D74" s="124"/>
      <c r="E74" s="99"/>
      <c r="F74" s="99"/>
      <c r="G74" s="136"/>
      <c r="H74" s="686" t="s">
        <v>769</v>
      </c>
      <c r="I74" s="599"/>
      <c r="J74" s="123"/>
    </row>
    <row r="75" spans="1:10" s="192" customFormat="1" ht="15.9" thickTop="1" x14ac:dyDescent="0.6">
      <c r="A75" s="78" t="s">
        <v>18</v>
      </c>
      <c r="B75" s="723">
        <f>SUM(B76:B76)</f>
        <v>10000000</v>
      </c>
      <c r="C75" s="723">
        <f>SUM(C76:C76)</f>
        <v>0</v>
      </c>
      <c r="D75" s="723">
        <f>SUM(D76:D76)</f>
        <v>0</v>
      </c>
      <c r="E75" s="723">
        <f>SUM(E76:E76)</f>
        <v>0</v>
      </c>
      <c r="F75" s="723">
        <f>F76</f>
        <v>10000000</v>
      </c>
      <c r="G75" s="724">
        <f>SUM(G76:G76)</f>
        <v>0</v>
      </c>
      <c r="H75" s="686"/>
      <c r="I75" s="599"/>
      <c r="J75" s="123"/>
    </row>
    <row r="76" spans="1:10" s="85" customFormat="1" ht="15.9" thickBot="1" x14ac:dyDescent="0.65">
      <c r="A76" s="99" t="s">
        <v>722</v>
      </c>
      <c r="B76" s="124">
        <v>10000000</v>
      </c>
      <c r="C76" s="108"/>
      <c r="D76" s="124"/>
      <c r="E76" s="99"/>
      <c r="F76" s="124">
        <f>B76</f>
        <v>10000000</v>
      </c>
      <c r="G76" s="136"/>
      <c r="H76" s="686" t="s">
        <v>769</v>
      </c>
      <c r="I76" s="595"/>
      <c r="J76" s="123"/>
    </row>
    <row r="77" spans="1:10" s="192" customFormat="1" ht="15.9" thickTop="1" x14ac:dyDescent="0.6">
      <c r="A77" s="78" t="s">
        <v>19</v>
      </c>
      <c r="B77" s="751">
        <f t="shared" ref="B77:G77" si="14">SUM(B78:B85)</f>
        <v>401770125</v>
      </c>
      <c r="C77" s="751">
        <f t="shared" si="14"/>
        <v>0</v>
      </c>
      <c r="D77" s="751">
        <f t="shared" si="14"/>
        <v>0</v>
      </c>
      <c r="E77" s="751">
        <f t="shared" si="14"/>
        <v>0</v>
      </c>
      <c r="F77" s="751">
        <f t="shared" si="14"/>
        <v>401770125</v>
      </c>
      <c r="G77" s="752">
        <f t="shared" si="14"/>
        <v>0</v>
      </c>
      <c r="H77" s="686"/>
      <c r="I77" s="599"/>
      <c r="J77" s="123"/>
    </row>
    <row r="78" spans="1:10" s="85" customFormat="1" x14ac:dyDescent="0.6">
      <c r="A78" s="85" t="s">
        <v>348</v>
      </c>
      <c r="B78" s="1081">
        <v>219454270</v>
      </c>
      <c r="C78" s="137"/>
      <c r="D78" s="137"/>
      <c r="E78" s="137"/>
      <c r="F78" s="137">
        <f>B78</f>
        <v>219454270</v>
      </c>
      <c r="G78" s="138"/>
      <c r="H78" s="686" t="s">
        <v>769</v>
      </c>
      <c r="I78" s="595"/>
      <c r="J78" s="123"/>
    </row>
    <row r="79" spans="1:10" s="85" customFormat="1" x14ac:dyDescent="0.6">
      <c r="A79" s="85" t="s">
        <v>1115</v>
      </c>
      <c r="B79" s="1081" t="s">
        <v>804</v>
      </c>
      <c r="C79" s="137"/>
      <c r="D79" s="137"/>
      <c r="E79" s="137"/>
      <c r="F79" s="137"/>
      <c r="G79" s="138"/>
      <c r="H79" s="686" t="s">
        <v>769</v>
      </c>
      <c r="I79" s="599"/>
      <c r="J79" s="123"/>
    </row>
    <row r="80" spans="1:10" s="85" customFormat="1" x14ac:dyDescent="0.6">
      <c r="A80" s="85" t="s">
        <v>1116</v>
      </c>
      <c r="B80" s="1081" t="s">
        <v>804</v>
      </c>
      <c r="C80" s="137"/>
      <c r="D80" s="137"/>
      <c r="E80" s="137"/>
      <c r="F80" s="137"/>
      <c r="G80" s="138"/>
      <c r="H80" s="686" t="s">
        <v>769</v>
      </c>
      <c r="I80" s="595"/>
      <c r="J80" s="123"/>
    </row>
    <row r="81" spans="1:10" s="85" customFormat="1" x14ac:dyDescent="0.6">
      <c r="A81" s="85" t="s">
        <v>349</v>
      </c>
      <c r="B81" s="137">
        <v>182315855</v>
      </c>
      <c r="C81" s="137"/>
      <c r="D81" s="137"/>
      <c r="E81" s="137"/>
      <c r="F81" s="137">
        <f t="shared" ref="F81" si="15">B81</f>
        <v>182315855</v>
      </c>
      <c r="G81" s="138"/>
      <c r="H81" s="686" t="s">
        <v>769</v>
      </c>
      <c r="I81" s="599"/>
      <c r="J81" s="123"/>
    </row>
    <row r="82" spans="1:10" s="85" customFormat="1" x14ac:dyDescent="0.6">
      <c r="A82" s="85" t="s">
        <v>350</v>
      </c>
      <c r="B82" s="1081" t="s">
        <v>804</v>
      </c>
      <c r="C82" s="137"/>
      <c r="D82" s="137"/>
      <c r="E82" s="137"/>
      <c r="F82" s="137"/>
      <c r="G82" s="138"/>
      <c r="H82" s="686" t="s">
        <v>769</v>
      </c>
      <c r="I82" s="595"/>
      <c r="J82" s="123"/>
    </row>
    <row r="83" spans="1:10" s="85" customFormat="1" x14ac:dyDescent="0.6">
      <c r="A83" s="85" t="s">
        <v>351</v>
      </c>
      <c r="B83" s="1081" t="s">
        <v>804</v>
      </c>
      <c r="C83" s="137"/>
      <c r="D83" s="137"/>
      <c r="E83" s="137"/>
      <c r="F83" s="137"/>
      <c r="G83" s="138"/>
      <c r="H83" s="686" t="s">
        <v>769</v>
      </c>
      <c r="I83" s="599"/>
      <c r="J83" s="123"/>
    </row>
    <row r="84" spans="1:10" s="85" customFormat="1" x14ac:dyDescent="0.6">
      <c r="A84" s="85" t="s">
        <v>352</v>
      </c>
      <c r="B84" s="1081" t="s">
        <v>804</v>
      </c>
      <c r="C84" s="137"/>
      <c r="D84" s="137"/>
      <c r="E84" s="137"/>
      <c r="F84" s="137"/>
      <c r="G84" s="138"/>
      <c r="H84" s="838" t="s">
        <v>769</v>
      </c>
      <c r="I84" s="1565"/>
      <c r="J84" s="1"/>
    </row>
    <row r="85" spans="1:10" s="85" customFormat="1" ht="15.9" thickBot="1" x14ac:dyDescent="0.65">
      <c r="A85" s="99" t="s">
        <v>356</v>
      </c>
      <c r="B85" s="1081" t="s">
        <v>804</v>
      </c>
      <c r="C85" s="137"/>
      <c r="D85" s="137"/>
      <c r="E85" s="137"/>
      <c r="F85" s="137"/>
      <c r="G85" s="138"/>
      <c r="H85" s="838" t="s">
        <v>769</v>
      </c>
      <c r="I85" s="593"/>
      <c r="J85" s="1"/>
    </row>
    <row r="86" spans="1:10" s="636" customFormat="1" ht="15.9" thickTop="1" x14ac:dyDescent="0.6">
      <c r="A86" s="1084" t="s">
        <v>20</v>
      </c>
      <c r="B86" s="753">
        <f>SUM(B87:B87)</f>
        <v>44207489</v>
      </c>
      <c r="C86" s="753">
        <f>C87</f>
        <v>0</v>
      </c>
      <c r="D86" s="753">
        <f>D87</f>
        <v>44207489</v>
      </c>
      <c r="E86" s="753">
        <f>E87</f>
        <v>0</v>
      </c>
      <c r="F86" s="753">
        <f>F87</f>
        <v>0</v>
      </c>
      <c r="G86" s="754">
        <f>SUM(G87:G87)</f>
        <v>0</v>
      </c>
      <c r="H86" s="838"/>
      <c r="I86" s="593"/>
      <c r="J86" s="1"/>
    </row>
    <row r="87" spans="1:10" s="637" customFormat="1" ht="15.9" thickBot="1" x14ac:dyDescent="0.65">
      <c r="A87" s="639" t="s">
        <v>1117</v>
      </c>
      <c r="B87" s="639">
        <v>44207489</v>
      </c>
      <c r="C87" s="639"/>
      <c r="D87" s="639">
        <f>B87</f>
        <v>44207489</v>
      </c>
      <c r="E87" s="639"/>
      <c r="F87" s="639"/>
      <c r="G87" s="640"/>
      <c r="H87" s="838" t="s">
        <v>769</v>
      </c>
      <c r="I87" s="593"/>
      <c r="J87" s="1"/>
    </row>
    <row r="88" spans="1:10" s="192" customFormat="1" ht="15.9" thickTop="1" x14ac:dyDescent="0.6">
      <c r="A88" s="78" t="s">
        <v>38</v>
      </c>
      <c r="B88" s="755">
        <f>SUM(B89:B96)</f>
        <v>10980376</v>
      </c>
      <c r="C88" s="755">
        <f t="shared" ref="C88:G88" si="16">SUM(C89:C96)</f>
        <v>773128</v>
      </c>
      <c r="D88" s="755">
        <f t="shared" si="16"/>
        <v>10207248</v>
      </c>
      <c r="E88" s="755">
        <f t="shared" si="16"/>
        <v>0</v>
      </c>
      <c r="F88" s="755">
        <f t="shared" si="16"/>
        <v>0</v>
      </c>
      <c r="G88" s="756">
        <f t="shared" si="16"/>
        <v>0</v>
      </c>
      <c r="H88" s="838"/>
      <c r="I88" s="593"/>
      <c r="J88" s="1"/>
    </row>
    <row r="89" spans="1:10" s="85" customFormat="1" x14ac:dyDescent="0.6">
      <c r="A89" s="85" t="s">
        <v>261</v>
      </c>
      <c r="B89" s="141">
        <v>1972612</v>
      </c>
      <c r="C89" s="141"/>
      <c r="D89" s="141">
        <f>B89</f>
        <v>1972612</v>
      </c>
      <c r="E89" s="141"/>
      <c r="F89" s="141"/>
      <c r="G89" s="142"/>
      <c r="H89" s="838"/>
      <c r="I89" s="593"/>
      <c r="J89" s="1"/>
    </row>
    <row r="90" spans="1:10" s="85" customFormat="1" x14ac:dyDescent="0.6">
      <c r="A90" s="85" t="s">
        <v>1043</v>
      </c>
      <c r="B90" s="652" t="s">
        <v>804</v>
      </c>
      <c r="C90" s="141"/>
      <c r="D90" s="141"/>
      <c r="E90" s="141"/>
      <c r="F90" s="141"/>
      <c r="G90" s="142"/>
      <c r="H90" s="838"/>
      <c r="I90" s="593"/>
      <c r="J90" s="1"/>
    </row>
    <row r="91" spans="1:10" s="85" customFormat="1" x14ac:dyDescent="0.6">
      <c r="A91" s="85" t="s">
        <v>263</v>
      </c>
      <c r="B91" s="141">
        <v>1234636</v>
      </c>
      <c r="C91" s="141"/>
      <c r="D91" s="141">
        <f>B91</f>
        <v>1234636</v>
      </c>
      <c r="E91" s="141"/>
      <c r="F91" s="141"/>
      <c r="G91" s="142"/>
      <c r="H91" s="838"/>
      <c r="I91" s="593"/>
      <c r="J91" s="1"/>
    </row>
    <row r="92" spans="1:10" s="85" customFormat="1" x14ac:dyDescent="0.6">
      <c r="A92" s="85" t="s">
        <v>723</v>
      </c>
      <c r="B92" s="141">
        <v>7000000</v>
      </c>
      <c r="C92" s="141"/>
      <c r="D92" s="141">
        <f>B92</f>
        <v>7000000</v>
      </c>
      <c r="E92" s="141"/>
      <c r="F92" s="141"/>
      <c r="G92" s="142"/>
      <c r="H92" s="838" t="s">
        <v>769</v>
      </c>
      <c r="I92" s="593"/>
      <c r="J92" s="1"/>
    </row>
    <row r="93" spans="1:10" s="85" customFormat="1" x14ac:dyDescent="0.6">
      <c r="A93" s="85" t="s">
        <v>921</v>
      </c>
      <c r="B93" s="652" t="s">
        <v>804</v>
      </c>
      <c r="C93" s="141"/>
      <c r="D93" s="141"/>
      <c r="E93" s="141"/>
      <c r="F93" s="141"/>
      <c r="G93" s="142"/>
      <c r="H93" s="838" t="s">
        <v>769</v>
      </c>
      <c r="I93" s="593"/>
      <c r="J93" s="1"/>
    </row>
    <row r="94" spans="1:10" s="85" customFormat="1" x14ac:dyDescent="0.6">
      <c r="A94" s="85" t="s">
        <v>275</v>
      </c>
      <c r="B94" s="141">
        <v>773128</v>
      </c>
      <c r="C94" s="141">
        <f>B94</f>
        <v>773128</v>
      </c>
      <c r="D94" s="141"/>
      <c r="E94" s="141"/>
      <c r="F94" s="141"/>
      <c r="G94" s="142"/>
      <c r="H94" s="838" t="s">
        <v>769</v>
      </c>
      <c r="I94" s="593"/>
      <c r="J94" s="1"/>
    </row>
    <row r="95" spans="1:10" s="85" customFormat="1" x14ac:dyDescent="0.6">
      <c r="A95" s="85" t="s">
        <v>360</v>
      </c>
      <c r="B95" s="652" t="s">
        <v>804</v>
      </c>
      <c r="C95" s="141"/>
      <c r="D95" s="141"/>
      <c r="E95" s="141"/>
      <c r="F95" s="141"/>
      <c r="G95" s="142"/>
      <c r="H95" s="838"/>
      <c r="I95" s="593"/>
      <c r="J95" s="1"/>
    </row>
    <row r="96" spans="1:10" s="85" customFormat="1" ht="15.9" thickBot="1" x14ac:dyDescent="0.65">
      <c r="A96" s="99" t="s">
        <v>724</v>
      </c>
      <c r="B96" s="653" t="s">
        <v>804</v>
      </c>
      <c r="C96" s="143"/>
      <c r="D96" s="143"/>
      <c r="E96" s="143"/>
      <c r="F96" s="143"/>
      <c r="G96" s="144"/>
      <c r="H96" s="838" t="s">
        <v>769</v>
      </c>
      <c r="I96" s="593"/>
      <c r="J96" s="1"/>
    </row>
    <row r="97" spans="1:10" s="192" customFormat="1" ht="15.9" thickTop="1" x14ac:dyDescent="0.6">
      <c r="A97" s="78" t="s">
        <v>39</v>
      </c>
      <c r="B97" s="729">
        <f>SUM(B98:B98)</f>
        <v>55239738</v>
      </c>
      <c r="C97" s="729">
        <f>SUM(C98:C98)</f>
        <v>13809934.5</v>
      </c>
      <c r="D97" s="729">
        <f t="shared" ref="D97:F97" si="17">SUM(D98:D98)</f>
        <v>13809934.5</v>
      </c>
      <c r="E97" s="729">
        <f t="shared" si="17"/>
        <v>13809934.5</v>
      </c>
      <c r="F97" s="729">
        <f t="shared" si="17"/>
        <v>13809934.5</v>
      </c>
      <c r="G97" s="757">
        <f>SUM(G98:G98)</f>
        <v>0</v>
      </c>
      <c r="H97" s="838"/>
      <c r="I97" s="593"/>
      <c r="J97" s="1"/>
    </row>
    <row r="98" spans="1:10" s="85" customFormat="1" ht="15.9" thickBot="1" x14ac:dyDescent="0.65">
      <c r="A98" s="99" t="s">
        <v>1056</v>
      </c>
      <c r="B98" s="147">
        <v>55239738</v>
      </c>
      <c r="C98" s="147">
        <f>B98/4</f>
        <v>13809934.5</v>
      </c>
      <c r="D98" s="147">
        <f>C98</f>
        <v>13809934.5</v>
      </c>
      <c r="E98" s="147">
        <f>D98</f>
        <v>13809934.5</v>
      </c>
      <c r="F98" s="147">
        <f>E98</f>
        <v>13809934.5</v>
      </c>
      <c r="G98" s="148"/>
      <c r="H98" s="1063"/>
      <c r="I98" s="1062"/>
      <c r="J98" s="123"/>
    </row>
    <row r="99" spans="1:10" s="646" customFormat="1" ht="15.9" thickTop="1" x14ac:dyDescent="0.6">
      <c r="A99" s="1088" t="s">
        <v>40</v>
      </c>
      <c r="B99" s="758">
        <f t="shared" ref="B99:G99" si="18">SUM(B100:B100)</f>
        <v>2893012</v>
      </c>
      <c r="C99" s="758">
        <f t="shared" si="18"/>
        <v>0</v>
      </c>
      <c r="D99" s="758">
        <f t="shared" si="18"/>
        <v>0</v>
      </c>
      <c r="E99" s="758">
        <f t="shared" si="18"/>
        <v>0</v>
      </c>
      <c r="F99" s="758">
        <f t="shared" si="18"/>
        <v>2893012</v>
      </c>
      <c r="G99" s="759">
        <f t="shared" si="18"/>
        <v>0</v>
      </c>
      <c r="H99" s="686"/>
      <c r="I99" s="595"/>
      <c r="J99" s="123"/>
    </row>
    <row r="100" spans="1:10" s="647" customFormat="1" ht="15.9" thickBot="1" x14ac:dyDescent="0.65">
      <c r="A100" s="649" t="s">
        <v>1118</v>
      </c>
      <c r="B100" s="649">
        <v>2893012</v>
      </c>
      <c r="C100" s="649"/>
      <c r="D100" s="649"/>
      <c r="E100" s="649"/>
      <c r="F100" s="649">
        <f>B100</f>
        <v>2893012</v>
      </c>
      <c r="G100" s="650"/>
      <c r="H100" s="1063" t="s">
        <v>769</v>
      </c>
      <c r="I100" s="600"/>
      <c r="J100" s="145"/>
    </row>
    <row r="101" spans="1:10" s="748" customFormat="1" ht="15.9" thickTop="1" x14ac:dyDescent="0.6">
      <c r="A101" s="1060" t="s">
        <v>31</v>
      </c>
      <c r="B101" s="1175">
        <f>SUM(B102:B111)</f>
        <v>22683643889</v>
      </c>
      <c r="C101" s="1175">
        <f t="shared" ref="C101:G101" si="19">SUM(C102:C111)</f>
        <v>4606534476</v>
      </c>
      <c r="D101" s="1175">
        <f t="shared" si="19"/>
        <v>4551175000</v>
      </c>
      <c r="E101" s="1175">
        <f t="shared" si="19"/>
        <v>4551175000</v>
      </c>
      <c r="F101" s="1175">
        <f t="shared" si="19"/>
        <v>4551175000</v>
      </c>
      <c r="G101" s="1296">
        <f t="shared" si="19"/>
        <v>0</v>
      </c>
      <c r="H101" s="1406"/>
      <c r="I101" s="1566"/>
      <c r="J101" s="123"/>
    </row>
    <row r="102" spans="1:10" s="123" customFormat="1" x14ac:dyDescent="0.6">
      <c r="A102" s="599" t="s">
        <v>1119</v>
      </c>
      <c r="B102" s="694">
        <v>7798000000</v>
      </c>
      <c r="C102" s="694">
        <f>B102/4</f>
        <v>1949500000</v>
      </c>
      <c r="D102" s="694">
        <f t="shared" ref="D102:F103" si="20">C102</f>
        <v>1949500000</v>
      </c>
      <c r="E102" s="694">
        <f t="shared" si="20"/>
        <v>1949500000</v>
      </c>
      <c r="F102" s="694">
        <f t="shared" si="20"/>
        <v>1949500000</v>
      </c>
      <c r="G102" s="696"/>
      <c r="H102" s="1406"/>
      <c r="I102" s="601"/>
    </row>
    <row r="103" spans="1:10" s="123" customFormat="1" x14ac:dyDescent="0.6">
      <c r="A103" s="599" t="s">
        <v>1120</v>
      </c>
      <c r="B103" s="694">
        <v>99000000</v>
      </c>
      <c r="C103" s="694">
        <f>B103/4</f>
        <v>24750000</v>
      </c>
      <c r="D103" s="694">
        <f t="shared" si="20"/>
        <v>24750000</v>
      </c>
      <c r="E103" s="694">
        <f t="shared" si="20"/>
        <v>24750000</v>
      </c>
      <c r="F103" s="694">
        <f t="shared" si="20"/>
        <v>24750000</v>
      </c>
      <c r="G103" s="696"/>
      <c r="H103" s="1406"/>
      <c r="I103" s="601"/>
    </row>
    <row r="104" spans="1:10" s="123" customFormat="1" x14ac:dyDescent="0.6">
      <c r="A104" s="599" t="s">
        <v>931</v>
      </c>
      <c r="B104" s="1065" t="s">
        <v>804</v>
      </c>
      <c r="C104" s="694"/>
      <c r="D104" s="694"/>
      <c r="E104" s="697"/>
      <c r="F104" s="697"/>
      <c r="G104" s="696"/>
      <c r="H104" s="1406"/>
      <c r="I104" s="601"/>
    </row>
    <row r="105" spans="1:10" s="123" customFormat="1" x14ac:dyDescent="0.6">
      <c r="A105" s="599" t="s">
        <v>932</v>
      </c>
      <c r="B105" s="694">
        <v>49148237</v>
      </c>
      <c r="C105" s="694">
        <f>B105</f>
        <v>49148237</v>
      </c>
      <c r="D105" s="694"/>
      <c r="E105" s="697"/>
      <c r="F105" s="697"/>
      <c r="G105" s="696"/>
      <c r="H105" s="1406"/>
      <c r="I105" s="601"/>
    </row>
    <row r="106" spans="1:10" s="123" customFormat="1" x14ac:dyDescent="0.6">
      <c r="A106" s="599" t="s">
        <v>1121</v>
      </c>
      <c r="B106" s="694">
        <v>259000000</v>
      </c>
      <c r="C106" s="694">
        <f>B106/4</f>
        <v>64750000</v>
      </c>
      <c r="D106" s="694">
        <f>C106</f>
        <v>64750000</v>
      </c>
      <c r="E106" s="694">
        <f>D106</f>
        <v>64750000</v>
      </c>
      <c r="F106" s="694">
        <f>E106</f>
        <v>64750000</v>
      </c>
      <c r="G106" s="696"/>
      <c r="H106" s="1406"/>
      <c r="I106" s="601"/>
    </row>
    <row r="107" spans="1:10" s="123" customFormat="1" x14ac:dyDescent="0.6">
      <c r="A107" s="599" t="s">
        <v>933</v>
      </c>
      <c r="B107" s="694">
        <v>6211239</v>
      </c>
      <c r="C107" s="694">
        <f>B107</f>
        <v>6211239</v>
      </c>
      <c r="D107" s="694"/>
      <c r="E107" s="697"/>
      <c r="F107" s="697"/>
      <c r="G107" s="696"/>
      <c r="H107" s="1406"/>
      <c r="I107" s="601"/>
    </row>
    <row r="108" spans="1:10" s="123" customFormat="1" x14ac:dyDescent="0.6">
      <c r="A108" s="599" t="s">
        <v>1122</v>
      </c>
      <c r="B108" s="694">
        <v>10048700000</v>
      </c>
      <c r="C108" s="694">
        <f>B108/4</f>
        <v>2512175000</v>
      </c>
      <c r="D108" s="694">
        <f>C108</f>
        <v>2512175000</v>
      </c>
      <c r="E108" s="694">
        <f>D108</f>
        <v>2512175000</v>
      </c>
      <c r="F108" s="694">
        <f>E108</f>
        <v>2512175000</v>
      </c>
      <c r="G108" s="696"/>
      <c r="H108" s="1406"/>
      <c r="I108" s="601"/>
    </row>
    <row r="109" spans="1:10" s="123" customFormat="1" x14ac:dyDescent="0.6">
      <c r="A109" s="599" t="s">
        <v>935</v>
      </c>
      <c r="B109" s="694">
        <v>119584413</v>
      </c>
      <c r="C109" s="694"/>
      <c r="D109" s="694"/>
      <c r="E109" s="697"/>
      <c r="F109" s="697"/>
      <c r="G109" s="696"/>
      <c r="H109" s="1572"/>
      <c r="I109" s="1567"/>
    </row>
    <row r="110" spans="1:10" s="123" customFormat="1" x14ac:dyDescent="0.6">
      <c r="A110" s="599" t="s">
        <v>1123</v>
      </c>
      <c r="B110" s="694">
        <v>257000000</v>
      </c>
      <c r="C110" s="694"/>
      <c r="D110" s="694"/>
      <c r="E110" s="697"/>
      <c r="F110" s="697"/>
      <c r="G110" s="696"/>
      <c r="H110" s="1065"/>
      <c r="I110" s="694"/>
    </row>
    <row r="111" spans="1:10" s="85" customFormat="1" ht="15.9" thickBot="1" x14ac:dyDescent="0.65">
      <c r="A111" s="99" t="s">
        <v>1124</v>
      </c>
      <c r="B111" s="698">
        <v>4047000000</v>
      </c>
      <c r="C111" s="698"/>
      <c r="D111" s="698"/>
      <c r="E111" s="698"/>
      <c r="F111" s="698"/>
      <c r="G111" s="700"/>
      <c r="H111" s="1065"/>
      <c r="I111" s="694"/>
      <c r="J111" s="123"/>
    </row>
    <row r="112" spans="1:10" s="764" customFormat="1" ht="15.9" thickTop="1" x14ac:dyDescent="0.6">
      <c r="A112" s="1091" t="s">
        <v>47</v>
      </c>
      <c r="B112" s="732">
        <f>SUM(B113:B116)</f>
        <v>369000000</v>
      </c>
      <c r="C112" s="732">
        <f t="shared" ref="C112:G112" si="21">SUM(C113:C116)</f>
        <v>0</v>
      </c>
      <c r="D112" s="732">
        <f t="shared" si="21"/>
        <v>0</v>
      </c>
      <c r="E112" s="732">
        <f t="shared" si="21"/>
        <v>0</v>
      </c>
      <c r="F112" s="732">
        <f t="shared" si="21"/>
        <v>369000000</v>
      </c>
      <c r="G112" s="733">
        <f t="shared" si="21"/>
        <v>0</v>
      </c>
      <c r="H112" s="1065"/>
      <c r="I112" s="694"/>
      <c r="J112" s="123"/>
    </row>
    <row r="113" spans="1:10" s="642" customFormat="1" x14ac:dyDescent="0.6">
      <c r="A113" s="605" t="s">
        <v>1125</v>
      </c>
      <c r="B113" s="1090" t="s">
        <v>804</v>
      </c>
      <c r="C113" s="605"/>
      <c r="D113" s="605"/>
      <c r="E113" s="605"/>
      <c r="F113" s="605"/>
      <c r="G113" s="606"/>
      <c r="H113" s="1065"/>
      <c r="I113" s="694"/>
      <c r="J113" s="123"/>
    </row>
    <row r="114" spans="1:10" s="642" customFormat="1" x14ac:dyDescent="0.6">
      <c r="A114" s="605" t="s">
        <v>1126</v>
      </c>
      <c r="B114" s="1090" t="s">
        <v>804</v>
      </c>
      <c r="C114" s="605"/>
      <c r="D114" s="605"/>
      <c r="E114" s="605"/>
      <c r="F114" s="605"/>
      <c r="G114" s="606"/>
      <c r="H114" s="1065"/>
      <c r="I114" s="694"/>
      <c r="J114" s="123"/>
    </row>
    <row r="115" spans="1:10" s="642" customFormat="1" x14ac:dyDescent="0.6">
      <c r="A115" s="605" t="s">
        <v>1127</v>
      </c>
      <c r="B115" s="1090" t="s">
        <v>804</v>
      </c>
      <c r="C115" s="605"/>
      <c r="D115" s="605"/>
      <c r="E115" s="605"/>
      <c r="F115" s="605"/>
      <c r="G115" s="606"/>
      <c r="H115" s="1065"/>
      <c r="I115" s="694"/>
      <c r="J115" s="123"/>
    </row>
    <row r="116" spans="1:10" s="642" customFormat="1" ht="15.9" thickBot="1" x14ac:dyDescent="0.65">
      <c r="A116" s="625" t="s">
        <v>704</v>
      </c>
      <c r="B116" s="625">
        <v>369000000</v>
      </c>
      <c r="C116" s="625"/>
      <c r="D116" s="625"/>
      <c r="E116" s="625"/>
      <c r="F116" s="625">
        <f>B116</f>
        <v>369000000</v>
      </c>
      <c r="G116" s="626"/>
      <c r="H116" s="1090" t="s">
        <v>769</v>
      </c>
      <c r="I116" s="1568"/>
      <c r="J116" s="123"/>
    </row>
    <row r="117" spans="1:10" s="120" customFormat="1" ht="15.9" thickTop="1" x14ac:dyDescent="0.6">
      <c r="A117" s="1092" t="s">
        <v>32</v>
      </c>
      <c r="B117" s="727">
        <f t="shared" ref="B117:G117" si="22">SUM(B118:B122)</f>
        <v>233120547</v>
      </c>
      <c r="C117" s="727">
        <f t="shared" si="22"/>
        <v>57240495</v>
      </c>
      <c r="D117" s="727">
        <f t="shared" si="22"/>
        <v>58199062</v>
      </c>
      <c r="E117" s="727">
        <f t="shared" si="22"/>
        <v>57240495</v>
      </c>
      <c r="F117" s="727">
        <f t="shared" si="22"/>
        <v>60440495</v>
      </c>
      <c r="G117" s="728">
        <f t="shared" si="22"/>
        <v>0</v>
      </c>
      <c r="H117" s="1090"/>
      <c r="I117" s="605"/>
      <c r="J117" s="123"/>
    </row>
    <row r="118" spans="1:10" s="85" customFormat="1" x14ac:dyDescent="0.6">
      <c r="A118" s="85" t="s">
        <v>1128</v>
      </c>
      <c r="B118" s="141">
        <v>3200000</v>
      </c>
      <c r="C118" s="141"/>
      <c r="D118" s="141"/>
      <c r="E118" s="141"/>
      <c r="F118" s="141">
        <f>B118</f>
        <v>3200000</v>
      </c>
      <c r="G118" s="142"/>
      <c r="H118" s="1090"/>
      <c r="I118" s="605"/>
      <c r="J118" s="123"/>
    </row>
    <row r="119" spans="1:10" s="85" customFormat="1" x14ac:dyDescent="0.6">
      <c r="A119" s="85" t="s">
        <v>1129</v>
      </c>
      <c r="B119" s="141">
        <v>1541737</v>
      </c>
      <c r="C119" s="1176">
        <f>B119/4</f>
        <v>385434.25</v>
      </c>
      <c r="D119" s="141">
        <f>C119</f>
        <v>385434.25</v>
      </c>
      <c r="E119" s="141">
        <f t="shared" ref="E119:F120" si="23">D119</f>
        <v>385434.25</v>
      </c>
      <c r="F119" s="141">
        <f t="shared" si="23"/>
        <v>385434.25</v>
      </c>
      <c r="G119" s="142"/>
      <c r="H119" s="686"/>
      <c r="I119" s="595"/>
      <c r="J119" s="123"/>
    </row>
    <row r="120" spans="1:10" s="85" customFormat="1" x14ac:dyDescent="0.6">
      <c r="A120" s="85" t="s">
        <v>1130</v>
      </c>
      <c r="B120" s="141">
        <v>4794</v>
      </c>
      <c r="C120" s="1176">
        <f>B120/4</f>
        <v>1198.5</v>
      </c>
      <c r="D120" s="141">
        <f>C120</f>
        <v>1198.5</v>
      </c>
      <c r="E120" s="141">
        <f t="shared" si="23"/>
        <v>1198.5</v>
      </c>
      <c r="F120" s="141">
        <f t="shared" si="23"/>
        <v>1198.5</v>
      </c>
      <c r="G120" s="142"/>
      <c r="H120" s="686"/>
      <c r="I120" s="599"/>
      <c r="J120" s="123"/>
    </row>
    <row r="121" spans="1:10" s="85" customFormat="1" x14ac:dyDescent="0.6">
      <c r="A121" s="85" t="s">
        <v>726</v>
      </c>
      <c r="B121" s="654">
        <v>958567</v>
      </c>
      <c r="C121" s="141"/>
      <c r="D121" s="141">
        <f>B121</f>
        <v>958567</v>
      </c>
      <c r="E121" s="141"/>
      <c r="F121" s="141"/>
      <c r="G121" s="142"/>
      <c r="H121" s="686"/>
      <c r="I121" s="599"/>
      <c r="J121" s="123"/>
    </row>
    <row r="122" spans="1:10" s="85" customFormat="1" ht="15.9" thickBot="1" x14ac:dyDescent="0.65">
      <c r="A122" s="99" t="s">
        <v>727</v>
      </c>
      <c r="B122" s="655">
        <v>227415449</v>
      </c>
      <c r="C122" s="143">
        <f>B122/4</f>
        <v>56853862.25</v>
      </c>
      <c r="D122" s="143">
        <f>C122</f>
        <v>56853862.25</v>
      </c>
      <c r="E122" s="143">
        <f>D122</f>
        <v>56853862.25</v>
      </c>
      <c r="F122" s="143">
        <f>E122</f>
        <v>56853862.25</v>
      </c>
      <c r="G122" s="144"/>
      <c r="H122" s="686" t="s">
        <v>769</v>
      </c>
      <c r="I122" s="599"/>
      <c r="J122" s="123"/>
    </row>
    <row r="123" spans="1:10" s="748" customFormat="1" ht="15.9" thickTop="1" x14ac:dyDescent="0.6">
      <c r="A123" s="1060" t="s">
        <v>33</v>
      </c>
      <c r="B123" s="723">
        <f>B124</f>
        <v>0</v>
      </c>
      <c r="C123" s="723">
        <f>C124</f>
        <v>0</v>
      </c>
      <c r="D123" s="723"/>
      <c r="E123" s="723"/>
      <c r="F123" s="723"/>
      <c r="G123" s="724"/>
      <c r="H123" s="686"/>
      <c r="I123" s="599"/>
      <c r="J123" s="123"/>
    </row>
    <row r="124" spans="1:10" s="85" customFormat="1" ht="15.9" thickBot="1" x14ac:dyDescent="0.65">
      <c r="A124" s="99"/>
      <c r="B124" s="655"/>
      <c r="C124" s="143">
        <f>B124</f>
        <v>0</v>
      </c>
      <c r="D124" s="143"/>
      <c r="E124" s="143"/>
      <c r="F124" s="143"/>
      <c r="G124" s="144"/>
      <c r="H124" s="1595"/>
      <c r="I124" s="124"/>
      <c r="J124" s="124"/>
    </row>
    <row r="125" spans="1:10" s="765" customFormat="1" ht="15.9" thickTop="1" x14ac:dyDescent="0.6">
      <c r="A125" s="1093" t="s">
        <v>46</v>
      </c>
      <c r="B125" s="734">
        <f>SUM(B126:B128)</f>
        <v>0</v>
      </c>
      <c r="C125" s="734">
        <f t="shared" ref="C125:G125" si="24">SUM(C126:C128)</f>
        <v>0</v>
      </c>
      <c r="D125" s="734">
        <f t="shared" si="24"/>
        <v>0</v>
      </c>
      <c r="E125" s="734">
        <f t="shared" si="24"/>
        <v>0</v>
      </c>
      <c r="F125" s="734">
        <f t="shared" si="24"/>
        <v>0</v>
      </c>
      <c r="G125" s="735">
        <f t="shared" si="24"/>
        <v>0</v>
      </c>
      <c r="H125" s="686"/>
    </row>
    <row r="126" spans="1:10" s="643" customFormat="1" x14ac:dyDescent="0.6">
      <c r="A126" s="608" t="s">
        <v>532</v>
      </c>
      <c r="B126" s="774" t="s">
        <v>804</v>
      </c>
      <c r="C126" s="608"/>
      <c r="D126" s="608"/>
      <c r="G126" s="609"/>
      <c r="H126" s="686" t="s">
        <v>769</v>
      </c>
      <c r="I126" s="1594" t="s">
        <v>78</v>
      </c>
      <c r="J126" s="69"/>
    </row>
    <row r="127" spans="1:10" s="643" customFormat="1" x14ac:dyDescent="0.6">
      <c r="A127" s="608" t="s">
        <v>947</v>
      </c>
      <c r="B127" s="774" t="s">
        <v>804</v>
      </c>
      <c r="C127" s="608"/>
      <c r="D127" s="608"/>
      <c r="G127" s="609"/>
      <c r="H127" s="686"/>
      <c r="I127" s="593" t="s">
        <v>42</v>
      </c>
      <c r="J127" s="1">
        <v>10</v>
      </c>
    </row>
    <row r="128" spans="1:10" s="643" customFormat="1" ht="15.9" thickBot="1" x14ac:dyDescent="0.65">
      <c r="A128" s="627" t="s">
        <v>716</v>
      </c>
      <c r="B128" s="773" t="s">
        <v>804</v>
      </c>
      <c r="C128" s="627"/>
      <c r="D128" s="627"/>
      <c r="E128" s="627"/>
      <c r="F128" s="627"/>
      <c r="G128" s="610"/>
      <c r="H128" s="686" t="s">
        <v>769</v>
      </c>
      <c r="I128" s="593" t="s">
        <v>802</v>
      </c>
      <c r="J128" s="1">
        <v>6</v>
      </c>
    </row>
    <row r="129" spans="1:10" s="760" customFormat="1" ht="15.9" thickTop="1" x14ac:dyDescent="0.6">
      <c r="A129" s="1094" t="s">
        <v>49</v>
      </c>
      <c r="B129" s="737">
        <f t="shared" ref="B129:G129" si="25">SUM(B130:B134)</f>
        <v>182448000000</v>
      </c>
      <c r="C129" s="737">
        <f t="shared" si="25"/>
        <v>11036475000</v>
      </c>
      <c r="D129" s="737">
        <f t="shared" si="25"/>
        <v>11201575000</v>
      </c>
      <c r="E129" s="737">
        <f t="shared" si="25"/>
        <v>11036475000</v>
      </c>
      <c r="F129" s="737">
        <f t="shared" si="25"/>
        <v>149173475000</v>
      </c>
      <c r="G129" s="738">
        <f t="shared" si="25"/>
        <v>0</v>
      </c>
      <c r="H129" s="838"/>
      <c r="I129" s="593" t="s">
        <v>1732</v>
      </c>
      <c r="J129" s="1">
        <v>3</v>
      </c>
    </row>
    <row r="130" spans="1:10" s="645" customFormat="1" x14ac:dyDescent="0.6">
      <c r="A130" s="611" t="s">
        <v>404</v>
      </c>
      <c r="B130" s="614" t="s">
        <v>804</v>
      </c>
      <c r="C130" s="611"/>
      <c r="D130" s="611"/>
      <c r="E130" s="611"/>
      <c r="F130" s="611"/>
      <c r="G130" s="612"/>
      <c r="H130" s="838"/>
      <c r="I130" s="593" t="s">
        <v>239</v>
      </c>
      <c r="J130" s="1"/>
    </row>
    <row r="131" spans="1:10" s="645" customFormat="1" x14ac:dyDescent="0.6">
      <c r="A131" s="611" t="s">
        <v>405</v>
      </c>
      <c r="B131" s="611">
        <v>165100000</v>
      </c>
      <c r="C131" s="611"/>
      <c r="D131" s="611">
        <f>B131</f>
        <v>165100000</v>
      </c>
      <c r="E131" s="611"/>
      <c r="F131" s="611"/>
      <c r="G131" s="612"/>
      <c r="H131" s="774"/>
      <c r="I131" s="1569"/>
      <c r="J131" s="123"/>
    </row>
    <row r="132" spans="1:10" s="645" customFormat="1" x14ac:dyDescent="0.6">
      <c r="A132" s="611" t="s">
        <v>406</v>
      </c>
      <c r="B132" s="611">
        <v>138137000000</v>
      </c>
      <c r="C132" s="611"/>
      <c r="D132" s="611"/>
      <c r="E132" s="611"/>
      <c r="F132" s="611">
        <f>B132</f>
        <v>138137000000</v>
      </c>
      <c r="G132" s="612"/>
      <c r="H132" s="774"/>
      <c r="I132" s="608"/>
      <c r="J132" s="123"/>
    </row>
    <row r="133" spans="1:10" s="645" customFormat="1" x14ac:dyDescent="0.6">
      <c r="A133" s="611" t="s">
        <v>407</v>
      </c>
      <c r="B133" s="614" t="s">
        <v>804</v>
      </c>
      <c r="C133" s="611"/>
      <c r="D133" s="611"/>
      <c r="E133" s="611"/>
      <c r="F133" s="611" t="str">
        <f>B133</f>
        <v>ND</v>
      </c>
      <c r="G133" s="612"/>
      <c r="H133" s="774"/>
      <c r="I133" s="608"/>
      <c r="J133" s="123"/>
    </row>
    <row r="134" spans="1:10" s="645" customFormat="1" ht="15.9" thickBot="1" x14ac:dyDescent="0.65">
      <c r="A134" s="629" t="s">
        <v>588</v>
      </c>
      <c r="B134" s="628">
        <v>44145900000</v>
      </c>
      <c r="C134" s="629">
        <f>B134/4</f>
        <v>11036475000</v>
      </c>
      <c r="D134" s="629">
        <f>C134</f>
        <v>11036475000</v>
      </c>
      <c r="E134" s="629">
        <f t="shared" ref="E134:F134" si="26">D134</f>
        <v>11036475000</v>
      </c>
      <c r="F134" s="629">
        <f t="shared" si="26"/>
        <v>11036475000</v>
      </c>
      <c r="G134" s="613"/>
      <c r="H134" s="774"/>
      <c r="I134" s="608"/>
      <c r="J134" s="145"/>
    </row>
    <row r="135" spans="1:10" s="192" customFormat="1" ht="15.9" thickTop="1" x14ac:dyDescent="0.6">
      <c r="A135" s="78" t="s">
        <v>50</v>
      </c>
      <c r="B135" s="739">
        <f t="shared" ref="B135:G135" si="27">SUM(B136:B136)</f>
        <v>574498198</v>
      </c>
      <c r="C135" s="739">
        <f t="shared" si="27"/>
        <v>0</v>
      </c>
      <c r="D135" s="739">
        <f t="shared" si="27"/>
        <v>0</v>
      </c>
      <c r="E135" s="739">
        <f t="shared" si="27"/>
        <v>0</v>
      </c>
      <c r="F135" s="739">
        <f t="shared" si="27"/>
        <v>574498198</v>
      </c>
      <c r="G135" s="740">
        <f t="shared" si="27"/>
        <v>0</v>
      </c>
      <c r="H135" s="614" t="s">
        <v>769</v>
      </c>
      <c r="I135" s="1570"/>
      <c r="J135" s="123"/>
    </row>
    <row r="136" spans="1:10" s="85" customFormat="1" ht="15.9" thickBot="1" x14ac:dyDescent="0.65">
      <c r="A136" s="99" t="s">
        <v>1131</v>
      </c>
      <c r="B136" s="151">
        <v>574498198</v>
      </c>
      <c r="C136" s="151"/>
      <c r="D136" s="151"/>
      <c r="E136" s="151"/>
      <c r="F136" s="151">
        <f>B136</f>
        <v>574498198</v>
      </c>
      <c r="G136" s="152"/>
      <c r="H136" s="614"/>
      <c r="I136" s="611"/>
      <c r="J136" s="145"/>
    </row>
    <row r="137" spans="1:10" s="748" customFormat="1" ht="15.9" thickTop="1" x14ac:dyDescent="0.6">
      <c r="A137" s="1060" t="s">
        <v>51</v>
      </c>
      <c r="B137" s="595"/>
      <c r="C137" s="595"/>
      <c r="D137" s="595"/>
      <c r="G137" s="725"/>
      <c r="H137" s="1326"/>
      <c r="I137" s="1571"/>
      <c r="J137" s="123"/>
    </row>
    <row r="138" spans="1:10" s="85" customFormat="1" ht="15.9" thickBot="1" x14ac:dyDescent="0.65">
      <c r="A138" s="99" t="s">
        <v>1070</v>
      </c>
      <c r="B138" s="598" t="s">
        <v>804</v>
      </c>
      <c r="C138" s="108"/>
      <c r="D138" s="124"/>
      <c r="E138" s="99"/>
      <c r="F138" s="99"/>
      <c r="G138" s="136"/>
      <c r="H138" s="1326"/>
      <c r="I138" s="615"/>
      <c r="J138" s="123"/>
    </row>
    <row r="139" spans="1:10" ht="15.9" thickTop="1" x14ac:dyDescent="0.6">
      <c r="H139" s="1326"/>
      <c r="I139" s="615"/>
      <c r="J139" s="123"/>
    </row>
    <row r="140" spans="1:10" x14ac:dyDescent="0.6">
      <c r="A140" s="1370" t="s">
        <v>1451</v>
      </c>
      <c r="B140" s="13">
        <f>COUNTIF(B2:B138,"=ND")</f>
        <v>35</v>
      </c>
      <c r="H140" s="686"/>
      <c r="I140" s="595"/>
      <c r="J140" s="123"/>
    </row>
    <row r="141" spans="1:10" x14ac:dyDescent="0.6">
      <c r="A141" s="1370" t="s">
        <v>1454</v>
      </c>
      <c r="B141" s="13">
        <f>COUNT(B2:B138)</f>
        <v>90</v>
      </c>
      <c r="H141" s="686"/>
      <c r="I141" s="599"/>
      <c r="J141" s="123"/>
    </row>
    <row r="142" spans="1:10" x14ac:dyDescent="0.6">
      <c r="A142" s="1370" t="s">
        <v>1452</v>
      </c>
      <c r="B142" s="13">
        <f>COUNTBLANK(B2:B138)</f>
        <v>12</v>
      </c>
      <c r="H142" s="686"/>
      <c r="I142" s="599"/>
      <c r="J142" s="123"/>
    </row>
    <row r="143" spans="1:10" x14ac:dyDescent="0.6">
      <c r="A143" s="1370" t="s">
        <v>1453</v>
      </c>
      <c r="B143" s="13">
        <v>29</v>
      </c>
      <c r="H143" s="60"/>
      <c r="I143" s="85"/>
    </row>
    <row r="144" spans="1:10" x14ac:dyDescent="0.6">
      <c r="A144" s="1370" t="s">
        <v>42</v>
      </c>
      <c r="B144" s="13">
        <f>SUM(B140:B142)</f>
        <v>137</v>
      </c>
    </row>
    <row r="145" spans="1:9" x14ac:dyDescent="0.6">
      <c r="A145" s="1370" t="s">
        <v>1456</v>
      </c>
      <c r="B145" s="13">
        <v>137</v>
      </c>
    </row>
    <row r="146" spans="1:9" x14ac:dyDescent="0.6">
      <c r="A146" s="1370"/>
      <c r="B146" s="13"/>
    </row>
    <row r="147" spans="1:9" x14ac:dyDescent="0.6">
      <c r="A147" s="1370" t="s">
        <v>1455</v>
      </c>
      <c r="B147" s="13">
        <f>B141-B142</f>
        <v>78</v>
      </c>
      <c r="H147" s="60"/>
      <c r="I147" s="1"/>
    </row>
    <row r="148" spans="1:9" x14ac:dyDescent="0.6">
      <c r="A148" s="826" t="s">
        <v>804</v>
      </c>
      <c r="B148" s="13">
        <f>B140</f>
        <v>35</v>
      </c>
      <c r="H148" s="60"/>
      <c r="I148" s="1"/>
    </row>
    <row r="149" spans="1:9" x14ac:dyDescent="0.6">
      <c r="A149" s="826" t="s">
        <v>42</v>
      </c>
      <c r="B149" s="13">
        <f>B148+B147</f>
        <v>113</v>
      </c>
      <c r="H149" s="60"/>
      <c r="I149" s="1"/>
    </row>
    <row r="150" spans="1:9" x14ac:dyDescent="0.6">
      <c r="A150" s="826"/>
      <c r="B150" s="13"/>
      <c r="H150" s="60"/>
      <c r="I150" s="1"/>
    </row>
    <row r="151" spans="1:9" x14ac:dyDescent="0.6">
      <c r="A151" s="826" t="s">
        <v>1456</v>
      </c>
      <c r="B151" s="13">
        <f>B140+B141-B142</f>
        <v>113</v>
      </c>
      <c r="H151" s="60"/>
      <c r="I151" s="1"/>
    </row>
    <row r="152" spans="1:9" x14ac:dyDescent="0.6">
      <c r="H152" s="60"/>
      <c r="I152" s="1"/>
    </row>
    <row r="153" spans="1:9" x14ac:dyDescent="0.6">
      <c r="H153" s="60"/>
      <c r="I153" s="1"/>
    </row>
    <row r="154" spans="1:9" x14ac:dyDescent="0.6">
      <c r="H154" s="60"/>
      <c r="I154" s="1"/>
    </row>
    <row r="155" spans="1:9" x14ac:dyDescent="0.6">
      <c r="H155" s="60"/>
      <c r="I155" s="1"/>
    </row>
    <row r="156" spans="1:9" x14ac:dyDescent="0.6">
      <c r="H156" s="60"/>
      <c r="I156" s="1"/>
    </row>
    <row r="157" spans="1:9" x14ac:dyDescent="0.6">
      <c r="H157" s="60"/>
      <c r="I157" s="1"/>
    </row>
    <row r="158" spans="1:9" x14ac:dyDescent="0.6">
      <c r="H158" s="60"/>
      <c r="I158" s="1"/>
    </row>
    <row r="159" spans="1:9" x14ac:dyDescent="0.6">
      <c r="H159" s="60"/>
      <c r="I159" s="1"/>
    </row>
    <row r="160" spans="1:9" x14ac:dyDescent="0.6">
      <c r="H160" s="60"/>
      <c r="I160" s="1"/>
    </row>
    <row r="161" spans="8:9" x14ac:dyDescent="0.6">
      <c r="H161" s="60"/>
      <c r="I161" s="1"/>
    </row>
    <row r="162" spans="8:9" x14ac:dyDescent="0.6">
      <c r="H162" s="60"/>
      <c r="I162" s="1"/>
    </row>
    <row r="163" spans="8:9" x14ac:dyDescent="0.6">
      <c r="H163" s="60"/>
      <c r="I163" s="1"/>
    </row>
    <row r="164" spans="8:9" x14ac:dyDescent="0.6">
      <c r="H164" s="60"/>
      <c r="I164" s="1"/>
    </row>
    <row r="165" spans="8:9" x14ac:dyDescent="0.6">
      <c r="H165" s="60"/>
      <c r="I165" s="1"/>
    </row>
    <row r="166" spans="8:9" x14ac:dyDescent="0.6">
      <c r="H166" s="60"/>
      <c r="I166" s="1"/>
    </row>
    <row r="167" spans="8:9" x14ac:dyDescent="0.6">
      <c r="H167" s="60"/>
      <c r="I167" s="1"/>
    </row>
    <row r="168" spans="8:9" x14ac:dyDescent="0.6">
      <c r="H168" s="60"/>
      <c r="I168" s="1"/>
    </row>
    <row r="169" spans="8:9" x14ac:dyDescent="0.6">
      <c r="H169" s="60"/>
      <c r="I169" s="1"/>
    </row>
    <row r="170" spans="8:9" x14ac:dyDescent="0.6">
      <c r="H170" s="60"/>
      <c r="I170" s="1"/>
    </row>
    <row r="171" spans="8:9" x14ac:dyDescent="0.6">
      <c r="H171" s="60"/>
      <c r="I171" s="1"/>
    </row>
    <row r="172" spans="8:9" x14ac:dyDescent="0.6">
      <c r="H172" s="60"/>
      <c r="I172" s="1"/>
    </row>
    <row r="173" spans="8:9" x14ac:dyDescent="0.6">
      <c r="H173" s="60"/>
      <c r="I173" s="1"/>
    </row>
    <row r="174" spans="8:9" x14ac:dyDescent="0.6">
      <c r="H174" s="60"/>
      <c r="I174" s="1"/>
    </row>
    <row r="175" spans="8:9" x14ac:dyDescent="0.6">
      <c r="H175" s="60"/>
      <c r="I175" s="1"/>
    </row>
    <row r="176" spans="8:9" x14ac:dyDescent="0.6">
      <c r="H176" s="60"/>
      <c r="I176" s="1"/>
    </row>
    <row r="177" spans="8:9" x14ac:dyDescent="0.6">
      <c r="H177" s="60"/>
      <c r="I177" s="1"/>
    </row>
    <row r="178" spans="8:9" x14ac:dyDescent="0.6">
      <c r="H178" s="60"/>
      <c r="I178" s="1"/>
    </row>
    <row r="179" spans="8:9" x14ac:dyDescent="0.6">
      <c r="H179" s="60"/>
      <c r="I179" s="1"/>
    </row>
    <row r="180" spans="8:9" x14ac:dyDescent="0.6">
      <c r="H180" s="60"/>
      <c r="I180" s="1"/>
    </row>
    <row r="181" spans="8:9" x14ac:dyDescent="0.6">
      <c r="H181" s="60"/>
      <c r="I181" s="1"/>
    </row>
    <row r="182" spans="8:9" x14ac:dyDescent="0.6">
      <c r="H182" s="60"/>
      <c r="I182" s="1"/>
    </row>
    <row r="183" spans="8:9" x14ac:dyDescent="0.6">
      <c r="H183" s="60"/>
      <c r="I183" s="1"/>
    </row>
    <row r="184" spans="8:9" x14ac:dyDescent="0.6">
      <c r="H184" s="60"/>
      <c r="I184" s="1"/>
    </row>
    <row r="185" spans="8:9" x14ac:dyDescent="0.6">
      <c r="H185" s="60"/>
      <c r="I185" s="1"/>
    </row>
    <row r="186" spans="8:9" x14ac:dyDescent="0.6">
      <c r="H186" s="60"/>
      <c r="I186" s="1"/>
    </row>
    <row r="187" spans="8:9" x14ac:dyDescent="0.6">
      <c r="H187" s="60"/>
      <c r="I187" s="1"/>
    </row>
    <row r="188" spans="8:9" x14ac:dyDescent="0.6">
      <c r="H188" s="60"/>
      <c r="I188" s="1"/>
    </row>
    <row r="189" spans="8:9" x14ac:dyDescent="0.6">
      <c r="H189" s="60"/>
      <c r="I189" s="1"/>
    </row>
    <row r="190" spans="8:9" x14ac:dyDescent="0.6">
      <c r="H190" s="60"/>
      <c r="I190" s="1"/>
    </row>
    <row r="191" spans="8:9" x14ac:dyDescent="0.6">
      <c r="H191" s="60"/>
      <c r="I191" s="1"/>
    </row>
    <row r="192" spans="8:9" x14ac:dyDescent="0.6">
      <c r="H192" s="60"/>
      <c r="I192" s="1"/>
    </row>
    <row r="193" spans="8:9" x14ac:dyDescent="0.6">
      <c r="H193" s="60"/>
      <c r="I193" s="1"/>
    </row>
    <row r="194" spans="8:9" x14ac:dyDescent="0.6">
      <c r="H194" s="60"/>
      <c r="I194" s="1"/>
    </row>
    <row r="195" spans="8:9" x14ac:dyDescent="0.6">
      <c r="H195" s="60"/>
      <c r="I195" s="1"/>
    </row>
    <row r="196" spans="8:9" x14ac:dyDescent="0.6">
      <c r="H196" s="60"/>
      <c r="I196" s="1"/>
    </row>
    <row r="197" spans="8:9" x14ac:dyDescent="0.6">
      <c r="H197" s="60"/>
      <c r="I197" s="1"/>
    </row>
    <row r="198" spans="8:9" x14ac:dyDescent="0.6">
      <c r="H198" s="60"/>
      <c r="I198" s="1"/>
    </row>
    <row r="199" spans="8:9" x14ac:dyDescent="0.6">
      <c r="H199" s="60"/>
      <c r="I199" s="1"/>
    </row>
    <row r="200" spans="8:9" x14ac:dyDescent="0.6">
      <c r="H200" s="60"/>
      <c r="I200" s="1"/>
    </row>
    <row r="201" spans="8:9" x14ac:dyDescent="0.6">
      <c r="H201" s="60"/>
      <c r="I201" s="1"/>
    </row>
    <row r="202" spans="8:9" x14ac:dyDescent="0.6">
      <c r="H202" s="60"/>
      <c r="I202" s="1"/>
    </row>
    <row r="203" spans="8:9" x14ac:dyDescent="0.6">
      <c r="H203" s="60"/>
      <c r="I203" s="1"/>
    </row>
    <row r="204" spans="8:9" x14ac:dyDescent="0.6">
      <c r="H204" s="60"/>
      <c r="I204" s="1"/>
    </row>
    <row r="205" spans="8:9" x14ac:dyDescent="0.6">
      <c r="H205" s="60"/>
      <c r="I205" s="1"/>
    </row>
    <row r="206" spans="8:9" x14ac:dyDescent="0.6">
      <c r="H206" s="60"/>
      <c r="I206" s="1"/>
    </row>
    <row r="207" spans="8:9" x14ac:dyDescent="0.6">
      <c r="H207" s="60"/>
      <c r="I207" s="1"/>
    </row>
    <row r="208" spans="8:9" x14ac:dyDescent="0.6">
      <c r="H208" s="60"/>
      <c r="I208" s="1"/>
    </row>
    <row r="209" spans="8:9" x14ac:dyDescent="0.6">
      <c r="H209" s="60"/>
      <c r="I209" s="1"/>
    </row>
    <row r="210" spans="8:9" x14ac:dyDescent="0.6">
      <c r="H210" s="60"/>
      <c r="I210" s="1"/>
    </row>
    <row r="211" spans="8:9" x14ac:dyDescent="0.6">
      <c r="H211" s="60"/>
      <c r="I211" s="1"/>
    </row>
    <row r="212" spans="8:9" x14ac:dyDescent="0.6">
      <c r="H212" s="60"/>
      <c r="I212" s="1"/>
    </row>
    <row r="213" spans="8:9" x14ac:dyDescent="0.6">
      <c r="H213" s="60"/>
      <c r="I213" s="1"/>
    </row>
    <row r="214" spans="8:9" x14ac:dyDescent="0.6">
      <c r="H214" s="60"/>
      <c r="I214" s="1"/>
    </row>
    <row r="215" spans="8:9" x14ac:dyDescent="0.6">
      <c r="H215" s="60"/>
      <c r="I215" s="1"/>
    </row>
    <row r="216" spans="8:9" x14ac:dyDescent="0.6">
      <c r="H216" s="60"/>
      <c r="I216" s="1"/>
    </row>
    <row r="217" spans="8:9" x14ac:dyDescent="0.6">
      <c r="H217" s="60"/>
      <c r="I217" s="1"/>
    </row>
    <row r="218" spans="8:9" x14ac:dyDescent="0.6">
      <c r="H218" s="60"/>
      <c r="I218" s="1"/>
    </row>
    <row r="219" spans="8:9" x14ac:dyDescent="0.6">
      <c r="H219" s="60"/>
      <c r="I219" s="1"/>
    </row>
    <row r="220" spans="8:9" x14ac:dyDescent="0.6">
      <c r="H220" s="60"/>
      <c r="I220" s="1"/>
    </row>
    <row r="221" spans="8:9" x14ac:dyDescent="0.6">
      <c r="H221" s="60"/>
      <c r="I221" s="1"/>
    </row>
    <row r="222" spans="8:9" x14ac:dyDescent="0.6">
      <c r="H222" s="60"/>
      <c r="I222" s="1"/>
    </row>
    <row r="223" spans="8:9" x14ac:dyDescent="0.6">
      <c r="H223" s="60"/>
      <c r="I223" s="1"/>
    </row>
    <row r="224" spans="8:9" x14ac:dyDescent="0.6">
      <c r="H224" s="60"/>
      <c r="I224" s="1"/>
    </row>
    <row r="225" spans="8:9" x14ac:dyDescent="0.6">
      <c r="H225" s="60"/>
      <c r="I225" s="1"/>
    </row>
    <row r="226" spans="8:9" x14ac:dyDescent="0.6">
      <c r="H226" s="60"/>
      <c r="I226" s="1"/>
    </row>
    <row r="227" spans="8:9" x14ac:dyDescent="0.6">
      <c r="H227" s="60"/>
      <c r="I227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85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1.5" style="85" customWidth="1"/>
    <col min="3" max="3" width="7.84765625" style="55" customWidth="1"/>
    <col min="4" max="4" width="10.09765625" style="55" customWidth="1"/>
    <col min="5" max="5" width="11.34765625" style="55" bestFit="1" customWidth="1"/>
    <col min="6" max="9" width="10.09765625" style="55" customWidth="1"/>
    <col min="10" max="10" width="9.5" style="55" customWidth="1"/>
    <col min="11" max="11" width="8.84765625" style="96" bestFit="1" customWidth="1"/>
    <col min="12" max="12" width="11" style="96" customWidth="1"/>
    <col min="13" max="13" width="14.09765625" style="122" bestFit="1" customWidth="1"/>
    <col min="14" max="14" width="16.09765625" style="1" bestFit="1" customWidth="1"/>
    <col min="15" max="15" width="6.84765625" style="54" bestFit="1" customWidth="1"/>
    <col min="16" max="16" width="8.59765625" style="54" customWidth="1"/>
    <col min="17" max="17" width="11.09765625" style="54" bestFit="1" customWidth="1"/>
    <col min="18" max="18" width="9.09765625" style="54" customWidth="1"/>
    <col min="19" max="19" width="16" style="17" bestFit="1" customWidth="1"/>
    <col min="20" max="20" width="17.5" style="70" bestFit="1" customWidth="1"/>
    <col min="21" max="21" width="17.5" style="17" bestFit="1" customWidth="1"/>
    <col min="22" max="22" width="17.5" style="1" bestFit="1" customWidth="1"/>
    <col min="23" max="23" width="5.09765625" style="1" bestFit="1" customWidth="1"/>
    <col min="24" max="16384" width="10.84765625" style="1"/>
  </cols>
  <sheetData>
    <row r="1" spans="1:22" x14ac:dyDescent="0.6">
      <c r="A1" s="78" t="s">
        <v>201</v>
      </c>
      <c r="D1" s="89"/>
      <c r="E1" s="89"/>
      <c r="F1" s="89"/>
      <c r="G1" s="89"/>
      <c r="H1" s="89"/>
      <c r="I1" s="89"/>
      <c r="J1" s="879"/>
      <c r="N1" s="13"/>
      <c r="Q1" s="17"/>
      <c r="R1" s="17"/>
      <c r="S1" s="98"/>
      <c r="U1" s="98"/>
      <c r="V1" s="880"/>
    </row>
    <row r="2" spans="1:22" s="2" customFormat="1" x14ac:dyDescent="0.6">
      <c r="A2" s="24" t="s">
        <v>879</v>
      </c>
      <c r="B2" s="60"/>
      <c r="C2" s="56"/>
      <c r="D2" s="1582" t="s">
        <v>1734</v>
      </c>
      <c r="E2" s="1582" t="s">
        <v>1735</v>
      </c>
      <c r="F2" s="56"/>
      <c r="G2" s="56"/>
      <c r="H2" s="56"/>
      <c r="I2" s="56" t="s">
        <v>100</v>
      </c>
      <c r="J2" s="56"/>
      <c r="K2" s="97" t="s">
        <v>189</v>
      </c>
      <c r="L2" s="97" t="s">
        <v>603</v>
      </c>
      <c r="M2" s="60" t="s">
        <v>24</v>
      </c>
      <c r="N2" s="60" t="s">
        <v>24</v>
      </c>
      <c r="O2" s="95" t="s">
        <v>190</v>
      </c>
      <c r="P2" s="95" t="s">
        <v>396</v>
      </c>
      <c r="Q2" s="95" t="s">
        <v>397</v>
      </c>
      <c r="R2" s="95" t="s">
        <v>42</v>
      </c>
      <c r="S2" s="18" t="s">
        <v>193</v>
      </c>
      <c r="T2" s="114" t="s">
        <v>396</v>
      </c>
      <c r="U2" s="18" t="s">
        <v>397</v>
      </c>
      <c r="V2" s="2" t="s">
        <v>398</v>
      </c>
    </row>
    <row r="3" spans="1:22" s="2" customFormat="1" x14ac:dyDescent="0.6">
      <c r="A3" s="24" t="s">
        <v>359</v>
      </c>
      <c r="B3" s="60"/>
      <c r="C3" s="56" t="s">
        <v>136</v>
      </c>
      <c r="D3" s="56" t="s">
        <v>137</v>
      </c>
      <c r="E3" s="56" t="s">
        <v>1736</v>
      </c>
      <c r="F3" s="56" t="s">
        <v>1737</v>
      </c>
      <c r="G3" s="56"/>
      <c r="H3" s="56"/>
      <c r="I3" s="56" t="s">
        <v>604</v>
      </c>
      <c r="J3" s="56" t="s">
        <v>42</v>
      </c>
      <c r="K3" s="97" t="s">
        <v>79</v>
      </c>
      <c r="L3" s="97" t="s">
        <v>1085</v>
      </c>
      <c r="M3" s="157" t="s">
        <v>856</v>
      </c>
      <c r="N3" s="2" t="s">
        <v>400</v>
      </c>
      <c r="O3" s="95" t="s">
        <v>191</v>
      </c>
      <c r="P3" s="95" t="s">
        <v>190</v>
      </c>
      <c r="Q3" s="95" t="s">
        <v>190</v>
      </c>
      <c r="R3" s="95" t="s">
        <v>79</v>
      </c>
      <c r="S3" s="18" t="s">
        <v>192</v>
      </c>
      <c r="T3" s="114" t="s">
        <v>192</v>
      </c>
      <c r="U3" s="18" t="s">
        <v>192</v>
      </c>
      <c r="V3" s="2" t="s">
        <v>198</v>
      </c>
    </row>
    <row r="4" spans="1:22" s="85" customFormat="1" x14ac:dyDescent="0.6">
      <c r="A4" s="60">
        <v>1</v>
      </c>
      <c r="B4" s="85" t="s">
        <v>178</v>
      </c>
      <c r="C4" s="89">
        <v>0.184</v>
      </c>
      <c r="D4" s="89">
        <v>0.18</v>
      </c>
      <c r="E4" s="89">
        <v>0.18</v>
      </c>
      <c r="F4" s="89">
        <f>E4-D4</f>
        <v>0</v>
      </c>
      <c r="G4" s="89">
        <f>IF(F4&gt;0,F4,0)</f>
        <v>0</v>
      </c>
      <c r="H4" s="89">
        <f>IF(F4&lt;0,F4,0)</f>
        <v>0</v>
      </c>
      <c r="I4" s="89"/>
      <c r="J4" s="89">
        <f t="shared" ref="J4:J35" si="0">D4+C4</f>
        <v>0.36399999999999999</v>
      </c>
      <c r="K4" s="174">
        <v>8.9099999999999999E-2</v>
      </c>
      <c r="L4" s="174"/>
      <c r="M4" s="948">
        <v>6272.3</v>
      </c>
      <c r="N4" s="897">
        <f t="shared" ref="N4:N35" si="1">M4*365*1000</f>
        <v>2289389500</v>
      </c>
      <c r="O4" s="156">
        <v>2.2559999999999998</v>
      </c>
      <c r="P4" s="156">
        <f t="shared" ref="P4:P35" si="2">O4-J4</f>
        <v>1.8919999999999999</v>
      </c>
      <c r="Q4" s="156">
        <f t="shared" ref="Q4:Q35" si="3">P4*(1+K4)</f>
        <v>2.0605772</v>
      </c>
      <c r="R4" s="952">
        <f>O4-P4</f>
        <v>0.36399999999999988</v>
      </c>
      <c r="S4" s="70">
        <f>O4*N4</f>
        <v>5164862711.999999</v>
      </c>
      <c r="T4" s="70">
        <f t="shared" ref="T4:T35" si="4">P4*N4</f>
        <v>4331524934</v>
      </c>
      <c r="U4" s="70">
        <f t="shared" ref="U4:U35" si="5">Q4*N4</f>
        <v>4717463805.6194</v>
      </c>
      <c r="V4" s="70">
        <f t="shared" ref="V4:V35" si="6">S4-U4</f>
        <v>447398906.38059902</v>
      </c>
    </row>
    <row r="5" spans="1:22" s="85" customFormat="1" x14ac:dyDescent="0.6">
      <c r="A5" s="60">
        <f t="shared" ref="A5:A36" si="7">A4+1</f>
        <v>2</v>
      </c>
      <c r="B5" s="85" t="s">
        <v>188</v>
      </c>
      <c r="C5" s="89">
        <f t="shared" ref="C5:C36" si="8">C4</f>
        <v>0.184</v>
      </c>
      <c r="D5" s="89">
        <v>0.08</v>
      </c>
      <c r="E5" s="89">
        <v>0.08</v>
      </c>
      <c r="F5" s="89">
        <f t="shared" ref="F5:F54" si="9">E5-D5</f>
        <v>0</v>
      </c>
      <c r="G5" s="89">
        <f t="shared" ref="G5:G54" si="10">IF(F5&gt;0,F5,0)</f>
        <v>0</v>
      </c>
      <c r="H5" s="89">
        <f t="shared" ref="H5:H54" si="11">IF(F5&lt;0,F5,0)</f>
        <v>0</v>
      </c>
      <c r="I5" s="89"/>
      <c r="J5" s="89">
        <f t="shared" si="0"/>
        <v>0.26400000000000001</v>
      </c>
      <c r="K5" s="174">
        <v>1.7600000000000001E-2</v>
      </c>
      <c r="L5" s="174"/>
      <c r="M5" s="948">
        <v>666.2</v>
      </c>
      <c r="N5" s="897">
        <f t="shared" si="1"/>
        <v>243163000.00000003</v>
      </c>
      <c r="O5" s="156">
        <v>2.7090000000000001</v>
      </c>
      <c r="P5" s="156">
        <f t="shared" si="2"/>
        <v>2.4450000000000003</v>
      </c>
      <c r="Q5" s="156">
        <f t="shared" si="3"/>
        <v>2.4880320000000005</v>
      </c>
      <c r="R5" s="952">
        <f t="shared" ref="R5:R54" si="12">O5-P5</f>
        <v>0.26399999999999979</v>
      </c>
      <c r="S5" s="70">
        <f>O5*N5</f>
        <v>658728567.00000012</v>
      </c>
      <c r="T5" s="70">
        <f t="shared" si="4"/>
        <v>594533535.00000012</v>
      </c>
      <c r="U5" s="70">
        <f t="shared" si="5"/>
        <v>604997325.2160002</v>
      </c>
      <c r="V5" s="70">
        <f t="shared" si="6"/>
        <v>53731241.78399992</v>
      </c>
    </row>
    <row r="6" spans="1:22" s="85" customFormat="1" x14ac:dyDescent="0.6">
      <c r="A6" s="60">
        <f t="shared" si="7"/>
        <v>3</v>
      </c>
      <c r="B6" s="85" t="s">
        <v>181</v>
      </c>
      <c r="C6" s="89">
        <f t="shared" si="8"/>
        <v>0.184</v>
      </c>
      <c r="D6" s="89">
        <v>0.19</v>
      </c>
      <c r="E6" s="89">
        <v>0.18</v>
      </c>
      <c r="F6" s="89">
        <f t="shared" si="9"/>
        <v>-1.0000000000000009E-2</v>
      </c>
      <c r="G6" s="89">
        <f t="shared" si="10"/>
        <v>0</v>
      </c>
      <c r="H6" s="89">
        <f t="shared" si="11"/>
        <v>-1.0000000000000009E-2</v>
      </c>
      <c r="I6" s="89"/>
      <c r="J6" s="89">
        <f t="shared" si="0"/>
        <v>0.374</v>
      </c>
      <c r="K6" s="174">
        <v>8.1699999999999995E-2</v>
      </c>
      <c r="L6" s="174"/>
      <c r="M6" s="948">
        <v>7692.2</v>
      </c>
      <c r="N6" s="897">
        <f t="shared" si="1"/>
        <v>2807653000</v>
      </c>
      <c r="O6" s="156">
        <v>2.7090000000000001</v>
      </c>
      <c r="P6" s="156">
        <f t="shared" si="2"/>
        <v>2.335</v>
      </c>
      <c r="Q6" s="156">
        <f t="shared" si="3"/>
        <v>2.5257695</v>
      </c>
      <c r="R6" s="952">
        <f t="shared" si="12"/>
        <v>0.37400000000000011</v>
      </c>
      <c r="S6" s="70">
        <f>O6*N6</f>
        <v>7605931977</v>
      </c>
      <c r="T6" s="70">
        <f t="shared" si="4"/>
        <v>6555869755</v>
      </c>
      <c r="U6" s="70">
        <f t="shared" si="5"/>
        <v>7091484313.9834995</v>
      </c>
      <c r="V6" s="70">
        <f t="shared" si="6"/>
        <v>514447663.01650047</v>
      </c>
    </row>
    <row r="7" spans="1:22" s="85" customFormat="1" x14ac:dyDescent="0.6">
      <c r="A7" s="60">
        <f t="shared" si="7"/>
        <v>4</v>
      </c>
      <c r="B7" s="85" t="s">
        <v>176</v>
      </c>
      <c r="C7" s="89">
        <f t="shared" si="8"/>
        <v>0.184</v>
      </c>
      <c r="D7" s="89">
        <v>0.218</v>
      </c>
      <c r="E7" s="89">
        <v>0.215</v>
      </c>
      <c r="F7" s="89">
        <f t="shared" si="9"/>
        <v>-3.0000000000000027E-3</v>
      </c>
      <c r="G7" s="89">
        <f t="shared" si="10"/>
        <v>0</v>
      </c>
      <c r="H7" s="89">
        <f t="shared" si="11"/>
        <v>-3.0000000000000027E-3</v>
      </c>
      <c r="I7" s="89"/>
      <c r="J7" s="89">
        <f t="shared" si="0"/>
        <v>0.40200000000000002</v>
      </c>
      <c r="K7" s="174">
        <v>9.2600000000000002E-2</v>
      </c>
      <c r="L7" s="174"/>
      <c r="M7" s="948">
        <v>3829.5</v>
      </c>
      <c r="N7" s="897">
        <f t="shared" si="1"/>
        <v>1397767500</v>
      </c>
      <c r="O7" s="156">
        <v>2.2559999999999998</v>
      </c>
      <c r="P7" s="156">
        <f t="shared" si="2"/>
        <v>1.8539999999999996</v>
      </c>
      <c r="Q7" s="156">
        <f t="shared" si="3"/>
        <v>2.0256803999999997</v>
      </c>
      <c r="R7" s="952">
        <f t="shared" si="12"/>
        <v>0.40200000000000014</v>
      </c>
      <c r="S7" s="607">
        <f>O7*N7+R4:R57</f>
        <v>3153363480.4019995</v>
      </c>
      <c r="T7" s="70">
        <f t="shared" si="4"/>
        <v>2591460944.9999995</v>
      </c>
      <c r="U7" s="70">
        <f t="shared" si="5"/>
        <v>2831430228.5069995</v>
      </c>
      <c r="V7" s="70">
        <f t="shared" si="6"/>
        <v>321933251.89499998</v>
      </c>
    </row>
    <row r="8" spans="1:22" s="85" customFormat="1" x14ac:dyDescent="0.6">
      <c r="A8" s="60">
        <f t="shared" si="7"/>
        <v>5</v>
      </c>
      <c r="B8" s="85" t="s">
        <v>142</v>
      </c>
      <c r="C8" s="89">
        <f t="shared" si="8"/>
        <v>0.184</v>
      </c>
      <c r="D8" s="89">
        <v>0.42499999999999999</v>
      </c>
      <c r="E8" s="89">
        <v>0.41699999999999998</v>
      </c>
      <c r="F8" s="89">
        <f t="shared" si="9"/>
        <v>-8.0000000000000071E-3</v>
      </c>
      <c r="G8" s="89">
        <f t="shared" si="10"/>
        <v>0</v>
      </c>
      <c r="H8" s="89">
        <f t="shared" si="11"/>
        <v>-8.0000000000000071E-3</v>
      </c>
      <c r="I8" s="89"/>
      <c r="J8" s="89">
        <f t="shared" si="0"/>
        <v>0.60899999999999999</v>
      </c>
      <c r="K8" s="174">
        <v>8.4400000000000003E-2</v>
      </c>
      <c r="L8" s="174"/>
      <c r="M8" s="948">
        <v>39141.300000000003</v>
      </c>
      <c r="N8" s="897">
        <f t="shared" si="1"/>
        <v>14286574500.000002</v>
      </c>
      <c r="O8" s="156">
        <v>3.2210000000000001</v>
      </c>
      <c r="P8" s="156">
        <f t="shared" si="2"/>
        <v>2.6120000000000001</v>
      </c>
      <c r="Q8" s="156">
        <f t="shared" si="3"/>
        <v>2.8324528</v>
      </c>
      <c r="R8" s="952">
        <f t="shared" si="12"/>
        <v>0.60899999999999999</v>
      </c>
      <c r="S8" s="70">
        <f t="shared" ref="S8:S54" si="13">O8*N8</f>
        <v>46017056464.500008</v>
      </c>
      <c r="T8" s="70">
        <f t="shared" si="4"/>
        <v>37316532594.000008</v>
      </c>
      <c r="U8" s="70">
        <f t="shared" si="5"/>
        <v>40466047944.933609</v>
      </c>
      <c r="V8" s="70">
        <f t="shared" si="6"/>
        <v>5551008519.5663986</v>
      </c>
    </row>
    <row r="9" spans="1:22" s="85" customFormat="1" x14ac:dyDescent="0.6">
      <c r="A9" s="60">
        <f t="shared" si="7"/>
        <v>6</v>
      </c>
      <c r="B9" s="85" t="s">
        <v>175</v>
      </c>
      <c r="C9" s="89">
        <f t="shared" si="8"/>
        <v>0.184</v>
      </c>
      <c r="D9" s="89">
        <v>0.22</v>
      </c>
      <c r="E9" s="89">
        <v>0.22</v>
      </c>
      <c r="F9" s="89">
        <f t="shared" si="9"/>
        <v>0</v>
      </c>
      <c r="G9" s="89">
        <f t="shared" si="10"/>
        <v>0</v>
      </c>
      <c r="H9" s="89">
        <f t="shared" si="11"/>
        <v>0</v>
      </c>
      <c r="I9" s="89"/>
      <c r="J9" s="89">
        <f t="shared" si="0"/>
        <v>0.40400000000000003</v>
      </c>
      <c r="K9" s="174">
        <v>7.4399999999999994E-2</v>
      </c>
      <c r="L9" s="174"/>
      <c r="M9" s="948">
        <v>5828.9</v>
      </c>
      <c r="N9" s="897">
        <f t="shared" si="1"/>
        <v>2127548500</v>
      </c>
      <c r="O9" s="156">
        <v>2.4089999999999998</v>
      </c>
      <c r="P9" s="156">
        <f t="shared" si="2"/>
        <v>2.0049999999999999</v>
      </c>
      <c r="Q9" s="156">
        <f t="shared" si="3"/>
        <v>2.154172</v>
      </c>
      <c r="R9" s="952">
        <f t="shared" si="12"/>
        <v>0.40399999999999991</v>
      </c>
      <c r="S9" s="70">
        <f t="shared" si="13"/>
        <v>5125264336.5</v>
      </c>
      <c r="T9" s="70">
        <f t="shared" si="4"/>
        <v>4265734742.5</v>
      </c>
      <c r="U9" s="70">
        <f t="shared" si="5"/>
        <v>4583105407.342</v>
      </c>
      <c r="V9" s="70">
        <f t="shared" si="6"/>
        <v>542158929.15799999</v>
      </c>
    </row>
    <row r="10" spans="1:22" s="85" customFormat="1" x14ac:dyDescent="0.6">
      <c r="A10" s="60">
        <f t="shared" si="7"/>
        <v>7</v>
      </c>
      <c r="B10" s="85" t="s">
        <v>143</v>
      </c>
      <c r="C10" s="89">
        <f t="shared" si="8"/>
        <v>0.184</v>
      </c>
      <c r="D10" s="89">
        <v>0.25</v>
      </c>
      <c r="E10" s="89">
        <v>0.25</v>
      </c>
      <c r="F10" s="89">
        <f t="shared" si="9"/>
        <v>0</v>
      </c>
      <c r="G10" s="89">
        <f t="shared" si="10"/>
        <v>0</v>
      </c>
      <c r="H10" s="89">
        <f t="shared" si="11"/>
        <v>0</v>
      </c>
      <c r="I10" s="89"/>
      <c r="J10" s="89">
        <f t="shared" si="0"/>
        <v>0.434</v>
      </c>
      <c r="K10" s="174">
        <v>6.3500000000000001E-2</v>
      </c>
      <c r="L10" s="174"/>
      <c r="M10" s="948">
        <v>4357.3</v>
      </c>
      <c r="N10" s="897">
        <f t="shared" si="1"/>
        <v>1590414500</v>
      </c>
      <c r="O10" s="156">
        <v>2.5070000000000001</v>
      </c>
      <c r="P10" s="156">
        <f t="shared" si="2"/>
        <v>2.073</v>
      </c>
      <c r="Q10" s="156">
        <f t="shared" si="3"/>
        <v>2.2046354999999997</v>
      </c>
      <c r="R10" s="952">
        <f t="shared" si="12"/>
        <v>0.43400000000000016</v>
      </c>
      <c r="S10" s="70">
        <f t="shared" si="13"/>
        <v>3987169151.5</v>
      </c>
      <c r="T10" s="70">
        <f t="shared" si="4"/>
        <v>3296929258.5</v>
      </c>
      <c r="U10" s="70">
        <f t="shared" si="5"/>
        <v>3506284266.4147496</v>
      </c>
      <c r="V10" s="70">
        <f t="shared" si="6"/>
        <v>480884885.08525038</v>
      </c>
    </row>
    <row r="11" spans="1:22" s="85" customFormat="1" x14ac:dyDescent="0.6">
      <c r="A11" s="60">
        <f t="shared" si="7"/>
        <v>8</v>
      </c>
      <c r="B11" s="85" t="s">
        <v>172</v>
      </c>
      <c r="C11" s="89">
        <f t="shared" si="8"/>
        <v>0.184</v>
      </c>
      <c r="D11" s="89">
        <v>0.23</v>
      </c>
      <c r="E11" s="89">
        <v>0.23</v>
      </c>
      <c r="F11" s="89">
        <f t="shared" si="9"/>
        <v>0</v>
      </c>
      <c r="G11" s="89">
        <f t="shared" si="10"/>
        <v>0</v>
      </c>
      <c r="H11" s="89">
        <f t="shared" si="11"/>
        <v>0</v>
      </c>
      <c r="I11" s="89"/>
      <c r="J11" s="89">
        <f t="shared" si="0"/>
        <v>0.41400000000000003</v>
      </c>
      <c r="K11" s="174">
        <v>0</v>
      </c>
      <c r="L11" s="174"/>
      <c r="M11" s="948">
        <v>1227.5999999999999</v>
      </c>
      <c r="N11" s="897">
        <f t="shared" si="1"/>
        <v>448073999.99999994</v>
      </c>
      <c r="O11" s="156">
        <v>2.5590000000000002</v>
      </c>
      <c r="P11" s="156">
        <f t="shared" si="2"/>
        <v>2.145</v>
      </c>
      <c r="Q11" s="156">
        <f t="shared" si="3"/>
        <v>2.145</v>
      </c>
      <c r="R11" s="952">
        <f t="shared" si="12"/>
        <v>0.41400000000000015</v>
      </c>
      <c r="S11" s="70">
        <f t="shared" si="13"/>
        <v>1146621366</v>
      </c>
      <c r="T11" s="70">
        <f t="shared" si="4"/>
        <v>961118729.99999988</v>
      </c>
      <c r="U11" s="70">
        <f t="shared" si="5"/>
        <v>961118729.99999988</v>
      </c>
      <c r="V11" s="70">
        <f t="shared" si="6"/>
        <v>185502636.00000012</v>
      </c>
    </row>
    <row r="12" spans="1:22" s="85" customFormat="1" x14ac:dyDescent="0.6">
      <c r="A12" s="60">
        <f t="shared" si="7"/>
        <v>9</v>
      </c>
      <c r="B12" s="85" t="s">
        <v>171</v>
      </c>
      <c r="C12" s="89">
        <f t="shared" si="8"/>
        <v>0.184</v>
      </c>
      <c r="D12" s="89">
        <v>0.23499999999999999</v>
      </c>
      <c r="E12" s="89">
        <v>0.23499999999999999</v>
      </c>
      <c r="F12" s="89">
        <f t="shared" si="9"/>
        <v>0</v>
      </c>
      <c r="G12" s="89">
        <f t="shared" si="10"/>
        <v>0</v>
      </c>
      <c r="H12" s="89">
        <f t="shared" si="11"/>
        <v>0</v>
      </c>
      <c r="I12" s="89"/>
      <c r="J12" s="89">
        <f t="shared" si="0"/>
        <v>0.41899999999999998</v>
      </c>
      <c r="K12" s="174">
        <v>5.7500000000000002E-2</v>
      </c>
      <c r="L12" s="174"/>
      <c r="M12" s="948">
        <v>188.6</v>
      </c>
      <c r="N12" s="897">
        <f t="shared" si="1"/>
        <v>68839000</v>
      </c>
      <c r="O12" s="156">
        <v>2.5590000000000002</v>
      </c>
      <c r="P12" s="156">
        <f t="shared" si="2"/>
        <v>2.14</v>
      </c>
      <c r="Q12" s="156">
        <f t="shared" si="3"/>
        <v>2.2630500000000002</v>
      </c>
      <c r="R12" s="952">
        <f t="shared" si="12"/>
        <v>0.41900000000000004</v>
      </c>
      <c r="S12" s="70">
        <f t="shared" si="13"/>
        <v>176159001</v>
      </c>
      <c r="T12" s="70">
        <f t="shared" si="4"/>
        <v>147315460</v>
      </c>
      <c r="U12" s="70">
        <f t="shared" si="5"/>
        <v>155786098.95000002</v>
      </c>
      <c r="V12" s="70">
        <f t="shared" si="6"/>
        <v>20372902.049999982</v>
      </c>
    </row>
    <row r="13" spans="1:22" s="85" customFormat="1" x14ac:dyDescent="0.6">
      <c r="A13" s="60">
        <f t="shared" si="7"/>
        <v>10</v>
      </c>
      <c r="B13" s="85" t="s">
        <v>144</v>
      </c>
      <c r="C13" s="89">
        <f t="shared" si="8"/>
        <v>0.184</v>
      </c>
      <c r="D13" s="89">
        <v>0.28525</v>
      </c>
      <c r="E13" s="89">
        <v>0.04</v>
      </c>
      <c r="F13" s="89">
        <f t="shared" si="9"/>
        <v>-0.24525</v>
      </c>
      <c r="G13" s="89">
        <f t="shared" si="10"/>
        <v>0</v>
      </c>
      <c r="H13" s="89">
        <f t="shared" si="11"/>
        <v>-0.24525</v>
      </c>
      <c r="I13" s="89"/>
      <c r="J13" s="89">
        <f t="shared" si="0"/>
        <v>0.46925</v>
      </c>
      <c r="K13" s="174">
        <v>6.6500000000000004E-2</v>
      </c>
      <c r="L13" s="174"/>
      <c r="M13" s="948">
        <v>20523.7</v>
      </c>
      <c r="N13" s="897">
        <f t="shared" si="1"/>
        <v>7491150500</v>
      </c>
      <c r="O13" s="156">
        <v>2.4380000000000002</v>
      </c>
      <c r="P13" s="156">
        <f t="shared" si="2"/>
        <v>1.9687500000000002</v>
      </c>
      <c r="Q13" s="156">
        <f t="shared" si="3"/>
        <v>2.0996718750000003</v>
      </c>
      <c r="R13" s="952">
        <f t="shared" si="12"/>
        <v>0.46924999999999994</v>
      </c>
      <c r="S13" s="70">
        <f t="shared" si="13"/>
        <v>18263424919</v>
      </c>
      <c r="T13" s="70">
        <f t="shared" si="4"/>
        <v>14748202546.875002</v>
      </c>
      <c r="U13" s="70">
        <f t="shared" si="5"/>
        <v>15728958016.242189</v>
      </c>
      <c r="V13" s="70">
        <f t="shared" si="6"/>
        <v>2534466902.7578106</v>
      </c>
    </row>
    <row r="14" spans="1:22" s="85" customFormat="1" x14ac:dyDescent="0.6">
      <c r="A14" s="60">
        <f t="shared" si="7"/>
        <v>11</v>
      </c>
      <c r="B14" s="85" t="s">
        <v>154</v>
      </c>
      <c r="C14" s="89">
        <f t="shared" si="8"/>
        <v>0.184</v>
      </c>
      <c r="D14" s="89">
        <v>0.193</v>
      </c>
      <c r="E14" s="89">
        <v>0.26800000000000002</v>
      </c>
      <c r="F14" s="89">
        <f t="shared" si="9"/>
        <v>7.5000000000000011E-2</v>
      </c>
      <c r="G14" s="89">
        <f t="shared" si="10"/>
        <v>7.5000000000000011E-2</v>
      </c>
      <c r="H14" s="89">
        <f t="shared" si="11"/>
        <v>0</v>
      </c>
      <c r="I14" s="89"/>
      <c r="J14" s="89">
        <f t="shared" si="0"/>
        <v>0.377</v>
      </c>
      <c r="K14" s="174">
        <v>6.9599999999999995E-2</v>
      </c>
      <c r="L14" s="174"/>
      <c r="M14" s="948">
        <v>12725.1</v>
      </c>
      <c r="N14" s="897">
        <f t="shared" si="1"/>
        <v>4644661500</v>
      </c>
      <c r="O14" s="156">
        <v>2.42</v>
      </c>
      <c r="P14" s="156">
        <f t="shared" si="2"/>
        <v>2.0430000000000001</v>
      </c>
      <c r="Q14" s="156">
        <f t="shared" si="3"/>
        <v>2.1851927999999998</v>
      </c>
      <c r="R14" s="952">
        <f t="shared" si="12"/>
        <v>0.37699999999999978</v>
      </c>
      <c r="S14" s="70">
        <f t="shared" si="13"/>
        <v>11240080830</v>
      </c>
      <c r="T14" s="70">
        <f t="shared" si="4"/>
        <v>9489043444.5</v>
      </c>
      <c r="U14" s="70">
        <f t="shared" si="5"/>
        <v>10149480868.2372</v>
      </c>
      <c r="V14" s="70">
        <f t="shared" si="6"/>
        <v>1090599961.7628002</v>
      </c>
    </row>
    <row r="15" spans="1:22" s="85" customFormat="1" x14ac:dyDescent="0.6">
      <c r="A15" s="60">
        <f t="shared" si="7"/>
        <v>12</v>
      </c>
      <c r="B15" s="85" t="s">
        <v>141</v>
      </c>
      <c r="C15" s="89">
        <f t="shared" si="8"/>
        <v>0.184</v>
      </c>
      <c r="D15" s="89">
        <v>0.17</v>
      </c>
      <c r="E15" s="89">
        <v>0.16</v>
      </c>
      <c r="F15" s="89">
        <f t="shared" si="9"/>
        <v>-1.0000000000000009E-2</v>
      </c>
      <c r="G15" s="89">
        <f t="shared" si="10"/>
        <v>0</v>
      </c>
      <c r="H15" s="89">
        <f t="shared" si="11"/>
        <v>-1.0000000000000009E-2</v>
      </c>
      <c r="I15" s="89"/>
      <c r="J15" s="89">
        <f t="shared" si="0"/>
        <v>0.35399999999999998</v>
      </c>
      <c r="K15" s="174">
        <v>4.3499999999999997E-2</v>
      </c>
      <c r="L15" s="174"/>
      <c r="M15" s="948">
        <v>1280.0999999999999</v>
      </c>
      <c r="N15" s="897">
        <f t="shared" si="1"/>
        <v>467236499.99999994</v>
      </c>
      <c r="O15" s="156">
        <v>2.7090000000000001</v>
      </c>
      <c r="P15" s="156">
        <f t="shared" si="2"/>
        <v>2.355</v>
      </c>
      <c r="Q15" s="156">
        <f t="shared" si="3"/>
        <v>2.4574425000000004</v>
      </c>
      <c r="R15" s="952">
        <f t="shared" si="12"/>
        <v>0.35400000000000009</v>
      </c>
      <c r="S15" s="70">
        <f t="shared" si="13"/>
        <v>1265743678.4999998</v>
      </c>
      <c r="T15" s="70">
        <f t="shared" si="4"/>
        <v>1100341957.4999998</v>
      </c>
      <c r="U15" s="70">
        <f t="shared" si="5"/>
        <v>1148206832.6512501</v>
      </c>
      <c r="V15" s="70">
        <f t="shared" si="6"/>
        <v>117536845.84874964</v>
      </c>
    </row>
    <row r="16" spans="1:22" s="85" customFormat="1" x14ac:dyDescent="0.6">
      <c r="A16" s="60">
        <f t="shared" si="7"/>
        <v>13</v>
      </c>
      <c r="B16" s="85" t="s">
        <v>152</v>
      </c>
      <c r="C16" s="89">
        <f t="shared" si="8"/>
        <v>0.184</v>
      </c>
      <c r="D16" s="89">
        <v>0.26</v>
      </c>
      <c r="E16" s="89">
        <v>0.32</v>
      </c>
      <c r="F16" s="89">
        <f t="shared" si="9"/>
        <v>0.06</v>
      </c>
      <c r="G16" s="89">
        <f t="shared" si="10"/>
        <v>0.06</v>
      </c>
      <c r="H16" s="89">
        <f t="shared" si="11"/>
        <v>0</v>
      </c>
      <c r="I16" s="89"/>
      <c r="J16" s="89">
        <f t="shared" si="0"/>
        <v>0.44400000000000001</v>
      </c>
      <c r="K16" s="174">
        <v>6.0100000000000001E-2</v>
      </c>
      <c r="L16" s="174"/>
      <c r="M16" s="948">
        <v>2036.8</v>
      </c>
      <c r="N16" s="897">
        <f t="shared" si="1"/>
        <v>743432000</v>
      </c>
      <c r="O16" s="156">
        <v>2.4809999999999999</v>
      </c>
      <c r="P16" s="156">
        <f t="shared" si="2"/>
        <v>2.0369999999999999</v>
      </c>
      <c r="Q16" s="156">
        <f t="shared" si="3"/>
        <v>2.1594237000000001</v>
      </c>
      <c r="R16" s="952">
        <f t="shared" si="12"/>
        <v>0.44399999999999995</v>
      </c>
      <c r="S16" s="70">
        <f t="shared" si="13"/>
        <v>1844454792</v>
      </c>
      <c r="T16" s="70">
        <f t="shared" si="4"/>
        <v>1514370984</v>
      </c>
      <c r="U16" s="70">
        <f t="shared" si="5"/>
        <v>1605384680.1384001</v>
      </c>
      <c r="V16" s="70">
        <f t="shared" si="6"/>
        <v>239070111.86159992</v>
      </c>
    </row>
    <row r="17" spans="1:22" s="85" customFormat="1" x14ac:dyDescent="0.6">
      <c r="A17" s="60">
        <f t="shared" si="7"/>
        <v>14</v>
      </c>
      <c r="B17" s="85" t="s">
        <v>157</v>
      </c>
      <c r="C17" s="89">
        <f t="shared" si="8"/>
        <v>0.184</v>
      </c>
      <c r="D17" s="89">
        <v>0.20100000000000001</v>
      </c>
      <c r="E17" s="89">
        <v>0.19</v>
      </c>
      <c r="F17" s="89">
        <f t="shared" si="9"/>
        <v>-1.100000000000001E-2</v>
      </c>
      <c r="G17" s="89">
        <f t="shared" si="10"/>
        <v>0</v>
      </c>
      <c r="H17" s="89">
        <f t="shared" si="11"/>
        <v>-1.100000000000001E-2</v>
      </c>
      <c r="I17" s="89"/>
      <c r="J17" s="89">
        <f t="shared" si="0"/>
        <v>0.38500000000000001</v>
      </c>
      <c r="K17" s="174">
        <v>8.1900000000000001E-2</v>
      </c>
      <c r="L17" s="174"/>
      <c r="M17" s="948">
        <v>13052.1</v>
      </c>
      <c r="N17" s="897">
        <f t="shared" si="1"/>
        <v>4764016500</v>
      </c>
      <c r="O17" s="156">
        <v>2.411</v>
      </c>
      <c r="P17" s="156">
        <f t="shared" si="2"/>
        <v>2.0259999999999998</v>
      </c>
      <c r="Q17" s="156">
        <f t="shared" si="3"/>
        <v>2.1919293999999998</v>
      </c>
      <c r="R17" s="952">
        <f t="shared" si="12"/>
        <v>0.38500000000000023</v>
      </c>
      <c r="S17" s="70">
        <f t="shared" si="13"/>
        <v>11486043781.5</v>
      </c>
      <c r="T17" s="70">
        <f t="shared" si="4"/>
        <v>9651897429</v>
      </c>
      <c r="U17" s="70">
        <f t="shared" si="5"/>
        <v>10442387828.435099</v>
      </c>
      <c r="V17" s="70">
        <f t="shared" si="6"/>
        <v>1043655953.0649014</v>
      </c>
    </row>
    <row r="18" spans="1:22" s="85" customFormat="1" x14ac:dyDescent="0.6">
      <c r="A18" s="60">
        <f t="shared" si="7"/>
        <v>15</v>
      </c>
      <c r="B18" s="85" t="s">
        <v>160</v>
      </c>
      <c r="C18" s="89">
        <f t="shared" si="8"/>
        <v>0.184</v>
      </c>
      <c r="D18" s="89">
        <v>0.18</v>
      </c>
      <c r="E18" s="89">
        <v>0.28000000000000003</v>
      </c>
      <c r="F18" s="89">
        <f t="shared" si="9"/>
        <v>0.10000000000000003</v>
      </c>
      <c r="G18" s="89">
        <f t="shared" si="10"/>
        <v>0.10000000000000003</v>
      </c>
      <c r="H18" s="89">
        <f t="shared" si="11"/>
        <v>0</v>
      </c>
      <c r="I18" s="89"/>
      <c r="J18" s="89">
        <f t="shared" si="0"/>
        <v>0.36399999999999999</v>
      </c>
      <c r="K18" s="174">
        <v>7.0000000000000007E-2</v>
      </c>
      <c r="L18" s="174"/>
      <c r="M18" s="948">
        <v>8474.5</v>
      </c>
      <c r="N18" s="897">
        <f t="shared" si="1"/>
        <v>3093192500</v>
      </c>
      <c r="O18" s="156">
        <v>2.411</v>
      </c>
      <c r="P18" s="156">
        <f t="shared" si="2"/>
        <v>2.0470000000000002</v>
      </c>
      <c r="Q18" s="156">
        <f t="shared" si="3"/>
        <v>2.1902900000000001</v>
      </c>
      <c r="R18" s="952">
        <f t="shared" si="12"/>
        <v>0.36399999999999988</v>
      </c>
      <c r="S18" s="70">
        <f t="shared" si="13"/>
        <v>7457687117.5</v>
      </c>
      <c r="T18" s="70">
        <f t="shared" si="4"/>
        <v>6331765047.5</v>
      </c>
      <c r="U18" s="70">
        <f t="shared" si="5"/>
        <v>6774988600.8249998</v>
      </c>
      <c r="V18" s="70">
        <f t="shared" si="6"/>
        <v>682698516.67500019</v>
      </c>
    </row>
    <row r="19" spans="1:22" s="85" customFormat="1" x14ac:dyDescent="0.6">
      <c r="A19" s="60">
        <f t="shared" si="7"/>
        <v>16</v>
      </c>
      <c r="B19" s="85" t="s">
        <v>151</v>
      </c>
      <c r="C19" s="89">
        <f t="shared" si="8"/>
        <v>0.184</v>
      </c>
      <c r="D19" s="89">
        <v>0.22</v>
      </c>
      <c r="E19" s="89">
        <v>0.30499999999999999</v>
      </c>
      <c r="F19" s="89">
        <f t="shared" si="9"/>
        <v>8.4999999999999992E-2</v>
      </c>
      <c r="G19" s="89">
        <f t="shared" si="10"/>
        <v>8.4999999999999992E-2</v>
      </c>
      <c r="H19" s="89">
        <f t="shared" si="11"/>
        <v>0</v>
      </c>
      <c r="I19" s="89"/>
      <c r="J19" s="89">
        <f t="shared" si="0"/>
        <v>0.40400000000000003</v>
      </c>
      <c r="K19" s="174">
        <v>6.7799999999999999E-2</v>
      </c>
      <c r="L19" s="174"/>
      <c r="M19" s="948">
        <v>3146.1</v>
      </c>
      <c r="N19" s="897">
        <f t="shared" si="1"/>
        <v>1148326500</v>
      </c>
      <c r="O19" s="156">
        <v>2.411</v>
      </c>
      <c r="P19" s="156">
        <f t="shared" si="2"/>
        <v>2.0070000000000001</v>
      </c>
      <c r="Q19" s="156">
        <f t="shared" si="3"/>
        <v>2.1430746000000003</v>
      </c>
      <c r="R19" s="952">
        <f t="shared" si="12"/>
        <v>0.40399999999999991</v>
      </c>
      <c r="S19" s="70">
        <f t="shared" si="13"/>
        <v>2768615191.5</v>
      </c>
      <c r="T19" s="70">
        <f t="shared" si="4"/>
        <v>2304691285.5</v>
      </c>
      <c r="U19" s="70">
        <f t="shared" si="5"/>
        <v>2460949354.6569004</v>
      </c>
      <c r="V19" s="70">
        <f t="shared" si="6"/>
        <v>307665836.84309959</v>
      </c>
    </row>
    <row r="20" spans="1:22" s="85" customFormat="1" x14ac:dyDescent="0.6">
      <c r="A20" s="60">
        <f t="shared" si="7"/>
        <v>17</v>
      </c>
      <c r="B20" s="85" t="s">
        <v>168</v>
      </c>
      <c r="C20" s="89">
        <f t="shared" si="8"/>
        <v>0.184</v>
      </c>
      <c r="D20" s="89">
        <v>0.25030000000000002</v>
      </c>
      <c r="E20" s="89">
        <v>0.24</v>
      </c>
      <c r="F20" s="89">
        <f t="shared" si="9"/>
        <v>-1.0300000000000031E-2</v>
      </c>
      <c r="G20" s="89">
        <f t="shared" si="10"/>
        <v>0</v>
      </c>
      <c r="H20" s="89">
        <f t="shared" si="11"/>
        <v>-1.0300000000000031E-2</v>
      </c>
      <c r="I20" s="89"/>
      <c r="J20" s="89">
        <f t="shared" si="0"/>
        <v>0.43430000000000002</v>
      </c>
      <c r="K20" s="174">
        <v>8.2000000000000003E-2</v>
      </c>
      <c r="L20" s="174"/>
      <c r="M20" s="948">
        <v>4248.8</v>
      </c>
      <c r="N20" s="897">
        <f t="shared" si="1"/>
        <v>1550812000</v>
      </c>
      <c r="O20" s="156">
        <v>2.411</v>
      </c>
      <c r="P20" s="156">
        <f t="shared" si="2"/>
        <v>1.9767000000000001</v>
      </c>
      <c r="Q20" s="156">
        <f t="shared" si="3"/>
        <v>2.1387894000000003</v>
      </c>
      <c r="R20" s="952">
        <f t="shared" si="12"/>
        <v>0.43429999999999991</v>
      </c>
      <c r="S20" s="70">
        <f t="shared" si="13"/>
        <v>3739007732</v>
      </c>
      <c r="T20" s="70">
        <f t="shared" si="4"/>
        <v>3065490080.4000001</v>
      </c>
      <c r="U20" s="70">
        <f t="shared" si="5"/>
        <v>3316860266.9928002</v>
      </c>
      <c r="V20" s="70">
        <f t="shared" si="6"/>
        <v>422147465.00719976</v>
      </c>
    </row>
    <row r="21" spans="1:22" s="85" customFormat="1" x14ac:dyDescent="0.6">
      <c r="A21" s="60">
        <f t="shared" si="7"/>
        <v>18</v>
      </c>
      <c r="B21" s="85" t="s">
        <v>167</v>
      </c>
      <c r="C21" s="89">
        <f t="shared" si="8"/>
        <v>0.184</v>
      </c>
      <c r="D21" s="89">
        <v>0.27599999999999997</v>
      </c>
      <c r="E21" s="89">
        <v>0.246</v>
      </c>
      <c r="F21" s="89">
        <f t="shared" si="9"/>
        <v>-2.9999999999999971E-2</v>
      </c>
      <c r="G21" s="89">
        <f t="shared" si="10"/>
        <v>0</v>
      </c>
      <c r="H21" s="89">
        <f t="shared" si="11"/>
        <v>-2.9999999999999971E-2</v>
      </c>
      <c r="I21" s="89"/>
      <c r="J21" s="89">
        <f t="shared" si="0"/>
        <v>0.45999999999999996</v>
      </c>
      <c r="K21" s="174">
        <v>0.06</v>
      </c>
      <c r="L21" s="174"/>
      <c r="M21" s="948">
        <v>5382.8</v>
      </c>
      <c r="N21" s="897">
        <f t="shared" si="1"/>
        <v>1964722000</v>
      </c>
      <c r="O21" s="156">
        <v>2.411</v>
      </c>
      <c r="P21" s="156">
        <f t="shared" si="2"/>
        <v>1.9510000000000001</v>
      </c>
      <c r="Q21" s="156">
        <f t="shared" si="3"/>
        <v>2.06806</v>
      </c>
      <c r="R21" s="952">
        <f t="shared" si="12"/>
        <v>0.45999999999999996</v>
      </c>
      <c r="S21" s="70">
        <f t="shared" si="13"/>
        <v>4736944742</v>
      </c>
      <c r="T21" s="70">
        <f t="shared" si="4"/>
        <v>3833172622</v>
      </c>
      <c r="U21" s="70">
        <f t="shared" si="5"/>
        <v>4063162979.3200002</v>
      </c>
      <c r="V21" s="70">
        <f t="shared" si="6"/>
        <v>673781762.67999983</v>
      </c>
    </row>
    <row r="22" spans="1:22" s="85" customFormat="1" x14ac:dyDescent="0.6">
      <c r="A22" s="60">
        <f t="shared" si="7"/>
        <v>19</v>
      </c>
      <c r="B22" s="85" t="s">
        <v>179</v>
      </c>
      <c r="C22" s="89">
        <f t="shared" si="8"/>
        <v>0.184</v>
      </c>
      <c r="D22" s="89">
        <v>0.20125000000000001</v>
      </c>
      <c r="E22" s="89">
        <v>0.2</v>
      </c>
      <c r="F22" s="89">
        <f t="shared" si="9"/>
        <v>-1.2500000000000011E-3</v>
      </c>
      <c r="G22" s="89">
        <f t="shared" si="10"/>
        <v>0</v>
      </c>
      <c r="H22" s="89">
        <f t="shared" si="11"/>
        <v>-1.2500000000000011E-3</v>
      </c>
      <c r="I22" s="89"/>
      <c r="J22" s="89">
        <f t="shared" si="0"/>
        <v>0.38524999999999998</v>
      </c>
      <c r="K22" s="174">
        <v>8.9099999999999999E-2</v>
      </c>
      <c r="L22" s="174"/>
      <c r="M22" s="948">
        <v>7275.5</v>
      </c>
      <c r="N22" s="897">
        <f t="shared" si="1"/>
        <v>2655557500</v>
      </c>
      <c r="O22" s="156">
        <v>2.2559999999999998</v>
      </c>
      <c r="P22" s="156">
        <f t="shared" si="2"/>
        <v>1.8707499999999997</v>
      </c>
      <c r="Q22" s="156">
        <f t="shared" si="3"/>
        <v>2.0374338249999995</v>
      </c>
      <c r="R22" s="952">
        <f t="shared" si="12"/>
        <v>0.38525000000000009</v>
      </c>
      <c r="S22" s="70">
        <f t="shared" si="13"/>
        <v>5990937719.999999</v>
      </c>
      <c r="T22" s="70">
        <f t="shared" si="4"/>
        <v>4967884193.124999</v>
      </c>
      <c r="U22" s="70">
        <f t="shared" si="5"/>
        <v>5410522674.7324362</v>
      </c>
      <c r="V22" s="70">
        <f t="shared" si="6"/>
        <v>580415045.26756287</v>
      </c>
    </row>
    <row r="23" spans="1:22" s="85" customFormat="1" x14ac:dyDescent="0.6">
      <c r="A23" s="60">
        <f t="shared" si="7"/>
        <v>20</v>
      </c>
      <c r="B23" s="85" t="s">
        <v>158</v>
      </c>
      <c r="C23" s="89">
        <f t="shared" si="8"/>
        <v>0.184</v>
      </c>
      <c r="D23" s="89">
        <v>0.3</v>
      </c>
      <c r="E23" s="89">
        <v>0.3</v>
      </c>
      <c r="F23" s="89">
        <f t="shared" si="9"/>
        <v>0</v>
      </c>
      <c r="G23" s="89">
        <f t="shared" si="10"/>
        <v>0</v>
      </c>
      <c r="H23" s="89">
        <f t="shared" si="11"/>
        <v>0</v>
      </c>
      <c r="I23" s="89"/>
      <c r="J23" s="89">
        <f t="shared" si="0"/>
        <v>0.48399999999999999</v>
      </c>
      <c r="K23" s="174">
        <v>5.5E-2</v>
      </c>
      <c r="L23" s="174"/>
      <c r="M23" s="948">
        <v>1951</v>
      </c>
      <c r="N23" s="897">
        <f t="shared" si="1"/>
        <v>712115000</v>
      </c>
      <c r="O23" s="156">
        <v>2.5070000000000001</v>
      </c>
      <c r="P23" s="156">
        <f t="shared" si="2"/>
        <v>2.0230000000000001</v>
      </c>
      <c r="Q23" s="156">
        <f t="shared" si="3"/>
        <v>2.1342650000000001</v>
      </c>
      <c r="R23" s="952">
        <f t="shared" si="12"/>
        <v>0.48399999999999999</v>
      </c>
      <c r="S23" s="70">
        <f t="shared" si="13"/>
        <v>1785272305</v>
      </c>
      <c r="T23" s="70">
        <f t="shared" si="4"/>
        <v>1440608645</v>
      </c>
      <c r="U23" s="70">
        <f t="shared" si="5"/>
        <v>1519842120.4750001</v>
      </c>
      <c r="V23" s="70">
        <f t="shared" si="6"/>
        <v>265430184.52499986</v>
      </c>
    </row>
    <row r="24" spans="1:22" s="85" customFormat="1" x14ac:dyDescent="0.6">
      <c r="A24" s="60">
        <f t="shared" si="7"/>
        <v>21</v>
      </c>
      <c r="B24" s="85" t="s">
        <v>150</v>
      </c>
      <c r="C24" s="89">
        <f t="shared" si="8"/>
        <v>0.184</v>
      </c>
      <c r="D24" s="89">
        <v>0.30299999999999999</v>
      </c>
      <c r="E24" s="89">
        <v>0.251</v>
      </c>
      <c r="F24" s="89">
        <f t="shared" si="9"/>
        <v>-5.1999999999999991E-2</v>
      </c>
      <c r="G24" s="89">
        <f t="shared" si="10"/>
        <v>0</v>
      </c>
      <c r="H24" s="89">
        <f t="shared" si="11"/>
        <v>-5.1999999999999991E-2</v>
      </c>
      <c r="I24" s="89"/>
      <c r="J24" s="89">
        <f t="shared" si="0"/>
        <v>0.48699999999999999</v>
      </c>
      <c r="K24" s="174">
        <v>0.06</v>
      </c>
      <c r="L24" s="174"/>
      <c r="M24" s="948">
        <v>5726.1</v>
      </c>
      <c r="N24" s="897">
        <f t="shared" si="1"/>
        <v>2090026500.0000002</v>
      </c>
      <c r="O24" s="156">
        <v>2.5590000000000002</v>
      </c>
      <c r="P24" s="156">
        <f t="shared" si="2"/>
        <v>2.0720000000000001</v>
      </c>
      <c r="Q24" s="156">
        <f t="shared" si="3"/>
        <v>2.1963200000000001</v>
      </c>
      <c r="R24" s="952">
        <f t="shared" si="12"/>
        <v>0.4870000000000001</v>
      </c>
      <c r="S24" s="70">
        <f t="shared" si="13"/>
        <v>5348377813.500001</v>
      </c>
      <c r="T24" s="70">
        <f t="shared" si="4"/>
        <v>4330534908.000001</v>
      </c>
      <c r="U24" s="70">
        <f t="shared" si="5"/>
        <v>4590367002.4800005</v>
      </c>
      <c r="V24" s="70">
        <f t="shared" si="6"/>
        <v>758010811.02000046</v>
      </c>
    </row>
    <row r="25" spans="1:22" s="85" customFormat="1" x14ac:dyDescent="0.6">
      <c r="A25" s="60">
        <f t="shared" si="7"/>
        <v>22</v>
      </c>
      <c r="B25" s="85" t="s">
        <v>166</v>
      </c>
      <c r="C25" s="89">
        <f t="shared" si="8"/>
        <v>0.184</v>
      </c>
      <c r="D25" s="89">
        <v>0.24</v>
      </c>
      <c r="E25" s="89">
        <v>0.24</v>
      </c>
      <c r="F25" s="89">
        <f t="shared" si="9"/>
        <v>0</v>
      </c>
      <c r="G25" s="89">
        <f t="shared" si="10"/>
        <v>0</v>
      </c>
      <c r="H25" s="89">
        <f t="shared" si="11"/>
        <v>0</v>
      </c>
      <c r="I25" s="89"/>
      <c r="J25" s="89">
        <f t="shared" si="0"/>
        <v>0.42399999999999999</v>
      </c>
      <c r="K25" s="174">
        <v>6.25E-2</v>
      </c>
      <c r="L25" s="174"/>
      <c r="M25" s="948">
        <v>6708.5</v>
      </c>
      <c r="N25" s="897">
        <f t="shared" si="1"/>
        <v>2448602500</v>
      </c>
      <c r="O25" s="156">
        <v>2.4620000000000002</v>
      </c>
      <c r="P25" s="156">
        <f t="shared" si="2"/>
        <v>2.0380000000000003</v>
      </c>
      <c r="Q25" s="156">
        <f t="shared" si="3"/>
        <v>2.165375</v>
      </c>
      <c r="R25" s="952">
        <f t="shared" si="12"/>
        <v>0.42399999999999993</v>
      </c>
      <c r="S25" s="70">
        <f t="shared" si="13"/>
        <v>6028459355</v>
      </c>
      <c r="T25" s="70">
        <f t="shared" si="4"/>
        <v>4990251895.000001</v>
      </c>
      <c r="U25" s="70">
        <f t="shared" si="5"/>
        <v>5302142638.4375</v>
      </c>
      <c r="V25" s="70">
        <f t="shared" si="6"/>
        <v>726316716.5625</v>
      </c>
    </row>
    <row r="26" spans="1:22" s="85" customFormat="1" x14ac:dyDescent="0.6">
      <c r="A26" s="60">
        <f t="shared" si="7"/>
        <v>23</v>
      </c>
      <c r="B26" s="85" t="s">
        <v>155</v>
      </c>
      <c r="C26" s="89">
        <f t="shared" si="8"/>
        <v>0.184</v>
      </c>
      <c r="D26" s="89">
        <v>0.19</v>
      </c>
      <c r="E26" s="89">
        <v>0.26300000000000001</v>
      </c>
      <c r="F26" s="89">
        <f t="shared" si="9"/>
        <v>7.3000000000000009E-2</v>
      </c>
      <c r="G26" s="89">
        <f t="shared" si="10"/>
        <v>7.3000000000000009E-2</v>
      </c>
      <c r="H26" s="89">
        <f t="shared" si="11"/>
        <v>0</v>
      </c>
      <c r="I26" s="89"/>
      <c r="J26" s="89">
        <f t="shared" si="0"/>
        <v>0.374</v>
      </c>
      <c r="K26" s="174">
        <v>0.06</v>
      </c>
      <c r="L26" s="174"/>
      <c r="M26" s="948">
        <v>12290.2</v>
      </c>
      <c r="N26" s="897">
        <f t="shared" si="1"/>
        <v>4485923000</v>
      </c>
      <c r="O26" s="156">
        <v>2.411</v>
      </c>
      <c r="P26" s="156">
        <f t="shared" si="2"/>
        <v>2.0369999999999999</v>
      </c>
      <c r="Q26" s="156">
        <f t="shared" si="3"/>
        <v>2.1592199999999999</v>
      </c>
      <c r="R26" s="952">
        <f t="shared" si="12"/>
        <v>0.37400000000000011</v>
      </c>
      <c r="S26" s="70">
        <f t="shared" si="13"/>
        <v>10815560353</v>
      </c>
      <c r="T26" s="70">
        <f t="shared" si="4"/>
        <v>9137825151</v>
      </c>
      <c r="U26" s="70">
        <f t="shared" si="5"/>
        <v>9686094660.0599995</v>
      </c>
      <c r="V26" s="70">
        <f t="shared" si="6"/>
        <v>1129465692.9400005</v>
      </c>
    </row>
    <row r="27" spans="1:22" s="85" customFormat="1" x14ac:dyDescent="0.6">
      <c r="A27" s="60">
        <f t="shared" si="7"/>
        <v>24</v>
      </c>
      <c r="B27" s="85" t="s">
        <v>162</v>
      </c>
      <c r="C27" s="89">
        <f t="shared" si="8"/>
        <v>0.184</v>
      </c>
      <c r="D27" s="89">
        <v>0.28600000000000003</v>
      </c>
      <c r="E27" s="89">
        <v>0.28499999999999998</v>
      </c>
      <c r="F27" s="89">
        <f t="shared" si="9"/>
        <v>-1.0000000000000564E-3</v>
      </c>
      <c r="G27" s="89">
        <f t="shared" si="10"/>
        <v>0</v>
      </c>
      <c r="H27" s="89">
        <f t="shared" si="11"/>
        <v>-1.0000000000000564E-3</v>
      </c>
      <c r="I27" s="89"/>
      <c r="J27" s="89">
        <f t="shared" si="0"/>
        <v>0.47000000000000003</v>
      </c>
      <c r="K27" s="174">
        <v>7.1999999999999995E-2</v>
      </c>
      <c r="L27" s="174"/>
      <c r="M27" s="948">
        <v>6483.2</v>
      </c>
      <c r="N27" s="897">
        <f t="shared" si="1"/>
        <v>2366368000</v>
      </c>
      <c r="O27" s="156">
        <v>2.3980000000000001</v>
      </c>
      <c r="P27" s="156">
        <f t="shared" si="2"/>
        <v>1.9280000000000002</v>
      </c>
      <c r="Q27" s="156">
        <f t="shared" si="3"/>
        <v>2.0668160000000002</v>
      </c>
      <c r="R27" s="952">
        <f t="shared" si="12"/>
        <v>0.47</v>
      </c>
      <c r="S27" s="70">
        <f t="shared" si="13"/>
        <v>5674550464</v>
      </c>
      <c r="T27" s="70">
        <f t="shared" si="4"/>
        <v>4562357504</v>
      </c>
      <c r="U27" s="70">
        <f t="shared" si="5"/>
        <v>4890847244.2880001</v>
      </c>
      <c r="V27" s="70">
        <f t="shared" si="6"/>
        <v>783703219.71199989</v>
      </c>
    </row>
    <row r="28" spans="1:22" s="85" customFormat="1" x14ac:dyDescent="0.6">
      <c r="A28" s="60">
        <f t="shared" si="7"/>
        <v>25</v>
      </c>
      <c r="B28" s="85" t="s">
        <v>183</v>
      </c>
      <c r="C28" s="89">
        <f t="shared" si="8"/>
        <v>0.184</v>
      </c>
      <c r="D28" s="89">
        <v>0.184</v>
      </c>
      <c r="E28" s="89">
        <v>0.18</v>
      </c>
      <c r="F28" s="89">
        <f t="shared" si="9"/>
        <v>-4.0000000000000036E-3</v>
      </c>
      <c r="G28" s="89">
        <f t="shared" si="10"/>
        <v>0</v>
      </c>
      <c r="H28" s="89">
        <f t="shared" si="11"/>
        <v>-4.0000000000000036E-3</v>
      </c>
      <c r="I28" s="89"/>
      <c r="J28" s="89">
        <f t="shared" si="0"/>
        <v>0.36799999999999999</v>
      </c>
      <c r="K28" s="174">
        <v>7.0699999999999999E-2</v>
      </c>
      <c r="L28" s="174"/>
      <c r="M28" s="948">
        <v>4490.6000000000004</v>
      </c>
      <c r="N28" s="897">
        <f t="shared" si="1"/>
        <v>1639069000.0000002</v>
      </c>
      <c r="O28" s="156">
        <v>2.2559999999999998</v>
      </c>
      <c r="P28" s="156">
        <f t="shared" si="2"/>
        <v>1.8879999999999999</v>
      </c>
      <c r="Q28" s="156">
        <f t="shared" si="3"/>
        <v>2.0214816</v>
      </c>
      <c r="R28" s="952">
        <f t="shared" si="12"/>
        <v>0.36799999999999988</v>
      </c>
      <c r="S28" s="70">
        <f t="shared" si="13"/>
        <v>3697739664</v>
      </c>
      <c r="T28" s="70">
        <f t="shared" si="4"/>
        <v>3094562272.0000005</v>
      </c>
      <c r="U28" s="70">
        <f t="shared" si="5"/>
        <v>3313347824.6304007</v>
      </c>
      <c r="V28" s="70">
        <f t="shared" si="6"/>
        <v>384391839.36959934</v>
      </c>
    </row>
    <row r="29" spans="1:22" s="85" customFormat="1" x14ac:dyDescent="0.6">
      <c r="A29" s="60">
        <f t="shared" si="7"/>
        <v>26</v>
      </c>
      <c r="B29" s="85" t="s">
        <v>184</v>
      </c>
      <c r="C29" s="89">
        <f t="shared" si="8"/>
        <v>0.184</v>
      </c>
      <c r="D29" s="89">
        <v>0.17300000000000001</v>
      </c>
      <c r="E29" s="89">
        <v>0.17</v>
      </c>
      <c r="F29" s="89">
        <f t="shared" si="9"/>
        <v>-3.0000000000000027E-3</v>
      </c>
      <c r="G29" s="89">
        <f t="shared" si="10"/>
        <v>0</v>
      </c>
      <c r="H29" s="89">
        <f t="shared" si="11"/>
        <v>-3.0000000000000027E-3</v>
      </c>
      <c r="I29" s="89"/>
      <c r="J29" s="89">
        <f t="shared" si="0"/>
        <v>0.35699999999999998</v>
      </c>
      <c r="K29" s="174">
        <v>7.8100000000000003E-2</v>
      </c>
      <c r="L29" s="174"/>
      <c r="M29" s="948">
        <v>7336.1</v>
      </c>
      <c r="N29" s="897">
        <f t="shared" si="1"/>
        <v>2677676500</v>
      </c>
      <c r="O29" s="156">
        <v>2.411</v>
      </c>
      <c r="P29" s="156">
        <f t="shared" si="2"/>
        <v>2.0540000000000003</v>
      </c>
      <c r="Q29" s="156">
        <f t="shared" si="3"/>
        <v>2.2144174000000003</v>
      </c>
      <c r="R29" s="952">
        <f t="shared" si="12"/>
        <v>0.35699999999999976</v>
      </c>
      <c r="S29" s="70">
        <f t="shared" si="13"/>
        <v>6455878041.5</v>
      </c>
      <c r="T29" s="70">
        <f t="shared" si="4"/>
        <v>5499947531.000001</v>
      </c>
      <c r="U29" s="70">
        <f t="shared" si="5"/>
        <v>5929493433.1711006</v>
      </c>
      <c r="V29" s="70">
        <f t="shared" si="6"/>
        <v>526384608.32889938</v>
      </c>
    </row>
    <row r="30" spans="1:22" s="85" customFormat="1" x14ac:dyDescent="0.6">
      <c r="A30" s="60">
        <f t="shared" si="7"/>
        <v>27</v>
      </c>
      <c r="B30" s="85" t="s">
        <v>164</v>
      </c>
      <c r="C30" s="89">
        <f t="shared" si="8"/>
        <v>0.184</v>
      </c>
      <c r="D30" s="89">
        <v>0.27</v>
      </c>
      <c r="E30" s="89">
        <v>0.315</v>
      </c>
      <c r="F30" s="89">
        <f t="shared" si="9"/>
        <v>4.4999999999999984E-2</v>
      </c>
      <c r="G30" s="89">
        <f t="shared" si="10"/>
        <v>4.4999999999999984E-2</v>
      </c>
      <c r="H30" s="89">
        <f t="shared" si="11"/>
        <v>0</v>
      </c>
      <c r="I30" s="89"/>
      <c r="J30" s="89">
        <f t="shared" si="0"/>
        <v>0.45400000000000001</v>
      </c>
      <c r="K30" s="174">
        <v>0</v>
      </c>
      <c r="L30" s="174"/>
      <c r="M30" s="948">
        <v>2017</v>
      </c>
      <c r="N30" s="897">
        <f t="shared" si="1"/>
        <v>736205000</v>
      </c>
      <c r="O30" s="156">
        <v>2.4809999999999999</v>
      </c>
      <c r="P30" s="156">
        <f t="shared" si="2"/>
        <v>2.0269999999999997</v>
      </c>
      <c r="Q30" s="156">
        <f t="shared" si="3"/>
        <v>2.0269999999999997</v>
      </c>
      <c r="R30" s="952">
        <f t="shared" si="12"/>
        <v>0.45400000000000018</v>
      </c>
      <c r="S30" s="70">
        <f t="shared" si="13"/>
        <v>1826524605</v>
      </c>
      <c r="T30" s="70">
        <f t="shared" si="4"/>
        <v>1492287534.9999998</v>
      </c>
      <c r="U30" s="70">
        <f t="shared" si="5"/>
        <v>1492287534.9999998</v>
      </c>
      <c r="V30" s="70">
        <f t="shared" si="6"/>
        <v>334237070.00000024</v>
      </c>
    </row>
    <row r="31" spans="1:22" s="85" customFormat="1" x14ac:dyDescent="0.6">
      <c r="A31" s="60">
        <f t="shared" si="7"/>
        <v>28</v>
      </c>
      <c r="B31" s="85" t="s">
        <v>165</v>
      </c>
      <c r="C31" s="89">
        <f t="shared" si="8"/>
        <v>0.184</v>
      </c>
      <c r="D31" s="89">
        <v>0.26500000000000001</v>
      </c>
      <c r="E31" s="89">
        <v>0.28399999999999997</v>
      </c>
      <c r="F31" s="89">
        <f t="shared" si="9"/>
        <v>1.8999999999999961E-2</v>
      </c>
      <c r="G31" s="89">
        <f t="shared" si="10"/>
        <v>1.8999999999999961E-2</v>
      </c>
      <c r="H31" s="89">
        <f t="shared" si="11"/>
        <v>0</v>
      </c>
      <c r="I31" s="89"/>
      <c r="J31" s="89">
        <f t="shared" si="0"/>
        <v>0.44900000000000001</v>
      </c>
      <c r="K31" s="174">
        <v>6.8000000000000005E-2</v>
      </c>
      <c r="L31" s="174"/>
      <c r="M31" s="948">
        <v>2085</v>
      </c>
      <c r="N31" s="897">
        <f t="shared" si="1"/>
        <v>761025000</v>
      </c>
      <c r="O31" s="156">
        <v>2.411</v>
      </c>
      <c r="P31" s="156">
        <f t="shared" si="2"/>
        <v>1.962</v>
      </c>
      <c r="Q31" s="156">
        <f t="shared" si="3"/>
        <v>2.0954160000000002</v>
      </c>
      <c r="R31" s="952">
        <f t="shared" si="12"/>
        <v>0.44900000000000007</v>
      </c>
      <c r="S31" s="70">
        <f t="shared" si="13"/>
        <v>1834831275</v>
      </c>
      <c r="T31" s="70">
        <f t="shared" si="4"/>
        <v>1493131050</v>
      </c>
      <c r="U31" s="70">
        <f t="shared" si="5"/>
        <v>1594663961.4000001</v>
      </c>
      <c r="V31" s="70">
        <f t="shared" si="6"/>
        <v>240167313.5999999</v>
      </c>
    </row>
    <row r="32" spans="1:22" s="85" customFormat="1" x14ac:dyDescent="0.6">
      <c r="A32" s="60">
        <f t="shared" si="7"/>
        <v>29</v>
      </c>
      <c r="B32" s="85" t="s">
        <v>147</v>
      </c>
      <c r="C32" s="89">
        <f t="shared" si="8"/>
        <v>0.184</v>
      </c>
      <c r="D32" s="89">
        <v>0.23804999999999998</v>
      </c>
      <c r="E32" s="89">
        <v>0.23</v>
      </c>
      <c r="F32" s="89">
        <f t="shared" si="9"/>
        <v>-8.0499999999999738E-3</v>
      </c>
      <c r="G32" s="89">
        <f t="shared" si="10"/>
        <v>0</v>
      </c>
      <c r="H32" s="89">
        <f t="shared" si="11"/>
        <v>-8.0499999999999738E-3</v>
      </c>
      <c r="I32" s="89"/>
      <c r="J32" s="89">
        <f t="shared" si="0"/>
        <v>0.42204999999999998</v>
      </c>
      <c r="K32" s="174">
        <v>7.9399999999999998E-2</v>
      </c>
      <c r="L32" s="174"/>
      <c r="M32" s="948">
        <v>2926.3</v>
      </c>
      <c r="N32" s="897">
        <f t="shared" si="1"/>
        <v>1068099500</v>
      </c>
      <c r="O32" s="156">
        <v>2.7090000000000001</v>
      </c>
      <c r="P32" s="156">
        <f t="shared" si="2"/>
        <v>2.28695</v>
      </c>
      <c r="Q32" s="156">
        <f t="shared" si="3"/>
        <v>2.4685338299999997</v>
      </c>
      <c r="R32" s="952">
        <f t="shared" si="12"/>
        <v>0.42205000000000004</v>
      </c>
      <c r="S32" s="70">
        <f t="shared" si="13"/>
        <v>2893481545.5</v>
      </c>
      <c r="T32" s="70">
        <f t="shared" si="4"/>
        <v>2442690151.5250001</v>
      </c>
      <c r="U32" s="70">
        <f t="shared" si="5"/>
        <v>2636639749.5560846</v>
      </c>
      <c r="V32" s="70">
        <f t="shared" si="6"/>
        <v>256841795.94391537</v>
      </c>
    </row>
    <row r="33" spans="1:22" s="85" customFormat="1" x14ac:dyDescent="0.6">
      <c r="A33" s="60">
        <f t="shared" si="7"/>
        <v>30</v>
      </c>
      <c r="B33" s="85" t="s">
        <v>170</v>
      </c>
      <c r="C33" s="89">
        <f t="shared" si="8"/>
        <v>0.184</v>
      </c>
      <c r="D33" s="89">
        <v>0.23824999999999999</v>
      </c>
      <c r="E33" s="89">
        <v>0.222</v>
      </c>
      <c r="F33" s="89">
        <f t="shared" si="9"/>
        <v>-1.6249999999999987E-2</v>
      </c>
      <c r="G33" s="89">
        <f t="shared" si="10"/>
        <v>0</v>
      </c>
      <c r="H33" s="89">
        <f t="shared" si="11"/>
        <v>-1.6249999999999987E-2</v>
      </c>
      <c r="I33" s="89"/>
      <c r="J33" s="89">
        <f t="shared" si="0"/>
        <v>0.42225000000000001</v>
      </c>
      <c r="K33" s="174">
        <v>0</v>
      </c>
      <c r="L33" s="174"/>
      <c r="M33" s="948">
        <v>1603.1</v>
      </c>
      <c r="N33" s="897">
        <f t="shared" si="1"/>
        <v>585131500</v>
      </c>
      <c r="O33" s="156">
        <v>2.5070000000000001</v>
      </c>
      <c r="P33" s="156">
        <f t="shared" si="2"/>
        <v>2.0847500000000001</v>
      </c>
      <c r="Q33" s="156">
        <f t="shared" si="3"/>
        <v>2.0847500000000001</v>
      </c>
      <c r="R33" s="952">
        <f t="shared" si="12"/>
        <v>0.42225000000000001</v>
      </c>
      <c r="S33" s="70">
        <f t="shared" si="13"/>
        <v>1466924670.5</v>
      </c>
      <c r="T33" s="70">
        <f t="shared" si="4"/>
        <v>1219852894.625</v>
      </c>
      <c r="U33" s="70">
        <f t="shared" si="5"/>
        <v>1219852894.625</v>
      </c>
      <c r="V33" s="70">
        <f t="shared" si="6"/>
        <v>247071775.875</v>
      </c>
    </row>
    <row r="34" spans="1:22" s="85" customFormat="1" x14ac:dyDescent="0.6">
      <c r="A34" s="60">
        <f t="shared" si="7"/>
        <v>31</v>
      </c>
      <c r="B34" s="85" t="s">
        <v>187</v>
      </c>
      <c r="C34" s="89">
        <f t="shared" si="8"/>
        <v>0.184</v>
      </c>
      <c r="D34" s="89">
        <v>0.14499999999999999</v>
      </c>
      <c r="E34" s="89">
        <v>0.105</v>
      </c>
      <c r="F34" s="89">
        <f t="shared" si="9"/>
        <v>-3.9999999999999994E-2</v>
      </c>
      <c r="G34" s="89">
        <f t="shared" si="10"/>
        <v>0</v>
      </c>
      <c r="H34" s="89">
        <f t="shared" si="11"/>
        <v>-3.9999999999999994E-2</v>
      </c>
      <c r="I34" s="89"/>
      <c r="J34" s="89">
        <f t="shared" si="0"/>
        <v>0.32899999999999996</v>
      </c>
      <c r="K34" s="174">
        <v>6.9699999999999998E-2</v>
      </c>
      <c r="L34" s="174"/>
      <c r="M34" s="948">
        <v>10819.7</v>
      </c>
      <c r="N34" s="897">
        <f t="shared" si="1"/>
        <v>3949190500.0000005</v>
      </c>
      <c r="O34" s="156">
        <v>2.5590000000000002</v>
      </c>
      <c r="P34" s="156">
        <f t="shared" si="2"/>
        <v>2.2300000000000004</v>
      </c>
      <c r="Q34" s="156">
        <f t="shared" si="3"/>
        <v>2.3854310000000005</v>
      </c>
      <c r="R34" s="952">
        <f t="shared" si="12"/>
        <v>0.32899999999999974</v>
      </c>
      <c r="S34" s="70">
        <f t="shared" si="13"/>
        <v>10105978489.500002</v>
      </c>
      <c r="T34" s="70">
        <f t="shared" si="4"/>
        <v>8806694815.0000019</v>
      </c>
      <c r="U34" s="70">
        <f t="shared" si="5"/>
        <v>9420521443.6055031</v>
      </c>
      <c r="V34" s="70">
        <f t="shared" si="6"/>
        <v>685457045.89449883</v>
      </c>
    </row>
    <row r="35" spans="1:22" s="85" customFormat="1" x14ac:dyDescent="0.6">
      <c r="A35" s="60">
        <f t="shared" si="7"/>
        <v>32</v>
      </c>
      <c r="B35" s="85" t="s">
        <v>182</v>
      </c>
      <c r="C35" s="89">
        <f t="shared" si="8"/>
        <v>0.184</v>
      </c>
      <c r="D35" s="89">
        <v>0.18875</v>
      </c>
      <c r="E35" s="89">
        <v>0.17</v>
      </c>
      <c r="F35" s="89">
        <f t="shared" si="9"/>
        <v>-1.8749999999999989E-2</v>
      </c>
      <c r="G35" s="89">
        <f t="shared" si="10"/>
        <v>0</v>
      </c>
      <c r="H35" s="89">
        <f t="shared" si="11"/>
        <v>-1.8749999999999989E-2</v>
      </c>
      <c r="I35" s="89"/>
      <c r="J35" s="89">
        <f t="shared" si="0"/>
        <v>0.37275000000000003</v>
      </c>
      <c r="K35" s="174">
        <v>7.3499999999999996E-2</v>
      </c>
      <c r="L35" s="174"/>
      <c r="M35" s="948">
        <v>2611.3000000000002</v>
      </c>
      <c r="N35" s="897">
        <f t="shared" si="1"/>
        <v>953124500.00000012</v>
      </c>
      <c r="O35" s="156">
        <v>2.2559999999999998</v>
      </c>
      <c r="P35" s="156">
        <f t="shared" si="2"/>
        <v>1.8832499999999999</v>
      </c>
      <c r="Q35" s="156">
        <f t="shared" si="3"/>
        <v>2.0216688749999996</v>
      </c>
      <c r="R35" s="952">
        <f t="shared" si="12"/>
        <v>0.37274999999999991</v>
      </c>
      <c r="S35" s="70">
        <f t="shared" si="13"/>
        <v>2150248872</v>
      </c>
      <c r="T35" s="70">
        <f t="shared" si="4"/>
        <v>1794971714.625</v>
      </c>
      <c r="U35" s="70">
        <f t="shared" si="5"/>
        <v>1926902135.6499374</v>
      </c>
      <c r="V35" s="70">
        <f t="shared" si="6"/>
        <v>223346736.35006261</v>
      </c>
    </row>
    <row r="36" spans="1:22" s="85" customFormat="1" x14ac:dyDescent="0.6">
      <c r="A36" s="60">
        <f t="shared" si="7"/>
        <v>33</v>
      </c>
      <c r="B36" s="85" t="s">
        <v>140</v>
      </c>
      <c r="C36" s="89">
        <f t="shared" si="8"/>
        <v>0.184</v>
      </c>
      <c r="D36" s="89">
        <v>0.25800000000000001</v>
      </c>
      <c r="E36" s="89">
        <v>0.08</v>
      </c>
      <c r="F36" s="89">
        <f t="shared" si="9"/>
        <v>-0.17799999999999999</v>
      </c>
      <c r="G36" s="89">
        <f t="shared" si="10"/>
        <v>0</v>
      </c>
      <c r="H36" s="89">
        <f t="shared" si="11"/>
        <v>-0.17799999999999999</v>
      </c>
      <c r="I36" s="89"/>
      <c r="J36" s="89">
        <f t="shared" ref="J36:J54" si="14">D36+C36</f>
        <v>0.442</v>
      </c>
      <c r="K36" s="174">
        <v>8.48E-2</v>
      </c>
      <c r="L36" s="174"/>
      <c r="M36" s="948">
        <v>15034.7</v>
      </c>
      <c r="N36" s="897">
        <f t="shared" ref="N36:N54" si="15">M36*365*1000</f>
        <v>5487665500</v>
      </c>
      <c r="O36" s="156">
        <v>2.6669999999999998</v>
      </c>
      <c r="P36" s="156">
        <f t="shared" ref="P36:P54" si="16">O36-J36</f>
        <v>2.2249999999999996</v>
      </c>
      <c r="Q36" s="156">
        <f t="shared" ref="Q36:Q54" si="17">P36*(1+K36)</f>
        <v>2.4136799999999994</v>
      </c>
      <c r="R36" s="952">
        <f t="shared" si="12"/>
        <v>0.44200000000000017</v>
      </c>
      <c r="S36" s="70">
        <f t="shared" si="13"/>
        <v>14635603888.499998</v>
      </c>
      <c r="T36" s="70">
        <f t="shared" ref="T36:T54" si="18">P36*N36</f>
        <v>12210055737.499998</v>
      </c>
      <c r="U36" s="70">
        <f t="shared" ref="U36:U54" si="19">Q36*N36</f>
        <v>13245468464.039997</v>
      </c>
      <c r="V36" s="70">
        <f t="shared" ref="V36:V54" si="20">S36-U36</f>
        <v>1390135424.460001</v>
      </c>
    </row>
    <row r="37" spans="1:22" s="85" customFormat="1" x14ac:dyDescent="0.6">
      <c r="A37" s="60">
        <f t="shared" ref="A37:A54" si="21">A36+1</f>
        <v>34</v>
      </c>
      <c r="B37" s="85" t="s">
        <v>145</v>
      </c>
      <c r="C37" s="89">
        <f t="shared" ref="C37:C54" si="22">C36</f>
        <v>0.184</v>
      </c>
      <c r="D37" s="89">
        <v>0.3775</v>
      </c>
      <c r="E37" s="89">
        <v>0.35099999999999998</v>
      </c>
      <c r="F37" s="89">
        <f t="shared" si="9"/>
        <v>-2.6500000000000024E-2</v>
      </c>
      <c r="G37" s="89">
        <f t="shared" si="10"/>
        <v>0</v>
      </c>
      <c r="H37" s="89">
        <f t="shared" si="11"/>
        <v>-2.6500000000000024E-2</v>
      </c>
      <c r="I37" s="89"/>
      <c r="J37" s="89">
        <f t="shared" si="14"/>
        <v>0.5615</v>
      </c>
      <c r="K37" s="174">
        <v>6.9000000000000006E-2</v>
      </c>
      <c r="L37" s="174"/>
      <c r="M37" s="948">
        <v>11688</v>
      </c>
      <c r="N37" s="897">
        <f t="shared" si="15"/>
        <v>4266120000</v>
      </c>
      <c r="O37" s="156">
        <v>2.42</v>
      </c>
      <c r="P37" s="156">
        <f t="shared" si="16"/>
        <v>1.8584999999999998</v>
      </c>
      <c r="Q37" s="156">
        <f t="shared" si="17"/>
        <v>1.9867364999999997</v>
      </c>
      <c r="R37" s="952">
        <f t="shared" si="12"/>
        <v>0.56150000000000011</v>
      </c>
      <c r="S37" s="70">
        <f t="shared" si="13"/>
        <v>10324010400</v>
      </c>
      <c r="T37" s="70">
        <f t="shared" si="18"/>
        <v>7928584019.999999</v>
      </c>
      <c r="U37" s="70">
        <f t="shared" si="19"/>
        <v>8475656317.3799982</v>
      </c>
      <c r="V37" s="70">
        <f t="shared" si="20"/>
        <v>1848354082.6200018</v>
      </c>
    </row>
    <row r="38" spans="1:22" s="85" customFormat="1" x14ac:dyDescent="0.6">
      <c r="A38" s="60">
        <f t="shared" si="21"/>
        <v>35</v>
      </c>
      <c r="B38" s="85" t="s">
        <v>173</v>
      </c>
      <c r="C38" s="89">
        <f t="shared" si="22"/>
        <v>0.184</v>
      </c>
      <c r="D38" s="89">
        <v>0.23</v>
      </c>
      <c r="E38" s="89">
        <v>0.23</v>
      </c>
      <c r="F38" s="89">
        <f t="shared" si="9"/>
        <v>0</v>
      </c>
      <c r="G38" s="89">
        <f t="shared" si="10"/>
        <v>0</v>
      </c>
      <c r="H38" s="89">
        <f t="shared" si="11"/>
        <v>0</v>
      </c>
      <c r="I38" s="89"/>
      <c r="J38" s="89">
        <f t="shared" si="14"/>
        <v>0.41400000000000003</v>
      </c>
      <c r="K38" s="174">
        <v>6.5600000000000006E-2</v>
      </c>
      <c r="L38" s="174"/>
      <c r="M38" s="948">
        <v>1179.8</v>
      </c>
      <c r="N38" s="897">
        <f t="shared" si="15"/>
        <v>430627000</v>
      </c>
      <c r="O38" s="156">
        <v>2.411</v>
      </c>
      <c r="P38" s="156">
        <f t="shared" si="16"/>
        <v>1.9969999999999999</v>
      </c>
      <c r="Q38" s="156">
        <f t="shared" si="17"/>
        <v>2.1280032000000002</v>
      </c>
      <c r="R38" s="952">
        <f t="shared" si="12"/>
        <v>0.41400000000000015</v>
      </c>
      <c r="S38" s="70">
        <f t="shared" si="13"/>
        <v>1038241697</v>
      </c>
      <c r="T38" s="70">
        <f t="shared" si="18"/>
        <v>859962119</v>
      </c>
      <c r="U38" s="70">
        <f t="shared" si="19"/>
        <v>916375634.00640011</v>
      </c>
      <c r="V38" s="70">
        <f t="shared" si="20"/>
        <v>121866062.99359989</v>
      </c>
    </row>
    <row r="39" spans="1:22" s="85" customFormat="1" x14ac:dyDescent="0.6">
      <c r="A39" s="60">
        <f t="shared" si="21"/>
        <v>36</v>
      </c>
      <c r="B39" s="85" t="s">
        <v>163</v>
      </c>
      <c r="C39" s="89">
        <f t="shared" si="22"/>
        <v>0.184</v>
      </c>
      <c r="D39" s="89">
        <v>0.28000000000000003</v>
      </c>
      <c r="E39" s="89">
        <v>0.28000000000000003</v>
      </c>
      <c r="F39" s="89">
        <f t="shared" si="9"/>
        <v>0</v>
      </c>
      <c r="G39" s="89">
        <f t="shared" si="10"/>
        <v>0</v>
      </c>
      <c r="H39" s="89">
        <f t="shared" si="11"/>
        <v>0</v>
      </c>
      <c r="I39" s="89"/>
      <c r="J39" s="89">
        <f t="shared" si="14"/>
        <v>0.46400000000000002</v>
      </c>
      <c r="K39" s="174">
        <v>7.0999999999999994E-2</v>
      </c>
      <c r="L39" s="174"/>
      <c r="M39" s="948">
        <v>12962.3</v>
      </c>
      <c r="N39" s="897">
        <f t="shared" si="15"/>
        <v>4731239500</v>
      </c>
      <c r="O39" s="156">
        <v>2.4079999999999999</v>
      </c>
      <c r="P39" s="156">
        <f t="shared" si="16"/>
        <v>1.944</v>
      </c>
      <c r="Q39" s="156">
        <f t="shared" si="17"/>
        <v>2.0820239999999997</v>
      </c>
      <c r="R39" s="952">
        <f t="shared" si="12"/>
        <v>0.46399999999999997</v>
      </c>
      <c r="S39" s="70">
        <f t="shared" si="13"/>
        <v>11392824716</v>
      </c>
      <c r="T39" s="70">
        <f t="shared" si="18"/>
        <v>9197529588</v>
      </c>
      <c r="U39" s="70">
        <f t="shared" si="19"/>
        <v>9850554188.7479992</v>
      </c>
      <c r="V39" s="70">
        <f t="shared" si="20"/>
        <v>1542270527.2520008</v>
      </c>
    </row>
    <row r="40" spans="1:22" s="85" customFormat="1" x14ac:dyDescent="0.6">
      <c r="A40" s="60">
        <f t="shared" si="21"/>
        <v>37</v>
      </c>
      <c r="B40" s="85" t="s">
        <v>185</v>
      </c>
      <c r="C40" s="89">
        <f t="shared" si="22"/>
        <v>0.184</v>
      </c>
      <c r="D40" s="89">
        <v>0.17</v>
      </c>
      <c r="E40" s="89">
        <v>0.16</v>
      </c>
      <c r="F40" s="89">
        <f t="shared" si="9"/>
        <v>-1.0000000000000009E-2</v>
      </c>
      <c r="G40" s="89">
        <f t="shared" si="10"/>
        <v>0</v>
      </c>
      <c r="H40" s="89">
        <f t="shared" si="11"/>
        <v>-1.0000000000000009E-2</v>
      </c>
      <c r="I40" s="89"/>
      <c r="J40" s="89">
        <f t="shared" si="14"/>
        <v>0.35399999999999998</v>
      </c>
      <c r="K40" s="174">
        <v>8.77E-2</v>
      </c>
      <c r="L40" s="174"/>
      <c r="M40" s="948">
        <v>5408.1</v>
      </c>
      <c r="N40" s="897">
        <f t="shared" si="15"/>
        <v>1973956500.0000002</v>
      </c>
      <c r="O40" s="156">
        <v>2.411</v>
      </c>
      <c r="P40" s="156">
        <f t="shared" si="16"/>
        <v>2.0569999999999999</v>
      </c>
      <c r="Q40" s="156">
        <f t="shared" si="17"/>
        <v>2.2373988999999996</v>
      </c>
      <c r="R40" s="952">
        <f t="shared" si="12"/>
        <v>0.35400000000000009</v>
      </c>
      <c r="S40" s="70">
        <f t="shared" si="13"/>
        <v>4759209121.500001</v>
      </c>
      <c r="T40" s="70">
        <f t="shared" si="18"/>
        <v>4060428520.5000005</v>
      </c>
      <c r="U40" s="70">
        <f t="shared" si="19"/>
        <v>4416528101.7478495</v>
      </c>
      <c r="V40" s="70">
        <f t="shared" si="20"/>
        <v>342681019.75215149</v>
      </c>
    </row>
    <row r="41" spans="1:22" s="85" customFormat="1" x14ac:dyDescent="0.6">
      <c r="A41" s="60">
        <f t="shared" si="21"/>
        <v>38</v>
      </c>
      <c r="B41" s="85" t="s">
        <v>153</v>
      </c>
      <c r="C41" s="89">
        <f t="shared" si="22"/>
        <v>0.184</v>
      </c>
      <c r="D41" s="89">
        <v>0.3</v>
      </c>
      <c r="E41" s="89">
        <v>0.34</v>
      </c>
      <c r="F41" s="89">
        <f t="shared" si="9"/>
        <v>4.0000000000000036E-2</v>
      </c>
      <c r="G41" s="89">
        <f t="shared" si="10"/>
        <v>4.0000000000000036E-2</v>
      </c>
      <c r="H41" s="89">
        <f t="shared" si="11"/>
        <v>0</v>
      </c>
      <c r="I41" s="89"/>
      <c r="J41" s="89">
        <f t="shared" si="14"/>
        <v>0.48399999999999999</v>
      </c>
      <c r="K41" s="174">
        <v>0</v>
      </c>
      <c r="L41" s="174"/>
      <c r="M41" s="948">
        <v>4208.3999999999996</v>
      </c>
      <c r="N41" s="897">
        <f t="shared" si="15"/>
        <v>1536065999.9999998</v>
      </c>
      <c r="O41" s="156">
        <v>2.7090000000000001</v>
      </c>
      <c r="P41" s="156">
        <f t="shared" si="16"/>
        <v>2.2250000000000001</v>
      </c>
      <c r="Q41" s="156">
        <f t="shared" si="17"/>
        <v>2.2250000000000001</v>
      </c>
      <c r="R41" s="952">
        <f t="shared" si="12"/>
        <v>0.48399999999999999</v>
      </c>
      <c r="S41" s="70">
        <f t="shared" si="13"/>
        <v>4161202793.9999995</v>
      </c>
      <c r="T41" s="70">
        <f t="shared" si="18"/>
        <v>3417746849.9999995</v>
      </c>
      <c r="U41" s="70">
        <f t="shared" si="19"/>
        <v>3417746849.9999995</v>
      </c>
      <c r="V41" s="70">
        <f t="shared" si="20"/>
        <v>743455944</v>
      </c>
    </row>
    <row r="42" spans="1:22" s="85" customFormat="1" x14ac:dyDescent="0.6">
      <c r="A42" s="60">
        <f t="shared" si="21"/>
        <v>39</v>
      </c>
      <c r="B42" s="85" t="s">
        <v>138</v>
      </c>
      <c r="C42" s="89">
        <f t="shared" si="22"/>
        <v>0.184</v>
      </c>
      <c r="D42" s="89">
        <v>0.505</v>
      </c>
      <c r="E42" s="89">
        <v>0.57599999999999996</v>
      </c>
      <c r="F42" s="89">
        <f t="shared" si="9"/>
        <v>7.0999999999999952E-2</v>
      </c>
      <c r="G42" s="89">
        <f t="shared" si="10"/>
        <v>7.0999999999999952E-2</v>
      </c>
      <c r="H42" s="89">
        <f t="shared" si="11"/>
        <v>0</v>
      </c>
      <c r="I42" s="89"/>
      <c r="J42" s="89">
        <f t="shared" si="14"/>
        <v>0.68900000000000006</v>
      </c>
      <c r="K42" s="174">
        <v>6.3399999999999998E-2</v>
      </c>
      <c r="L42" s="174"/>
      <c r="M42" s="948">
        <v>8207.6</v>
      </c>
      <c r="N42" s="897">
        <f t="shared" si="15"/>
        <v>2995774000</v>
      </c>
      <c r="O42" s="156">
        <v>2.5590000000000002</v>
      </c>
      <c r="P42" s="156">
        <f t="shared" si="16"/>
        <v>1.87</v>
      </c>
      <c r="Q42" s="156">
        <f t="shared" si="17"/>
        <v>1.9885579999999998</v>
      </c>
      <c r="R42" s="952">
        <f t="shared" si="12"/>
        <v>0.68900000000000006</v>
      </c>
      <c r="S42" s="70">
        <f t="shared" si="13"/>
        <v>7666185666.000001</v>
      </c>
      <c r="T42" s="70">
        <f t="shared" si="18"/>
        <v>5602097380</v>
      </c>
      <c r="U42" s="70">
        <f t="shared" si="19"/>
        <v>5957270353.8919992</v>
      </c>
      <c r="V42" s="70">
        <f t="shared" si="20"/>
        <v>1708915312.1080017</v>
      </c>
    </row>
    <row r="43" spans="1:22" s="85" customFormat="1" x14ac:dyDescent="0.6">
      <c r="A43" s="60">
        <f t="shared" si="21"/>
        <v>40</v>
      </c>
      <c r="B43" s="85" t="s">
        <v>146</v>
      </c>
      <c r="C43" s="89">
        <f t="shared" si="22"/>
        <v>0.184</v>
      </c>
      <c r="D43" s="89">
        <v>0.33</v>
      </c>
      <c r="E43" s="89">
        <v>0.33</v>
      </c>
      <c r="F43" s="89">
        <f t="shared" si="9"/>
        <v>0</v>
      </c>
      <c r="G43" s="89">
        <f t="shared" si="10"/>
        <v>0</v>
      </c>
      <c r="H43" s="89">
        <f t="shared" si="11"/>
        <v>0</v>
      </c>
      <c r="I43" s="89"/>
      <c r="J43" s="89">
        <f t="shared" si="14"/>
        <v>0.51400000000000001</v>
      </c>
      <c r="K43" s="174">
        <v>7.0000000000000007E-2</v>
      </c>
      <c r="L43" s="174"/>
      <c r="M43" s="948">
        <v>1561.5</v>
      </c>
      <c r="N43" s="897">
        <f t="shared" si="15"/>
        <v>569947500</v>
      </c>
      <c r="O43" s="156">
        <v>2.5070000000000001</v>
      </c>
      <c r="P43" s="156">
        <f t="shared" si="16"/>
        <v>1.9930000000000001</v>
      </c>
      <c r="Q43" s="156">
        <f t="shared" si="17"/>
        <v>2.1325100000000003</v>
      </c>
      <c r="R43" s="952">
        <f t="shared" si="12"/>
        <v>0.51400000000000001</v>
      </c>
      <c r="S43" s="70">
        <f t="shared" si="13"/>
        <v>1428858382.5</v>
      </c>
      <c r="T43" s="70">
        <f t="shared" si="18"/>
        <v>1135905367.5</v>
      </c>
      <c r="U43" s="70">
        <f t="shared" si="19"/>
        <v>1215418743.2250001</v>
      </c>
      <c r="V43" s="70">
        <f t="shared" si="20"/>
        <v>213439639.27499986</v>
      </c>
    </row>
    <row r="44" spans="1:22" s="85" customFormat="1" x14ac:dyDescent="0.6">
      <c r="A44" s="60">
        <f t="shared" si="21"/>
        <v>41</v>
      </c>
      <c r="B44" s="85" t="s">
        <v>186</v>
      </c>
      <c r="C44" s="89">
        <f t="shared" si="22"/>
        <v>0.184</v>
      </c>
      <c r="D44" s="89">
        <v>0.16750000000000001</v>
      </c>
      <c r="E44" s="89">
        <v>0.18</v>
      </c>
      <c r="F44" s="89">
        <f t="shared" si="9"/>
        <v>1.2499999999999983E-2</v>
      </c>
      <c r="G44" s="89">
        <f t="shared" si="10"/>
        <v>1.2499999999999983E-2</v>
      </c>
      <c r="H44" s="89">
        <f t="shared" si="11"/>
        <v>0</v>
      </c>
      <c r="I44" s="89"/>
      <c r="J44" s="89">
        <f t="shared" si="14"/>
        <v>0.35150000000000003</v>
      </c>
      <c r="K44" s="174">
        <v>7.1300000000000002E-2</v>
      </c>
      <c r="L44" s="174"/>
      <c r="M44" s="948">
        <v>6970.9</v>
      </c>
      <c r="N44" s="897">
        <f t="shared" si="15"/>
        <v>2544378500</v>
      </c>
      <c r="O44" s="156">
        <v>2.42</v>
      </c>
      <c r="P44" s="156">
        <f t="shared" si="16"/>
        <v>2.0684999999999998</v>
      </c>
      <c r="Q44" s="156">
        <f t="shared" si="17"/>
        <v>2.2159840499999994</v>
      </c>
      <c r="R44" s="952">
        <f t="shared" si="12"/>
        <v>0.35150000000000015</v>
      </c>
      <c r="S44" s="70">
        <f t="shared" si="13"/>
        <v>6157395970</v>
      </c>
      <c r="T44" s="70">
        <f t="shared" si="18"/>
        <v>5263046927.249999</v>
      </c>
      <c r="U44" s="70">
        <f t="shared" si="19"/>
        <v>5638302173.1629238</v>
      </c>
      <c r="V44" s="70">
        <f t="shared" si="20"/>
        <v>519093796.83707619</v>
      </c>
    </row>
    <row r="45" spans="1:22" s="85" customFormat="1" x14ac:dyDescent="0.6">
      <c r="A45" s="60">
        <f t="shared" si="21"/>
        <v>42</v>
      </c>
      <c r="B45" s="85" t="s">
        <v>159</v>
      </c>
      <c r="C45" s="89">
        <f t="shared" si="22"/>
        <v>0.184</v>
      </c>
      <c r="D45" s="89">
        <v>0.24</v>
      </c>
      <c r="E45" s="89">
        <v>0.28000000000000003</v>
      </c>
      <c r="F45" s="89">
        <f t="shared" si="9"/>
        <v>4.0000000000000036E-2</v>
      </c>
      <c r="G45" s="89">
        <f t="shared" si="10"/>
        <v>4.0000000000000036E-2</v>
      </c>
      <c r="H45" s="89">
        <f t="shared" si="11"/>
        <v>0</v>
      </c>
      <c r="I45" s="89"/>
      <c r="J45" s="89">
        <f t="shared" si="14"/>
        <v>0.42399999999999999</v>
      </c>
      <c r="K45" s="174">
        <v>5.8299999999999998E-2</v>
      </c>
      <c r="L45" s="174"/>
      <c r="M45" s="948">
        <v>1144.5999999999999</v>
      </c>
      <c r="N45" s="897">
        <f t="shared" si="15"/>
        <v>417778999.99999994</v>
      </c>
      <c r="O45" s="156">
        <v>2.411</v>
      </c>
      <c r="P45" s="156">
        <f t="shared" si="16"/>
        <v>1.9870000000000001</v>
      </c>
      <c r="Q45" s="156">
        <f t="shared" si="17"/>
        <v>2.1028421000000002</v>
      </c>
      <c r="R45" s="952">
        <f t="shared" si="12"/>
        <v>0.42399999999999993</v>
      </c>
      <c r="S45" s="70">
        <f t="shared" si="13"/>
        <v>1007265168.9999999</v>
      </c>
      <c r="T45" s="70">
        <f t="shared" si="18"/>
        <v>830126872.99999988</v>
      </c>
      <c r="U45" s="70">
        <f t="shared" si="19"/>
        <v>878523269.69589996</v>
      </c>
      <c r="V45" s="70">
        <f t="shared" si="20"/>
        <v>128741899.30409992</v>
      </c>
    </row>
    <row r="46" spans="1:22" s="85" customFormat="1" x14ac:dyDescent="0.6">
      <c r="A46" s="60">
        <f t="shared" si="21"/>
        <v>43</v>
      </c>
      <c r="B46" s="85" t="s">
        <v>177</v>
      </c>
      <c r="C46" s="89">
        <f t="shared" si="22"/>
        <v>0.184</v>
      </c>
      <c r="D46" s="89">
        <v>0.214</v>
      </c>
      <c r="E46" s="89">
        <v>0.24</v>
      </c>
      <c r="F46" s="89">
        <f t="shared" si="9"/>
        <v>2.5999999999999995E-2</v>
      </c>
      <c r="G46" s="89">
        <f t="shared" si="10"/>
        <v>2.5999999999999995E-2</v>
      </c>
      <c r="H46" s="89">
        <f t="shared" si="11"/>
        <v>0</v>
      </c>
      <c r="I46" s="89"/>
      <c r="J46" s="89">
        <f t="shared" si="14"/>
        <v>0.39800000000000002</v>
      </c>
      <c r="K46" s="174">
        <v>9.4500000000000001E-2</v>
      </c>
      <c r="L46" s="174"/>
      <c r="M46" s="948">
        <v>9134.2000000000007</v>
      </c>
      <c r="N46" s="897">
        <f t="shared" si="15"/>
        <v>3333983000.0000005</v>
      </c>
      <c r="O46" s="156">
        <v>2.411</v>
      </c>
      <c r="P46" s="156">
        <f t="shared" si="16"/>
        <v>2.0129999999999999</v>
      </c>
      <c r="Q46" s="156">
        <f t="shared" si="17"/>
        <v>2.2032284999999998</v>
      </c>
      <c r="R46" s="952">
        <f t="shared" si="12"/>
        <v>0.39800000000000013</v>
      </c>
      <c r="S46" s="70">
        <f t="shared" si="13"/>
        <v>8038233013.000001</v>
      </c>
      <c r="T46" s="70">
        <f t="shared" si="18"/>
        <v>6711307779.000001</v>
      </c>
      <c r="U46" s="70">
        <f t="shared" si="19"/>
        <v>7345526364.1155005</v>
      </c>
      <c r="V46" s="70">
        <f t="shared" si="20"/>
        <v>692706648.8845005</v>
      </c>
    </row>
    <row r="47" spans="1:22" s="85" customFormat="1" x14ac:dyDescent="0.6">
      <c r="A47" s="60">
        <f t="shared" si="21"/>
        <v>44</v>
      </c>
      <c r="B47" s="85" t="s">
        <v>180</v>
      </c>
      <c r="C47" s="89">
        <f t="shared" si="22"/>
        <v>0.184</v>
      </c>
      <c r="D47" s="89">
        <v>0.2</v>
      </c>
      <c r="E47" s="89">
        <v>0.2</v>
      </c>
      <c r="F47" s="89">
        <f t="shared" si="9"/>
        <v>0</v>
      </c>
      <c r="G47" s="89">
        <f t="shared" si="10"/>
        <v>0</v>
      </c>
      <c r="H47" s="89">
        <f t="shared" si="11"/>
        <v>0</v>
      </c>
      <c r="I47" s="89"/>
      <c r="J47" s="89">
        <f t="shared" si="14"/>
        <v>0.38400000000000001</v>
      </c>
      <c r="K47" s="174">
        <v>8.0500000000000002E-2</v>
      </c>
      <c r="L47" s="174"/>
      <c r="M47" s="948">
        <v>37794</v>
      </c>
      <c r="N47" s="897">
        <f t="shared" si="15"/>
        <v>13794810000</v>
      </c>
      <c r="O47" s="156">
        <v>2.2599999999999998</v>
      </c>
      <c r="P47" s="156">
        <f t="shared" si="16"/>
        <v>1.8759999999999999</v>
      </c>
      <c r="Q47" s="156">
        <f t="shared" si="17"/>
        <v>2.027018</v>
      </c>
      <c r="R47" s="952">
        <f t="shared" si="12"/>
        <v>0.3839999999999999</v>
      </c>
      <c r="S47" s="70">
        <f t="shared" si="13"/>
        <v>31176270599.999996</v>
      </c>
      <c r="T47" s="70">
        <f t="shared" si="18"/>
        <v>25879063560</v>
      </c>
      <c r="U47" s="70">
        <f t="shared" si="19"/>
        <v>27962328176.579998</v>
      </c>
      <c r="V47" s="70">
        <f t="shared" si="20"/>
        <v>3213942423.4199982</v>
      </c>
    </row>
    <row r="48" spans="1:22" s="85" customFormat="1" x14ac:dyDescent="0.6">
      <c r="A48" s="60">
        <f t="shared" si="21"/>
        <v>45</v>
      </c>
      <c r="B48" s="85" t="s">
        <v>161</v>
      </c>
      <c r="C48" s="89">
        <f t="shared" si="22"/>
        <v>0.184</v>
      </c>
      <c r="D48" s="89">
        <v>0.245</v>
      </c>
      <c r="E48" s="89">
        <v>0.29399999999999998</v>
      </c>
      <c r="F48" s="89">
        <f t="shared" si="9"/>
        <v>4.8999999999999988E-2</v>
      </c>
      <c r="G48" s="89">
        <f t="shared" si="10"/>
        <v>4.8999999999999988E-2</v>
      </c>
      <c r="H48" s="89">
        <f t="shared" si="11"/>
        <v>0</v>
      </c>
      <c r="I48" s="89"/>
      <c r="J48" s="89">
        <f t="shared" si="14"/>
        <v>0.42899999999999999</v>
      </c>
      <c r="K48" s="174">
        <v>6.6799999999999998E-2</v>
      </c>
      <c r="L48" s="174"/>
      <c r="M48" s="948">
        <v>3398.8</v>
      </c>
      <c r="N48" s="897">
        <f t="shared" si="15"/>
        <v>1240562000</v>
      </c>
      <c r="O48" s="156">
        <v>2.4809999999999999</v>
      </c>
      <c r="P48" s="156">
        <f t="shared" si="16"/>
        <v>2.052</v>
      </c>
      <c r="Q48" s="156">
        <f t="shared" si="17"/>
        <v>2.1890736</v>
      </c>
      <c r="R48" s="952">
        <f t="shared" si="12"/>
        <v>0.42899999999999983</v>
      </c>
      <c r="S48" s="70">
        <f t="shared" si="13"/>
        <v>3077834322</v>
      </c>
      <c r="T48" s="70">
        <f t="shared" si="18"/>
        <v>2545633224</v>
      </c>
      <c r="U48" s="70">
        <f t="shared" si="19"/>
        <v>2715681523.3631997</v>
      </c>
      <c r="V48" s="70">
        <f t="shared" si="20"/>
        <v>362152798.63680029</v>
      </c>
    </row>
    <row r="49" spans="1:23" s="85" customFormat="1" x14ac:dyDescent="0.6">
      <c r="A49" s="60">
        <f t="shared" si="21"/>
        <v>46</v>
      </c>
      <c r="B49" s="85" t="s">
        <v>156</v>
      </c>
      <c r="C49" s="89">
        <f t="shared" si="22"/>
        <v>0.184</v>
      </c>
      <c r="D49" s="89">
        <v>0.31969999999999998</v>
      </c>
      <c r="E49" s="89">
        <v>0.121</v>
      </c>
      <c r="F49" s="89">
        <f t="shared" si="9"/>
        <v>-0.19869999999999999</v>
      </c>
      <c r="G49" s="89">
        <f t="shared" si="10"/>
        <v>0</v>
      </c>
      <c r="H49" s="89">
        <f t="shared" si="11"/>
        <v>-0.19869999999999999</v>
      </c>
      <c r="I49" s="89"/>
      <c r="J49" s="89">
        <f t="shared" si="14"/>
        <v>0.50370000000000004</v>
      </c>
      <c r="K49" s="174">
        <v>6.1400000000000003E-2</v>
      </c>
      <c r="L49" s="174"/>
      <c r="M49" s="948">
        <v>842.1</v>
      </c>
      <c r="N49" s="897">
        <f t="shared" si="15"/>
        <v>307366500</v>
      </c>
      <c r="O49" s="156">
        <v>2.5070000000000001</v>
      </c>
      <c r="P49" s="156">
        <f t="shared" si="16"/>
        <v>2.0033000000000003</v>
      </c>
      <c r="Q49" s="156">
        <f t="shared" si="17"/>
        <v>2.1263026200000001</v>
      </c>
      <c r="R49" s="952">
        <f t="shared" si="12"/>
        <v>0.50369999999999981</v>
      </c>
      <c r="S49" s="70">
        <f t="shared" si="13"/>
        <v>770567815.5</v>
      </c>
      <c r="T49" s="70">
        <f t="shared" si="18"/>
        <v>615747309.45000005</v>
      </c>
      <c r="U49" s="70">
        <f t="shared" si="19"/>
        <v>653554194.25023007</v>
      </c>
      <c r="V49" s="70">
        <f t="shared" si="20"/>
        <v>117013621.24976993</v>
      </c>
    </row>
    <row r="50" spans="1:23" s="85" customFormat="1" x14ac:dyDescent="0.6">
      <c r="A50" s="60">
        <f t="shared" si="21"/>
        <v>47</v>
      </c>
      <c r="B50" s="85" t="s">
        <v>174</v>
      </c>
      <c r="C50" s="89">
        <f t="shared" si="22"/>
        <v>0.184</v>
      </c>
      <c r="D50" s="89">
        <v>0.16200000000000001</v>
      </c>
      <c r="E50" s="89">
        <v>0.16200000000000001</v>
      </c>
      <c r="F50" s="89">
        <f t="shared" si="9"/>
        <v>0</v>
      </c>
      <c r="G50" s="89">
        <f t="shared" si="10"/>
        <v>0</v>
      </c>
      <c r="H50" s="89">
        <f t="shared" si="11"/>
        <v>0</v>
      </c>
      <c r="I50" s="89"/>
      <c r="J50" s="89">
        <f t="shared" si="14"/>
        <v>0.34599999999999997</v>
      </c>
      <c r="K50" s="174">
        <v>5.6300000000000003E-2</v>
      </c>
      <c r="L50" s="174"/>
      <c r="M50" s="948">
        <v>9502.7999999999993</v>
      </c>
      <c r="N50" s="897">
        <f t="shared" si="15"/>
        <v>3468521999.9999995</v>
      </c>
      <c r="O50" s="156">
        <v>2.42</v>
      </c>
      <c r="P50" s="156">
        <f t="shared" si="16"/>
        <v>2.0739999999999998</v>
      </c>
      <c r="Q50" s="156">
        <f t="shared" si="17"/>
        <v>2.1907661999999997</v>
      </c>
      <c r="R50" s="952">
        <f t="shared" si="12"/>
        <v>0.34600000000000009</v>
      </c>
      <c r="S50" s="70">
        <f t="shared" si="13"/>
        <v>8393823239.999999</v>
      </c>
      <c r="T50" s="70">
        <f t="shared" si="18"/>
        <v>7193714627.9999981</v>
      </c>
      <c r="U50" s="70">
        <f t="shared" si="19"/>
        <v>7598720761.5563974</v>
      </c>
      <c r="V50" s="70">
        <f t="shared" si="20"/>
        <v>795102478.44360161</v>
      </c>
    </row>
    <row r="51" spans="1:23" s="85" customFormat="1" x14ac:dyDescent="0.6">
      <c r="A51" s="60">
        <f t="shared" si="21"/>
        <v>48</v>
      </c>
      <c r="B51" s="85" t="s">
        <v>139</v>
      </c>
      <c r="C51" s="89">
        <f t="shared" si="22"/>
        <v>0.184</v>
      </c>
      <c r="D51" s="89">
        <v>0.375</v>
      </c>
      <c r="E51" s="89">
        <v>0.49399999999999999</v>
      </c>
      <c r="F51" s="89">
        <f t="shared" si="9"/>
        <v>0.11899999999999999</v>
      </c>
      <c r="G51" s="89">
        <f t="shared" si="10"/>
        <v>0.11899999999999999</v>
      </c>
      <c r="H51" s="89">
        <f t="shared" si="11"/>
        <v>0</v>
      </c>
      <c r="I51" s="89"/>
      <c r="J51" s="89">
        <f t="shared" si="14"/>
        <v>0.55899999999999994</v>
      </c>
      <c r="K51" s="174">
        <v>8.8900000000000007E-2</v>
      </c>
      <c r="L51" s="174"/>
      <c r="M51" s="948">
        <v>7427.7</v>
      </c>
      <c r="N51" s="897">
        <f t="shared" si="15"/>
        <v>2711110500</v>
      </c>
      <c r="O51" s="156">
        <v>2.754</v>
      </c>
      <c r="P51" s="156">
        <f t="shared" si="16"/>
        <v>2.1950000000000003</v>
      </c>
      <c r="Q51" s="156">
        <f t="shared" si="17"/>
        <v>2.3901355000000004</v>
      </c>
      <c r="R51" s="952">
        <f t="shared" si="12"/>
        <v>0.55899999999999972</v>
      </c>
      <c r="S51" s="70">
        <f t="shared" si="13"/>
        <v>7466398317</v>
      </c>
      <c r="T51" s="70">
        <f t="shared" si="18"/>
        <v>5950887547.500001</v>
      </c>
      <c r="U51" s="70">
        <f t="shared" si="19"/>
        <v>6479921450.4727507</v>
      </c>
      <c r="V51" s="70">
        <f t="shared" si="20"/>
        <v>986476866.52724934</v>
      </c>
    </row>
    <row r="52" spans="1:23" s="85" customFormat="1" x14ac:dyDescent="0.6">
      <c r="A52" s="60">
        <f t="shared" si="21"/>
        <v>49</v>
      </c>
      <c r="B52" s="85" t="s">
        <v>148</v>
      </c>
      <c r="C52" s="89">
        <f t="shared" si="22"/>
        <v>0.184</v>
      </c>
      <c r="D52" s="89">
        <v>0.34600000000000003</v>
      </c>
      <c r="E52" s="89">
        <v>0.20499999999999999</v>
      </c>
      <c r="F52" s="89">
        <f t="shared" si="9"/>
        <v>-0.14100000000000004</v>
      </c>
      <c r="G52" s="89">
        <f t="shared" si="10"/>
        <v>0</v>
      </c>
      <c r="H52" s="89">
        <f t="shared" si="11"/>
        <v>-0.14100000000000004</v>
      </c>
      <c r="I52" s="89"/>
      <c r="J52" s="89">
        <f t="shared" si="14"/>
        <v>0.53</v>
      </c>
      <c r="K52" s="174">
        <v>6.0699999999999997E-2</v>
      </c>
      <c r="L52" s="174"/>
      <c r="M52" s="948">
        <v>1906.4</v>
      </c>
      <c r="N52" s="897">
        <f t="shared" si="15"/>
        <v>695836000</v>
      </c>
      <c r="O52" s="156">
        <v>2.42</v>
      </c>
      <c r="P52" s="156">
        <f t="shared" si="16"/>
        <v>1.89</v>
      </c>
      <c r="Q52" s="156">
        <f t="shared" si="17"/>
        <v>2.0047229999999998</v>
      </c>
      <c r="R52" s="952">
        <f t="shared" si="12"/>
        <v>0.53</v>
      </c>
      <c r="S52" s="70">
        <f t="shared" si="13"/>
        <v>1683923120</v>
      </c>
      <c r="T52" s="70">
        <f t="shared" si="18"/>
        <v>1315130040</v>
      </c>
      <c r="U52" s="70">
        <f t="shared" si="19"/>
        <v>1394958433.428</v>
      </c>
      <c r="V52" s="70">
        <f t="shared" si="20"/>
        <v>288964686.57200003</v>
      </c>
    </row>
    <row r="53" spans="1:23" s="85" customFormat="1" x14ac:dyDescent="0.6">
      <c r="A53" s="60">
        <f t="shared" si="21"/>
        <v>50</v>
      </c>
      <c r="B53" s="85" t="s">
        <v>149</v>
      </c>
      <c r="C53" s="89">
        <f t="shared" si="22"/>
        <v>0.184</v>
      </c>
      <c r="D53" s="89">
        <v>0.32899999999999996</v>
      </c>
      <c r="E53" s="89">
        <v>0.309</v>
      </c>
      <c r="F53" s="89">
        <f t="shared" si="9"/>
        <v>-1.9999999999999962E-2</v>
      </c>
      <c r="G53" s="89">
        <f t="shared" si="10"/>
        <v>0</v>
      </c>
      <c r="H53" s="89">
        <f t="shared" si="11"/>
        <v>-1.9999999999999962E-2</v>
      </c>
      <c r="I53" s="89"/>
      <c r="J53" s="89">
        <f t="shared" si="14"/>
        <v>0.5129999999999999</v>
      </c>
      <c r="K53" s="174">
        <v>5.4300000000000001E-2</v>
      </c>
      <c r="L53" s="174"/>
      <c r="M53" s="948">
        <v>7264.6</v>
      </c>
      <c r="N53" s="897">
        <f t="shared" si="15"/>
        <v>2651579000</v>
      </c>
      <c r="O53" s="156">
        <v>2.411</v>
      </c>
      <c r="P53" s="156">
        <f t="shared" si="16"/>
        <v>1.8980000000000001</v>
      </c>
      <c r="Q53" s="156">
        <f t="shared" si="17"/>
        <v>2.0010614000000002</v>
      </c>
      <c r="R53" s="952">
        <f t="shared" si="12"/>
        <v>0.5129999999999999</v>
      </c>
      <c r="S53" s="70">
        <f t="shared" si="13"/>
        <v>6392956969</v>
      </c>
      <c r="T53" s="70">
        <f t="shared" si="18"/>
        <v>5032696942</v>
      </c>
      <c r="U53" s="70">
        <f t="shared" si="19"/>
        <v>5305972385.9506006</v>
      </c>
      <c r="V53" s="70">
        <f t="shared" si="20"/>
        <v>1086984583.0493994</v>
      </c>
    </row>
    <row r="54" spans="1:23" s="85" customFormat="1" x14ac:dyDescent="0.6">
      <c r="A54" s="60">
        <f t="shared" si="21"/>
        <v>51</v>
      </c>
      <c r="B54" s="85" t="s">
        <v>169</v>
      </c>
      <c r="C54" s="89">
        <f t="shared" si="22"/>
        <v>0.184</v>
      </c>
      <c r="D54" s="89">
        <v>0.245</v>
      </c>
      <c r="E54" s="89">
        <v>0.23</v>
      </c>
      <c r="F54" s="89">
        <f t="shared" si="9"/>
        <v>-1.4999999999999986E-2</v>
      </c>
      <c r="G54" s="89">
        <f t="shared" si="10"/>
        <v>0</v>
      </c>
      <c r="H54" s="89">
        <f t="shared" si="11"/>
        <v>-1.4999999999999986E-2</v>
      </c>
      <c r="I54" s="89"/>
      <c r="J54" s="89">
        <f t="shared" si="14"/>
        <v>0.42899999999999999</v>
      </c>
      <c r="K54" s="174">
        <v>5.4699999999999999E-2</v>
      </c>
      <c r="L54" s="174"/>
      <c r="M54" s="948">
        <v>1022.7</v>
      </c>
      <c r="N54" s="897">
        <f t="shared" si="15"/>
        <v>373285500</v>
      </c>
      <c r="O54" s="156">
        <v>2.4809999999999999</v>
      </c>
      <c r="P54" s="156">
        <f t="shared" si="16"/>
        <v>2.052</v>
      </c>
      <c r="Q54" s="156">
        <f t="shared" si="17"/>
        <v>2.1642443999999998</v>
      </c>
      <c r="R54" s="952">
        <f t="shared" si="12"/>
        <v>0.42899999999999983</v>
      </c>
      <c r="S54" s="70">
        <f t="shared" si="13"/>
        <v>926121325.5</v>
      </c>
      <c r="T54" s="70">
        <f t="shared" si="18"/>
        <v>765981846</v>
      </c>
      <c r="U54" s="70">
        <f t="shared" si="19"/>
        <v>807881052.97619998</v>
      </c>
      <c r="V54" s="70">
        <f t="shared" si="20"/>
        <v>118240272.52380002</v>
      </c>
    </row>
    <row r="55" spans="1:23" s="85" customFormat="1" x14ac:dyDescent="0.6">
      <c r="C55" s="89"/>
      <c r="D55" s="89"/>
      <c r="E55" s="89"/>
      <c r="F55" s="89"/>
      <c r="G55" s="89"/>
      <c r="H55" s="89"/>
      <c r="I55" s="89"/>
      <c r="J55" s="89"/>
      <c r="K55" s="174"/>
      <c r="L55" s="174"/>
      <c r="M55" s="948"/>
      <c r="N55" s="913"/>
      <c r="O55" s="156"/>
      <c r="P55" s="156"/>
      <c r="Q55" s="156"/>
      <c r="R55" s="952"/>
      <c r="S55" s="70"/>
      <c r="T55" s="70"/>
      <c r="U55" s="70"/>
    </row>
    <row r="56" spans="1:23" s="104" customFormat="1" x14ac:dyDescent="0.6">
      <c r="B56" s="104" t="s">
        <v>42</v>
      </c>
      <c r="C56" s="942"/>
      <c r="D56" s="942">
        <f>SUMPRODUCT(D4:D54,N4:N54)/N56</f>
        <v>0.26005130198387122</v>
      </c>
      <c r="E56" s="942"/>
      <c r="F56" s="942"/>
      <c r="G56" s="942"/>
      <c r="H56" s="942"/>
      <c r="I56" s="942"/>
      <c r="J56" s="942"/>
      <c r="K56" s="943"/>
      <c r="L56" s="943"/>
      <c r="M56" s="950">
        <v>361056.3</v>
      </c>
      <c r="N56" s="951">
        <f>SUM(N4:N55)</f>
        <v>131785695500</v>
      </c>
      <c r="O56" s="881"/>
      <c r="P56" s="881"/>
      <c r="Q56" s="881"/>
      <c r="R56" s="952"/>
      <c r="S56" s="593">
        <f>SUM(S4:S55)</f>
        <v>332408851539.90198</v>
      </c>
      <c r="T56" s="593">
        <f>SUM(T4:T55)</f>
        <v>273889241869.87503</v>
      </c>
      <c r="U56" s="593">
        <f>SUM(U4:U55)</f>
        <v>293818011305.16711</v>
      </c>
      <c r="V56" s="593">
        <f>SUM(V4:V55)</f>
        <v>38590840234.735008</v>
      </c>
    </row>
    <row r="57" spans="1:23" s="104" customFormat="1" ht="15.9" thickBot="1" x14ac:dyDescent="0.65">
      <c r="A57" s="99"/>
      <c r="B57" s="99"/>
      <c r="C57" s="944"/>
      <c r="D57" s="944"/>
      <c r="E57" s="944"/>
      <c r="F57" s="944"/>
      <c r="G57" s="944"/>
      <c r="H57" s="944"/>
      <c r="I57" s="944"/>
      <c r="J57" s="944"/>
      <c r="K57" s="945"/>
      <c r="L57" s="945"/>
      <c r="M57" s="953"/>
      <c r="N57" s="954"/>
      <c r="O57" s="237"/>
      <c r="P57" s="237"/>
      <c r="Q57" s="237"/>
      <c r="R57" s="955"/>
      <c r="S57" s="944"/>
      <c r="T57" s="108"/>
      <c r="U57" s="944"/>
      <c r="V57" s="944"/>
      <c r="W57" s="942"/>
    </row>
    <row r="58" spans="1:23" s="85" customFormat="1" ht="15.9" thickTop="1" x14ac:dyDescent="0.6">
      <c r="C58" s="89"/>
      <c r="D58" s="89"/>
      <c r="E58" s="89"/>
      <c r="F58" s="89"/>
      <c r="G58" s="89"/>
      <c r="H58" s="89"/>
      <c r="I58" s="89"/>
      <c r="J58" s="89"/>
      <c r="K58" s="174"/>
      <c r="L58" s="174"/>
      <c r="M58" s="178"/>
      <c r="O58" s="156"/>
      <c r="P58" s="156"/>
      <c r="Q58" s="156"/>
      <c r="R58" s="156"/>
      <c r="S58" s="181"/>
      <c r="T58" s="70"/>
      <c r="U58" s="70"/>
    </row>
    <row r="59" spans="1:23" s="85" customFormat="1" x14ac:dyDescent="0.6">
      <c r="C59" s="89" t="s">
        <v>1746</v>
      </c>
      <c r="D59" s="89">
        <f>LARGE($D$4:$D$54,1)</f>
        <v>0.505</v>
      </c>
      <c r="E59" s="89"/>
      <c r="F59" s="21"/>
      <c r="G59" s="821"/>
      <c r="H59" s="821"/>
      <c r="I59" s="89"/>
      <c r="J59" s="89"/>
      <c r="K59" s="178"/>
      <c r="L59" s="178"/>
      <c r="M59" s="1654" t="s">
        <v>1746</v>
      </c>
      <c r="N59" s="828">
        <f>LARGE(N4:N54,1)</f>
        <v>14286574500.000002</v>
      </c>
      <c r="O59" s="156"/>
      <c r="P59" s="156"/>
      <c r="Q59" s="156"/>
      <c r="R59" s="156"/>
      <c r="S59" s="70"/>
      <c r="V59" s="240" t="s">
        <v>504</v>
      </c>
    </row>
    <row r="60" spans="1:23" s="85" customFormat="1" x14ac:dyDescent="0.6">
      <c r="C60" s="89" t="s">
        <v>1744</v>
      </c>
      <c r="D60" s="89">
        <f>LARGE($D$4:$D$54,2)</f>
        <v>0.42499999999999999</v>
      </c>
      <c r="E60" s="89"/>
      <c r="F60" s="21"/>
      <c r="G60" s="821"/>
      <c r="H60" s="21"/>
      <c r="I60" s="89"/>
      <c r="J60" s="89"/>
      <c r="K60" s="174"/>
      <c r="L60" s="174"/>
      <c r="M60" s="1654" t="s">
        <v>1744</v>
      </c>
      <c r="N60" s="828">
        <f>LARGE(N4:N54,2)</f>
        <v>13794810000</v>
      </c>
      <c r="O60" s="156"/>
      <c r="P60" s="156"/>
      <c r="Q60" s="156"/>
      <c r="R60" s="156"/>
      <c r="S60" s="70"/>
      <c r="T60" s="70" t="s">
        <v>654</v>
      </c>
      <c r="U60" s="70">
        <f>U56-T56</f>
        <v>19928769435.292084</v>
      </c>
      <c r="V60" s="881">
        <f>U60/$N$56</f>
        <v>0.15122103624131258</v>
      </c>
    </row>
    <row r="61" spans="1:23" s="85" customFormat="1" x14ac:dyDescent="0.6">
      <c r="C61" s="89" t="s">
        <v>1745</v>
      </c>
      <c r="D61" s="89">
        <f>LARGE($D$4:$D$54,3)</f>
        <v>0.3775</v>
      </c>
      <c r="E61" s="89"/>
      <c r="F61" s="21"/>
      <c r="G61" s="21"/>
      <c r="H61" s="21"/>
      <c r="I61" s="89"/>
      <c r="J61" s="89"/>
      <c r="K61" s="174"/>
      <c r="L61" s="174"/>
      <c r="M61" s="1654" t="s">
        <v>1745</v>
      </c>
      <c r="N61" s="828">
        <f>LARGE(N4:N54,3)</f>
        <v>7491150500</v>
      </c>
      <c r="O61" s="156"/>
      <c r="P61" s="156"/>
      <c r="Q61" s="156"/>
      <c r="R61" s="156"/>
      <c r="S61" s="70"/>
      <c r="T61" s="70" t="s">
        <v>602</v>
      </c>
      <c r="U61" s="70">
        <f>S56-U56</f>
        <v>38590840234.734863</v>
      </c>
      <c r="V61" s="881">
        <f>U61/$N$56</f>
        <v>0.29283026574560866</v>
      </c>
    </row>
    <row r="62" spans="1:23" s="85" customFormat="1" x14ac:dyDescent="0.6">
      <c r="C62" s="89"/>
      <c r="D62" s="89"/>
      <c r="E62" s="89"/>
      <c r="F62" s="89"/>
      <c r="G62" s="89"/>
      <c r="H62" s="89"/>
      <c r="I62" s="89"/>
      <c r="J62" s="89"/>
      <c r="K62" s="174"/>
      <c r="L62" s="174"/>
      <c r="M62" s="178"/>
      <c r="O62" s="156"/>
      <c r="P62" s="156"/>
      <c r="Q62" s="156"/>
      <c r="R62" s="156"/>
      <c r="S62" s="70"/>
      <c r="T62" s="70"/>
      <c r="V62" s="70"/>
    </row>
    <row r="63" spans="1:23" s="85" customFormat="1" x14ac:dyDescent="0.6">
      <c r="C63" s="89"/>
      <c r="D63" s="89"/>
      <c r="E63" s="89"/>
      <c r="F63" s="89"/>
      <c r="G63" s="89"/>
      <c r="H63" s="89"/>
      <c r="I63" s="89"/>
      <c r="J63" s="89"/>
      <c r="K63" s="174"/>
      <c r="L63" s="174"/>
      <c r="M63" s="178"/>
      <c r="O63" s="156"/>
      <c r="P63" s="156"/>
      <c r="Q63" s="156"/>
      <c r="R63" s="156"/>
      <c r="S63" s="70"/>
      <c r="T63" s="70" t="s">
        <v>686</v>
      </c>
      <c r="V63" s="506">
        <f>T56/N56</f>
        <v>2.0782926464873803</v>
      </c>
    </row>
    <row r="64" spans="1:23" s="85" customFormat="1" x14ac:dyDescent="0.6">
      <c r="C64" s="89"/>
      <c r="D64" s="89"/>
      <c r="E64" s="89"/>
      <c r="F64" s="89"/>
      <c r="G64" s="89"/>
      <c r="H64" s="89"/>
      <c r="I64" s="89"/>
      <c r="J64" s="89"/>
      <c r="K64" s="174"/>
      <c r="L64" s="174"/>
      <c r="M64" s="178"/>
      <c r="O64" s="156"/>
      <c r="P64" s="156"/>
      <c r="Q64" s="156"/>
      <c r="R64" s="156"/>
      <c r="S64" s="70"/>
      <c r="T64" s="70" t="s">
        <v>645</v>
      </c>
      <c r="V64" s="506">
        <f>S56/N56</f>
        <v>2.5223439484743015</v>
      </c>
    </row>
    <row r="65" spans="3:23" s="85" customFormat="1" x14ac:dyDescent="0.6">
      <c r="C65" s="89"/>
      <c r="D65" s="89"/>
      <c r="E65" s="89"/>
      <c r="F65" s="89"/>
      <c r="G65" s="89"/>
      <c r="H65" s="89"/>
      <c r="I65" s="89"/>
      <c r="J65" s="89"/>
      <c r="K65" s="174"/>
      <c r="L65" s="174"/>
      <c r="M65" s="178"/>
      <c r="O65" s="156"/>
      <c r="P65" s="156"/>
      <c r="Q65" s="156"/>
      <c r="R65" s="156"/>
      <c r="S65" s="70"/>
      <c r="T65" s="70"/>
      <c r="U65" s="70"/>
    </row>
    <row r="66" spans="3:23" s="85" customFormat="1" x14ac:dyDescent="0.6">
      <c r="C66" s="89"/>
      <c r="D66" s="89"/>
      <c r="E66" s="89"/>
      <c r="F66" s="89"/>
      <c r="G66" s="89"/>
      <c r="H66" s="89"/>
      <c r="I66" s="89"/>
      <c r="J66" s="89"/>
      <c r="K66" s="174"/>
      <c r="L66" s="174"/>
      <c r="M66" s="178"/>
      <c r="O66" s="156"/>
      <c r="P66" s="156"/>
      <c r="Q66" s="156"/>
      <c r="R66" s="156"/>
      <c r="S66" s="70"/>
      <c r="T66" s="17"/>
      <c r="U66" s="1" t="s">
        <v>142</v>
      </c>
      <c r="V66" s="17">
        <f>LARGE(V4:V54,1)</f>
        <v>5551008519.5663986</v>
      </c>
      <c r="W66" s="826"/>
    </row>
    <row r="67" spans="3:23" s="85" customFormat="1" x14ac:dyDescent="0.6">
      <c r="C67" s="89"/>
      <c r="D67" s="89"/>
      <c r="E67" s="89"/>
      <c r="F67" s="89"/>
      <c r="G67" s="89"/>
      <c r="H67" s="89"/>
      <c r="I67" s="89"/>
      <c r="J67" s="89"/>
      <c r="K67" s="174"/>
      <c r="L67" s="174"/>
      <c r="M67" s="178"/>
      <c r="O67" s="156"/>
      <c r="P67" s="156"/>
      <c r="Q67" s="156"/>
      <c r="R67" s="156"/>
      <c r="S67" s="70"/>
      <c r="T67" s="1"/>
      <c r="U67" s="1" t="s">
        <v>144</v>
      </c>
      <c r="V67" s="70">
        <f>LARGE(V4:V54,2)</f>
        <v>3213942423.4199982</v>
      </c>
      <c r="W67" s="17"/>
    </row>
    <row r="68" spans="3:23" s="85" customFormat="1" x14ac:dyDescent="0.6">
      <c r="C68" s="89"/>
      <c r="D68" s="89"/>
      <c r="E68" s="89"/>
      <c r="F68" s="89"/>
      <c r="G68" s="89"/>
      <c r="H68" s="89"/>
      <c r="I68" s="89"/>
      <c r="J68" s="89"/>
      <c r="K68" s="174"/>
      <c r="L68" s="174"/>
      <c r="M68" s="178"/>
      <c r="O68" s="156"/>
      <c r="P68" s="156"/>
      <c r="Q68" s="156"/>
      <c r="R68" s="156"/>
      <c r="S68" s="70"/>
      <c r="T68" s="1"/>
      <c r="U68" s="1" t="s">
        <v>140</v>
      </c>
      <c r="V68" s="70">
        <f>LARGE(V4:V54,3)</f>
        <v>2534466902.7578106</v>
      </c>
      <c r="W68" s="17"/>
    </row>
    <row r="69" spans="3:23" s="85" customFormat="1" x14ac:dyDescent="0.6">
      <c r="C69" s="89"/>
      <c r="D69" s="89"/>
      <c r="E69" s="89"/>
      <c r="F69" s="89"/>
      <c r="G69" s="89"/>
      <c r="H69" s="89"/>
      <c r="I69" s="89"/>
      <c r="J69" s="89"/>
      <c r="K69" s="174"/>
      <c r="L69" s="174"/>
      <c r="M69" s="178"/>
      <c r="O69" s="156"/>
      <c r="P69" s="156"/>
      <c r="Q69" s="156"/>
      <c r="R69" s="156"/>
      <c r="S69" s="70"/>
      <c r="T69" s="1"/>
      <c r="U69" s="1"/>
      <c r="V69" s="70"/>
      <c r="W69" s="17"/>
    </row>
    <row r="70" spans="3:23" s="85" customFormat="1" x14ac:dyDescent="0.6">
      <c r="C70" s="89"/>
      <c r="D70" s="89"/>
      <c r="E70" s="89"/>
      <c r="F70" s="89"/>
      <c r="G70" s="89"/>
      <c r="H70" s="89"/>
      <c r="I70" s="89"/>
      <c r="J70" s="89"/>
      <c r="K70" s="174"/>
      <c r="L70" s="174"/>
      <c r="M70" s="178"/>
      <c r="O70" s="156"/>
      <c r="P70" s="156"/>
      <c r="Q70" s="156"/>
      <c r="R70" s="156"/>
      <c r="S70" s="70"/>
      <c r="T70" s="1"/>
      <c r="U70" s="1" t="s">
        <v>852</v>
      </c>
      <c r="V70" s="891">
        <f>SUM(V4:V54)</f>
        <v>38590840234.735008</v>
      </c>
      <c r="W70" s="929">
        <v>51</v>
      </c>
    </row>
    <row r="71" spans="3:23" s="85" customFormat="1" x14ac:dyDescent="0.6">
      <c r="C71" s="89"/>
      <c r="D71" s="89"/>
      <c r="E71" s="89"/>
      <c r="F71" s="89"/>
      <c r="G71" s="89"/>
      <c r="H71" s="89"/>
      <c r="I71" s="89"/>
      <c r="J71" s="89"/>
      <c r="K71" s="174"/>
      <c r="L71" s="174"/>
      <c r="M71" s="178"/>
      <c r="O71" s="156"/>
      <c r="P71" s="156"/>
      <c r="Q71" s="156"/>
      <c r="R71" s="156"/>
      <c r="S71" s="70"/>
      <c r="T71" s="1"/>
      <c r="U71" s="1" t="s">
        <v>853</v>
      </c>
      <c r="V71" s="891">
        <v>0</v>
      </c>
      <c r="W71" s="929">
        <v>0</v>
      </c>
    </row>
    <row r="72" spans="3:23" s="85" customFormat="1" x14ac:dyDescent="0.6">
      <c r="C72" s="89"/>
      <c r="D72" s="89"/>
      <c r="E72" s="89"/>
      <c r="F72" s="89"/>
      <c r="G72" s="89"/>
      <c r="H72" s="89"/>
      <c r="I72" s="89"/>
      <c r="J72" s="89"/>
      <c r="K72" s="174"/>
      <c r="L72" s="174"/>
      <c r="M72" s="178"/>
      <c r="O72" s="156"/>
      <c r="P72" s="156"/>
      <c r="Q72" s="156"/>
      <c r="R72" s="156"/>
      <c r="S72" s="70"/>
      <c r="T72" s="1"/>
      <c r="U72" s="1"/>
      <c r="V72" s="70"/>
      <c r="W72" s="17"/>
    </row>
    <row r="73" spans="3:23" s="85" customFormat="1" x14ac:dyDescent="0.6">
      <c r="C73" s="89"/>
      <c r="D73" s="89"/>
      <c r="E73" s="89"/>
      <c r="F73" s="89"/>
      <c r="G73" s="89"/>
      <c r="H73" s="89"/>
      <c r="I73" s="89"/>
      <c r="J73" s="89"/>
      <c r="K73" s="174"/>
      <c r="L73" s="174"/>
      <c r="M73" s="178"/>
      <c r="O73" s="156"/>
      <c r="P73" s="156"/>
      <c r="Q73" s="156"/>
      <c r="R73" s="156"/>
      <c r="S73" s="70"/>
      <c r="T73" s="1"/>
      <c r="U73" s="1"/>
      <c r="V73" s="891"/>
      <c r="W73" s="17"/>
    </row>
    <row r="74" spans="3:23" s="85" customFormat="1" x14ac:dyDescent="0.6">
      <c r="C74" s="89"/>
      <c r="D74" s="89"/>
      <c r="E74" s="89"/>
      <c r="F74" s="89"/>
      <c r="G74" s="89"/>
      <c r="H74" s="89"/>
      <c r="I74" s="89"/>
      <c r="J74" s="89"/>
      <c r="K74" s="174"/>
      <c r="L74" s="174"/>
      <c r="M74" s="178"/>
      <c r="O74" s="156"/>
      <c r="P74" s="156"/>
      <c r="Q74" s="156"/>
      <c r="R74" s="156"/>
      <c r="S74" s="70"/>
      <c r="T74" s="1"/>
    </row>
    <row r="75" spans="3:23" s="85" customFormat="1" x14ac:dyDescent="0.6">
      <c r="C75" s="89"/>
      <c r="D75" s="89"/>
      <c r="E75" s="89"/>
      <c r="F75" s="89"/>
      <c r="G75" s="89"/>
      <c r="H75" s="89"/>
      <c r="I75" s="89"/>
      <c r="J75" s="89"/>
      <c r="K75" s="174"/>
      <c r="L75" s="174"/>
      <c r="M75" s="178"/>
      <c r="O75" s="156"/>
      <c r="P75" s="156"/>
      <c r="Q75" s="156"/>
      <c r="R75" s="156"/>
      <c r="S75" s="70"/>
      <c r="T75" s="1"/>
    </row>
    <row r="76" spans="3:23" s="85" customFormat="1" x14ac:dyDescent="0.6">
      <c r="C76" s="89"/>
      <c r="D76" s="89"/>
      <c r="E76" s="89"/>
      <c r="F76" s="89"/>
      <c r="G76" s="89"/>
      <c r="H76" s="89"/>
      <c r="I76" s="89"/>
      <c r="J76" s="89"/>
      <c r="K76" s="174"/>
      <c r="L76" s="174"/>
      <c r="M76" s="178"/>
      <c r="O76" s="156"/>
      <c r="P76" s="156"/>
      <c r="Q76" s="156"/>
      <c r="R76" s="156"/>
      <c r="S76" s="70"/>
      <c r="T76" s="17"/>
      <c r="U76" s="17"/>
      <c r="V76" s="891"/>
      <c r="W76" s="1"/>
    </row>
    <row r="77" spans="3:23" s="85" customFormat="1" x14ac:dyDescent="0.6">
      <c r="C77" s="89"/>
      <c r="D77" s="89"/>
      <c r="E77" s="89"/>
      <c r="F77" s="89"/>
      <c r="G77" s="89"/>
      <c r="H77" s="89"/>
      <c r="I77" s="89"/>
      <c r="J77" s="89"/>
      <c r="K77" s="174"/>
      <c r="L77" s="174"/>
      <c r="M77" s="178"/>
      <c r="O77" s="156"/>
      <c r="P77" s="156"/>
      <c r="Q77" s="156"/>
      <c r="R77" s="156"/>
      <c r="S77" s="70"/>
      <c r="T77" s="17"/>
      <c r="U77" s="17"/>
      <c r="V77" s="891"/>
      <c r="W77" s="1"/>
    </row>
    <row r="78" spans="3:23" s="85" customFormat="1" x14ac:dyDescent="0.6">
      <c r="C78" s="89"/>
      <c r="D78" s="89"/>
      <c r="E78" s="89"/>
      <c r="F78" s="89"/>
      <c r="G78" s="89"/>
      <c r="H78" s="89"/>
      <c r="I78" s="89"/>
      <c r="J78" s="89"/>
      <c r="K78" s="174"/>
      <c r="L78" s="174"/>
      <c r="M78" s="178"/>
      <c r="O78" s="156"/>
      <c r="P78" s="156"/>
      <c r="Q78" s="156"/>
      <c r="R78" s="156"/>
      <c r="S78" s="70"/>
      <c r="T78" s="17"/>
      <c r="U78" s="17"/>
      <c r="V78" s="891"/>
      <c r="W78" s="1"/>
    </row>
    <row r="79" spans="3:23" s="85" customFormat="1" x14ac:dyDescent="0.6">
      <c r="C79" s="89"/>
      <c r="D79" s="89"/>
      <c r="E79" s="89"/>
      <c r="F79" s="89"/>
      <c r="G79" s="89"/>
      <c r="H79" s="89"/>
      <c r="I79" s="89"/>
      <c r="J79" s="89"/>
      <c r="K79" s="174"/>
      <c r="L79" s="174"/>
      <c r="M79" s="178"/>
      <c r="O79" s="156"/>
      <c r="P79" s="156"/>
      <c r="Q79" s="156"/>
      <c r="R79" s="156"/>
      <c r="S79" s="70"/>
      <c r="T79" s="17"/>
      <c r="U79" s="17"/>
      <c r="V79" s="70"/>
      <c r="W79" s="1"/>
    </row>
    <row r="80" spans="3:23" s="85" customFormat="1" x14ac:dyDescent="0.6">
      <c r="C80" s="89"/>
      <c r="D80" s="89"/>
      <c r="E80" s="89"/>
      <c r="F80" s="89"/>
      <c r="G80" s="89"/>
      <c r="H80" s="89"/>
      <c r="I80" s="89"/>
      <c r="J80" s="89"/>
      <c r="K80" s="174"/>
      <c r="L80" s="174"/>
      <c r="M80" s="178"/>
      <c r="O80" s="156"/>
      <c r="P80" s="156"/>
      <c r="Q80" s="156"/>
      <c r="R80" s="156"/>
      <c r="S80" s="70"/>
      <c r="T80" s="70"/>
      <c r="U80" s="70"/>
    </row>
    <row r="81" spans="3:21" s="85" customFormat="1" x14ac:dyDescent="0.6">
      <c r="C81" s="89"/>
      <c r="D81" s="89"/>
      <c r="E81" s="89"/>
      <c r="F81" s="89"/>
      <c r="G81" s="89"/>
      <c r="H81" s="89"/>
      <c r="I81" s="89"/>
      <c r="J81" s="89"/>
      <c r="K81" s="174"/>
      <c r="L81" s="174"/>
      <c r="M81" s="178"/>
      <c r="O81" s="156"/>
      <c r="P81" s="156"/>
      <c r="Q81" s="156"/>
      <c r="R81" s="156"/>
      <c r="S81" s="70"/>
      <c r="T81" s="70"/>
      <c r="U81" s="70"/>
    </row>
    <row r="82" spans="3:21" s="85" customFormat="1" x14ac:dyDescent="0.6">
      <c r="C82" s="89"/>
      <c r="D82" s="89"/>
      <c r="E82" s="89"/>
      <c r="F82" s="89"/>
      <c r="G82" s="89"/>
      <c r="H82" s="89"/>
      <c r="I82" s="89"/>
      <c r="J82" s="89"/>
      <c r="K82" s="174"/>
      <c r="L82" s="174"/>
      <c r="M82" s="178"/>
      <c r="O82" s="156"/>
      <c r="P82" s="156"/>
      <c r="Q82" s="156"/>
      <c r="R82" s="156"/>
      <c r="S82" s="70"/>
      <c r="T82" s="70"/>
      <c r="U82" s="70"/>
    </row>
    <row r="83" spans="3:21" s="85" customFormat="1" x14ac:dyDescent="0.6">
      <c r="C83" s="89"/>
      <c r="D83" s="89"/>
      <c r="E83" s="89"/>
      <c r="F83" s="89"/>
      <c r="G83" s="89"/>
      <c r="H83" s="89"/>
      <c r="I83" s="89"/>
      <c r="J83" s="89"/>
      <c r="K83" s="174"/>
      <c r="L83" s="174"/>
      <c r="M83" s="178"/>
      <c r="O83" s="156"/>
      <c r="P83" s="156"/>
      <c r="Q83" s="156"/>
      <c r="R83" s="156"/>
      <c r="S83" s="70"/>
      <c r="T83" s="70"/>
      <c r="U83" s="70"/>
    </row>
    <row r="84" spans="3:21" s="85" customFormat="1" x14ac:dyDescent="0.6">
      <c r="C84" s="89"/>
      <c r="D84" s="89"/>
      <c r="E84" s="89"/>
      <c r="F84" s="89"/>
      <c r="G84" s="89"/>
      <c r="H84" s="89"/>
      <c r="I84" s="89"/>
      <c r="J84" s="89"/>
      <c r="K84" s="174"/>
      <c r="L84" s="174"/>
      <c r="M84" s="178"/>
      <c r="O84" s="156"/>
      <c r="P84" s="156"/>
      <c r="Q84" s="156"/>
      <c r="R84" s="156"/>
      <c r="S84" s="70"/>
      <c r="T84" s="70"/>
      <c r="U84" s="70"/>
    </row>
    <row r="85" spans="3:21" s="85" customFormat="1" x14ac:dyDescent="0.6">
      <c r="C85" s="89"/>
      <c r="D85" s="89"/>
      <c r="E85" s="89"/>
      <c r="F85" s="89"/>
      <c r="G85" s="89"/>
      <c r="H85" s="89"/>
      <c r="I85" s="89"/>
      <c r="J85" s="89"/>
      <c r="K85" s="174"/>
      <c r="L85" s="174"/>
      <c r="M85" s="178"/>
      <c r="O85" s="156"/>
      <c r="P85" s="156"/>
      <c r="Q85" s="156"/>
      <c r="R85" s="156"/>
      <c r="S85" s="70"/>
      <c r="T85" s="70"/>
      <c r="U85" s="70"/>
    </row>
  </sheetData>
  <sortState xmlns:xlrd2="http://schemas.microsoft.com/office/spreadsheetml/2017/richdata2" ref="B6:L56">
    <sortCondition ref="B6:B56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227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" defaultRowHeight="15.6" x14ac:dyDescent="0.6"/>
  <cols>
    <col min="1" max="1" width="60.09765625" customWidth="1"/>
    <col min="2" max="2" width="18" customWidth="1"/>
    <col min="3" max="3" width="18" bestFit="1" customWidth="1"/>
    <col min="4" max="4" width="16.09765625" customWidth="1"/>
    <col min="5" max="5" width="8.09765625" style="114" bestFit="1" customWidth="1"/>
    <col min="6" max="6" width="15" style="70" customWidth="1"/>
    <col min="7" max="7" width="10.84765625" style="1"/>
  </cols>
  <sheetData>
    <row r="1" spans="1:7" s="1" customFormat="1" x14ac:dyDescent="0.6">
      <c r="A1" s="78" t="s">
        <v>763</v>
      </c>
      <c r="B1" s="109" t="s">
        <v>237</v>
      </c>
      <c r="C1" s="109" t="s">
        <v>98</v>
      </c>
      <c r="D1" s="18" t="s">
        <v>239</v>
      </c>
      <c r="E1" s="838" t="s">
        <v>1731</v>
      </c>
      <c r="F1" s="1477"/>
    </row>
    <row r="2" spans="1:7" s="192" customFormat="1" x14ac:dyDescent="0.6">
      <c r="A2" s="78" t="s">
        <v>37</v>
      </c>
      <c r="B2" s="742">
        <f>SUM(B3:B8)</f>
        <v>313747759</v>
      </c>
      <c r="C2" s="742">
        <f>SUM(C3:C8)</f>
        <v>313747759</v>
      </c>
      <c r="D2" s="743">
        <f>SUM(D3:D8)</f>
        <v>0</v>
      </c>
      <c r="E2" s="838"/>
      <c r="F2" s="1564"/>
      <c r="G2" s="1"/>
    </row>
    <row r="3" spans="1:7" s="1" customFormat="1" x14ac:dyDescent="0.6">
      <c r="A3" s="1" t="s">
        <v>1154</v>
      </c>
      <c r="B3" s="70">
        <v>1600000</v>
      </c>
      <c r="C3" s="70">
        <f t="shared" ref="C3:C8" si="0">B3</f>
        <v>1600000</v>
      </c>
      <c r="D3" s="607"/>
      <c r="E3" s="838" t="s">
        <v>769</v>
      </c>
      <c r="F3" s="1594" t="s">
        <v>37</v>
      </c>
    </row>
    <row r="4" spans="1:7" s="1" customFormat="1" x14ac:dyDescent="0.6">
      <c r="A4" s="1" t="s">
        <v>1153</v>
      </c>
      <c r="B4" s="70">
        <v>1459451</v>
      </c>
      <c r="C4" s="70">
        <f t="shared" si="0"/>
        <v>1459451</v>
      </c>
      <c r="D4" s="607"/>
      <c r="E4" s="838" t="s">
        <v>769</v>
      </c>
      <c r="F4" s="593" t="s">
        <v>42</v>
      </c>
      <c r="G4" s="1">
        <f>8-2</f>
        <v>6</v>
      </c>
    </row>
    <row r="5" spans="1:7" s="1" customFormat="1" x14ac:dyDescent="0.6">
      <c r="A5" s="1" t="s">
        <v>1155</v>
      </c>
      <c r="B5" s="70">
        <v>41000000</v>
      </c>
      <c r="C5" s="70">
        <f t="shared" si="0"/>
        <v>41000000</v>
      </c>
      <c r="D5" s="607"/>
      <c r="E5" s="838" t="s">
        <v>769</v>
      </c>
      <c r="F5" s="593" t="s">
        <v>802</v>
      </c>
      <c r="G5" s="1">
        <f>COUNTIF(B3:B8,"ND")</f>
        <v>0</v>
      </c>
    </row>
    <row r="6" spans="1:7" s="1" customFormat="1" x14ac:dyDescent="0.6">
      <c r="A6" s="1" t="s">
        <v>1156</v>
      </c>
      <c r="B6" s="70">
        <v>29000000</v>
      </c>
      <c r="C6" s="70">
        <f t="shared" si="0"/>
        <v>29000000</v>
      </c>
      <c r="D6" s="607"/>
      <c r="E6" s="838" t="s">
        <v>769</v>
      </c>
      <c r="F6" s="593" t="s">
        <v>1732</v>
      </c>
      <c r="G6" s="1">
        <f>COUNTIF(E2:E8,"x")</f>
        <v>5</v>
      </c>
    </row>
    <row r="7" spans="1:7" s="1" customFormat="1" x14ac:dyDescent="0.6">
      <c r="A7" s="1" t="s">
        <v>729</v>
      </c>
      <c r="B7" s="70">
        <v>6122121</v>
      </c>
      <c r="C7" s="70">
        <f t="shared" si="0"/>
        <v>6122121</v>
      </c>
      <c r="D7" s="607"/>
      <c r="E7" s="838" t="s">
        <v>769</v>
      </c>
      <c r="F7" s="593" t="s">
        <v>239</v>
      </c>
      <c r="G7" s="1">
        <f>COUNT(E2:E8)</f>
        <v>0</v>
      </c>
    </row>
    <row r="8" spans="1:7" s="1" customFormat="1" ht="15.9" thickBot="1" x14ac:dyDescent="0.65">
      <c r="A8" s="16" t="s">
        <v>250</v>
      </c>
      <c r="B8" s="658">
        <v>234566187</v>
      </c>
      <c r="C8" s="108">
        <f t="shared" si="0"/>
        <v>234566187</v>
      </c>
      <c r="D8" s="651"/>
      <c r="E8" s="594"/>
      <c r="F8" s="108"/>
      <c r="G8" s="16"/>
    </row>
    <row r="9" spans="1:7" s="192" customFormat="1" ht="15.9" thickTop="1" x14ac:dyDescent="0.6">
      <c r="A9" s="78" t="s">
        <v>0</v>
      </c>
      <c r="B9" s="723">
        <f>SUM(B10:B10)</f>
        <v>0</v>
      </c>
      <c r="C9" s="723">
        <f>SUM(C10:C10)</f>
        <v>0</v>
      </c>
      <c r="D9" s="724">
        <f>SUM(D10:D10)</f>
        <v>0</v>
      </c>
      <c r="E9" s="838"/>
      <c r="F9" s="1594" t="s">
        <v>1739</v>
      </c>
      <c r="G9" s="69"/>
    </row>
    <row r="10" spans="1:7" s="85" customFormat="1" ht="15.9" thickBot="1" x14ac:dyDescent="0.65">
      <c r="A10" s="99"/>
      <c r="B10" s="124"/>
      <c r="C10" s="124"/>
      <c r="D10" s="131"/>
      <c r="E10" s="838"/>
      <c r="F10" s="593" t="s">
        <v>42</v>
      </c>
      <c r="G10" s="1">
        <v>24</v>
      </c>
    </row>
    <row r="11" spans="1:7" s="192" customFormat="1" ht="15.9" thickTop="1" x14ac:dyDescent="0.6">
      <c r="A11" s="78" t="s">
        <v>1</v>
      </c>
      <c r="B11" s="744">
        <f>SUM(B12:B12)</f>
        <v>0</v>
      </c>
      <c r="C11" s="744">
        <f>SUM(C12:C12)</f>
        <v>0</v>
      </c>
      <c r="D11" s="745">
        <f>SUM(D12:D12)</f>
        <v>0</v>
      </c>
      <c r="E11" s="838"/>
      <c r="F11" s="593" t="s">
        <v>802</v>
      </c>
      <c r="G11" s="1">
        <f>COUNTIF(B9:B74,"ND")</f>
        <v>11</v>
      </c>
    </row>
    <row r="12" spans="1:7" s="85" customFormat="1" ht="15.9" thickBot="1" x14ac:dyDescent="0.65">
      <c r="A12" s="99"/>
      <c r="B12" s="126"/>
      <c r="C12" s="126"/>
      <c r="D12" s="133"/>
      <c r="E12" s="838"/>
      <c r="F12" s="593" t="s">
        <v>1732</v>
      </c>
      <c r="G12" s="1">
        <f>COUNTIF(E9:E74,"x")</f>
        <v>21</v>
      </c>
    </row>
    <row r="13" spans="1:7" s="192" customFormat="1" ht="15.9" thickTop="1" x14ac:dyDescent="0.6">
      <c r="A13" s="78" t="s">
        <v>2</v>
      </c>
      <c r="B13" s="746">
        <f>SUM(B15:B15)</f>
        <v>0</v>
      </c>
      <c r="C13" s="746">
        <f>SUM(C15:C15)</f>
        <v>0</v>
      </c>
      <c r="D13" s="747">
        <f>SUM(D15:D15)</f>
        <v>0</v>
      </c>
      <c r="E13" s="838"/>
      <c r="F13" s="593" t="s">
        <v>239</v>
      </c>
      <c r="G13" s="1"/>
    </row>
    <row r="14" spans="1:7" s="85" customFormat="1" x14ac:dyDescent="0.6">
      <c r="A14" s="85" t="s">
        <v>372</v>
      </c>
      <c r="B14" s="770" t="s">
        <v>804</v>
      </c>
      <c r="C14" s="659"/>
      <c r="D14" s="134"/>
      <c r="E14" s="838"/>
      <c r="F14" s="593"/>
      <c r="G14" s="1"/>
    </row>
    <row r="15" spans="1:7" s="85" customFormat="1" ht="15.9" thickBot="1" x14ac:dyDescent="0.65">
      <c r="A15" s="99" t="s">
        <v>730</v>
      </c>
      <c r="B15" s="771" t="s">
        <v>804</v>
      </c>
      <c r="C15" s="128"/>
      <c r="D15" s="135"/>
      <c r="E15" s="838"/>
      <c r="F15" s="593"/>
      <c r="G15" s="1"/>
    </row>
    <row r="16" spans="1:7" s="763" customFormat="1" ht="15.9" thickTop="1" x14ac:dyDescent="0.6">
      <c r="A16" s="78" t="s">
        <v>3</v>
      </c>
      <c r="B16" s="761">
        <f>SUM(B17:B17)</f>
        <v>570000000</v>
      </c>
      <c r="C16" s="761">
        <f>SUM(C17:C17)</f>
        <v>570000000</v>
      </c>
      <c r="D16" s="762">
        <f>SUM(D17:D55)</f>
        <v>0</v>
      </c>
      <c r="E16" s="838"/>
      <c r="F16" s="593"/>
      <c r="G16" s="1"/>
    </row>
    <row r="17" spans="1:7" s="1" customFormat="1" ht="15.9" thickBot="1" x14ac:dyDescent="0.65">
      <c r="A17" s="16" t="s">
        <v>733</v>
      </c>
      <c r="B17" s="597">
        <v>570000000</v>
      </c>
      <c r="C17" s="597">
        <f>B17</f>
        <v>570000000</v>
      </c>
      <c r="D17" s="657"/>
      <c r="E17" s="838" t="s">
        <v>769</v>
      </c>
      <c r="F17" s="593"/>
    </row>
    <row r="18" spans="1:7" s="192" customFormat="1" ht="15.9" thickTop="1" x14ac:dyDescent="0.6">
      <c r="A18" s="78" t="s">
        <v>4</v>
      </c>
      <c r="B18" s="723">
        <f>SUM(B19:B19)</f>
        <v>0</v>
      </c>
      <c r="C18" s="723">
        <f>SUM(C19:C19)</f>
        <v>0</v>
      </c>
      <c r="D18" s="724">
        <f>SUM(D19:D19)</f>
        <v>0</v>
      </c>
      <c r="E18" s="838"/>
      <c r="F18" s="593"/>
      <c r="G18" s="1"/>
    </row>
    <row r="19" spans="1:7" s="85" customFormat="1" ht="15.9" thickBot="1" x14ac:dyDescent="0.65">
      <c r="A19" s="99" t="s">
        <v>731</v>
      </c>
      <c r="B19" s="770" t="s">
        <v>804</v>
      </c>
      <c r="C19" s="124"/>
      <c r="D19" s="131"/>
      <c r="E19" s="838" t="s">
        <v>769</v>
      </c>
      <c r="F19" s="593"/>
      <c r="G19" s="1"/>
    </row>
    <row r="20" spans="1:7" s="192" customFormat="1" ht="15.9" thickTop="1" x14ac:dyDescent="0.6">
      <c r="A20" s="78" t="s">
        <v>5</v>
      </c>
      <c r="B20" s="723">
        <f>SUM(B21:B21)</f>
        <v>0</v>
      </c>
      <c r="C20" s="723">
        <f>SUM(C21:C21)</f>
        <v>0</v>
      </c>
      <c r="D20" s="724">
        <f>SUM(D21:D21)</f>
        <v>0</v>
      </c>
      <c r="E20" s="838"/>
      <c r="F20" s="593"/>
      <c r="G20" s="1"/>
    </row>
    <row r="21" spans="1:7" s="85" customFormat="1" ht="15.9" thickBot="1" x14ac:dyDescent="0.65">
      <c r="A21" s="99"/>
      <c r="B21" s="124"/>
      <c r="C21" s="108"/>
      <c r="D21" s="136"/>
      <c r="E21" s="838"/>
      <c r="F21" s="593"/>
      <c r="G21" s="1"/>
    </row>
    <row r="22" spans="1:7" s="748" customFormat="1" ht="15.9" thickTop="1" x14ac:dyDescent="0.6">
      <c r="A22" s="1060" t="s">
        <v>6</v>
      </c>
      <c r="B22" s="723">
        <f>B23</f>
        <v>180460000</v>
      </c>
      <c r="C22" s="723">
        <f>C23</f>
        <v>180460000</v>
      </c>
      <c r="D22" s="724">
        <f>D23</f>
        <v>0</v>
      </c>
      <c r="E22" s="838"/>
      <c r="F22" s="593"/>
      <c r="G22" s="1"/>
    </row>
    <row r="23" spans="1:7" s="85" customFormat="1" ht="15.9" thickBot="1" x14ac:dyDescent="0.65">
      <c r="A23" s="99" t="s">
        <v>906</v>
      </c>
      <c r="B23" s="124">
        <v>180460000</v>
      </c>
      <c r="C23" s="108">
        <f>B23</f>
        <v>180460000</v>
      </c>
      <c r="D23" s="136"/>
      <c r="E23" s="838" t="s">
        <v>769</v>
      </c>
      <c r="F23" s="593"/>
      <c r="G23" s="1"/>
    </row>
    <row r="24" spans="1:7" s="192" customFormat="1" ht="15.9" thickTop="1" x14ac:dyDescent="0.6">
      <c r="A24" s="78" t="s">
        <v>7</v>
      </c>
      <c r="B24" s="723">
        <f>SUM(B25:B27)</f>
        <v>520365682</v>
      </c>
      <c r="C24" s="723">
        <f>SUM(C25:C27)</f>
        <v>520365682</v>
      </c>
      <c r="D24" s="724">
        <f>SUM(D25:D27)</f>
        <v>0</v>
      </c>
      <c r="E24" s="838"/>
      <c r="F24" s="593"/>
      <c r="G24" s="1"/>
    </row>
    <row r="25" spans="1:7" s="85" customFormat="1" x14ac:dyDescent="0.6">
      <c r="A25" s="85" t="s">
        <v>304</v>
      </c>
      <c r="B25" s="123">
        <v>19349084</v>
      </c>
      <c r="C25" s="123">
        <f>B25</f>
        <v>19349084</v>
      </c>
      <c r="D25" s="130"/>
      <c r="E25" s="838" t="s">
        <v>769</v>
      </c>
      <c r="F25" s="593"/>
      <c r="G25" s="1"/>
    </row>
    <row r="26" spans="1:7" s="85" customFormat="1" x14ac:dyDescent="0.6">
      <c r="A26" s="85" t="s">
        <v>1157</v>
      </c>
      <c r="B26" s="123">
        <v>168676532</v>
      </c>
      <c r="C26" s="123">
        <f>B26</f>
        <v>168676532</v>
      </c>
      <c r="D26" s="130"/>
      <c r="E26" s="838" t="s">
        <v>769</v>
      </c>
      <c r="F26" s="593"/>
      <c r="G26" s="1"/>
    </row>
    <row r="27" spans="1:7" s="85" customFormat="1" ht="15.9" thickBot="1" x14ac:dyDescent="0.65">
      <c r="A27" s="99" t="s">
        <v>734</v>
      </c>
      <c r="B27" s="124">
        <v>332340066</v>
      </c>
      <c r="C27" s="108">
        <f>B27</f>
        <v>332340066</v>
      </c>
      <c r="D27" s="136"/>
      <c r="E27" s="838" t="s">
        <v>769</v>
      </c>
      <c r="F27" s="593"/>
      <c r="G27" s="1"/>
    </row>
    <row r="28" spans="1:7" s="748" customFormat="1" ht="15.9" thickTop="1" x14ac:dyDescent="0.6">
      <c r="A28" s="1060" t="s">
        <v>8</v>
      </c>
      <c r="B28" s="723"/>
      <c r="C28" s="723"/>
      <c r="D28" s="724"/>
      <c r="E28" s="686"/>
      <c r="F28" s="595"/>
      <c r="G28" s="596"/>
    </row>
    <row r="29" spans="1:7" s="123" customFormat="1" x14ac:dyDescent="0.6">
      <c r="A29" s="599" t="s">
        <v>1158</v>
      </c>
      <c r="B29" s="686" t="s">
        <v>804</v>
      </c>
      <c r="C29" s="599"/>
      <c r="D29" s="130"/>
      <c r="E29" s="686" t="s">
        <v>769</v>
      </c>
      <c r="F29" s="599"/>
      <c r="G29" s="596"/>
    </row>
    <row r="30" spans="1:7" s="85" customFormat="1" ht="15.9" thickBot="1" x14ac:dyDescent="0.65">
      <c r="A30" s="99" t="s">
        <v>735</v>
      </c>
      <c r="B30" s="770" t="s">
        <v>804</v>
      </c>
      <c r="C30" s="108"/>
      <c r="D30" s="136"/>
      <c r="E30" s="686" t="s">
        <v>769</v>
      </c>
      <c r="F30" s="595"/>
      <c r="G30" s="596"/>
    </row>
    <row r="31" spans="1:7" s="192" customFormat="1" ht="15.9" thickTop="1" x14ac:dyDescent="0.6">
      <c r="A31" s="78" t="s">
        <v>9</v>
      </c>
      <c r="B31" s="723">
        <f>SUM(B32:B32)</f>
        <v>266315706</v>
      </c>
      <c r="C31" s="723">
        <f>SUM(C32:C32)</f>
        <v>266315706</v>
      </c>
      <c r="D31" s="724">
        <f>SUM(D32:D32)</f>
        <v>0</v>
      </c>
      <c r="E31" s="686"/>
      <c r="F31" s="599"/>
      <c r="G31" s="596"/>
    </row>
    <row r="32" spans="1:7" s="85" customFormat="1" ht="15.9" thickBot="1" x14ac:dyDescent="0.65">
      <c r="A32" s="99" t="s">
        <v>1159</v>
      </c>
      <c r="B32" s="124">
        <v>266315706</v>
      </c>
      <c r="C32" s="108">
        <f>B32</f>
        <v>266315706</v>
      </c>
      <c r="D32" s="136"/>
      <c r="E32" s="686" t="s">
        <v>769</v>
      </c>
      <c r="F32" s="595"/>
      <c r="G32" s="596"/>
    </row>
    <row r="33" spans="1:7" s="192" customFormat="1" ht="15.9" thickTop="1" x14ac:dyDescent="0.6">
      <c r="A33" s="78" t="s">
        <v>10</v>
      </c>
      <c r="B33" s="723">
        <f>SUM(B34:B34)</f>
        <v>0</v>
      </c>
      <c r="C33" s="723">
        <f>SUM(C34:C34)</f>
        <v>0</v>
      </c>
      <c r="D33" s="724">
        <f>SUM(D34:D34)</f>
        <v>0</v>
      </c>
      <c r="E33" s="686"/>
      <c r="F33" s="595"/>
      <c r="G33" s="596"/>
    </row>
    <row r="34" spans="1:7" s="85" customFormat="1" ht="15.9" thickBot="1" x14ac:dyDescent="0.65">
      <c r="A34" s="99"/>
      <c r="B34" s="124"/>
      <c r="C34" s="124"/>
      <c r="D34" s="131"/>
      <c r="E34" s="686"/>
      <c r="F34" s="599"/>
      <c r="G34" s="596"/>
    </row>
    <row r="35" spans="1:7" s="630" customFormat="1" ht="15.9" thickTop="1" x14ac:dyDescent="0.6">
      <c r="A35" s="1080" t="s">
        <v>11</v>
      </c>
      <c r="B35" s="749">
        <f>SUM(B36:B36)</f>
        <v>0</v>
      </c>
      <c r="C35" s="749">
        <f>SUM(C36:C36)</f>
        <v>0</v>
      </c>
      <c r="D35" s="750">
        <f>SUM(D36:D36)</f>
        <v>0</v>
      </c>
      <c r="E35" s="686"/>
      <c r="F35" s="595"/>
      <c r="G35" s="596"/>
    </row>
    <row r="36" spans="1:7" s="632" customFormat="1" ht="15.9" thickBot="1" x14ac:dyDescent="0.65">
      <c r="A36" s="634"/>
      <c r="B36" s="634"/>
      <c r="C36" s="634"/>
      <c r="D36" s="635"/>
      <c r="E36" s="686"/>
      <c r="F36" s="599"/>
      <c r="G36" s="596"/>
    </row>
    <row r="37" spans="1:7" s="748" customFormat="1" ht="15.9" thickTop="1" x14ac:dyDescent="0.6">
      <c r="A37" s="1060" t="s">
        <v>12</v>
      </c>
      <c r="B37" s="723"/>
      <c r="C37" s="723"/>
      <c r="D37" s="724"/>
      <c r="E37" s="686"/>
      <c r="F37" s="595"/>
      <c r="G37" s="596"/>
    </row>
    <row r="38" spans="1:7" s="85" customFormat="1" ht="15.9" thickBot="1" x14ac:dyDescent="0.65">
      <c r="A38" s="99"/>
      <c r="B38" s="124"/>
      <c r="C38" s="108"/>
      <c r="D38" s="136"/>
      <c r="E38" s="686"/>
      <c r="F38" s="599"/>
      <c r="G38" s="596"/>
    </row>
    <row r="39" spans="1:7" s="748" customFormat="1" ht="15.9" thickTop="1" x14ac:dyDescent="0.6">
      <c r="A39" s="1060" t="s">
        <v>13</v>
      </c>
      <c r="B39" s="723">
        <f>SUM(B40:B40)</f>
        <v>360000000</v>
      </c>
      <c r="C39" s="723">
        <f>SUM(C40:C40)</f>
        <v>360000000</v>
      </c>
      <c r="D39" s="724">
        <f>SUM(D40:D40)</f>
        <v>0</v>
      </c>
      <c r="E39" s="686"/>
      <c r="F39" s="595"/>
      <c r="G39" s="596"/>
    </row>
    <row r="40" spans="1:7" s="85" customFormat="1" ht="15.9" thickBot="1" x14ac:dyDescent="0.65">
      <c r="A40" s="99" t="s">
        <v>736</v>
      </c>
      <c r="B40" s="124">
        <v>360000000</v>
      </c>
      <c r="C40" s="108">
        <f>B40</f>
        <v>360000000</v>
      </c>
      <c r="D40" s="136"/>
      <c r="E40" s="686" t="s">
        <v>769</v>
      </c>
      <c r="F40" s="595"/>
      <c r="G40" s="596"/>
    </row>
    <row r="41" spans="1:7" s="748" customFormat="1" ht="15.9" thickTop="1" x14ac:dyDescent="0.6">
      <c r="A41" s="1060" t="s">
        <v>14</v>
      </c>
      <c r="B41" s="723"/>
      <c r="C41" s="723"/>
      <c r="D41" s="724"/>
      <c r="E41" s="686"/>
      <c r="F41" s="599"/>
      <c r="G41" s="596"/>
    </row>
    <row r="42" spans="1:7" s="85" customFormat="1" ht="15.9" thickBot="1" x14ac:dyDescent="0.65">
      <c r="A42" s="99"/>
      <c r="B42" s="124"/>
      <c r="C42" s="108"/>
      <c r="D42" s="136"/>
      <c r="E42" s="686"/>
      <c r="F42" s="595"/>
      <c r="G42" s="596"/>
    </row>
    <row r="43" spans="1:7" s="192" customFormat="1" ht="15.9" thickTop="1" x14ac:dyDescent="0.6">
      <c r="A43" s="78" t="s">
        <v>15</v>
      </c>
      <c r="B43" s="723">
        <f>SUM(B44:B44)</f>
        <v>0</v>
      </c>
      <c r="C43" s="723">
        <f>SUM(C44:C44)</f>
        <v>0</v>
      </c>
      <c r="D43" s="724">
        <f>SUM(D44:D44)</f>
        <v>0</v>
      </c>
      <c r="E43" s="686"/>
      <c r="F43" s="595"/>
      <c r="G43" s="596"/>
    </row>
    <row r="44" spans="1:7" s="85" customFormat="1" ht="15.9" thickBot="1" x14ac:dyDescent="0.65">
      <c r="A44" s="99"/>
      <c r="B44" s="124"/>
      <c r="C44" s="124"/>
      <c r="D44" s="131"/>
      <c r="E44" s="686"/>
      <c r="F44" s="599"/>
      <c r="G44" s="596"/>
    </row>
    <row r="45" spans="1:7" s="192" customFormat="1" ht="15.9" thickTop="1" x14ac:dyDescent="0.6">
      <c r="A45" s="78" t="s">
        <v>16</v>
      </c>
      <c r="B45" s="723">
        <f>SUM(B46:B46)</f>
        <v>0</v>
      </c>
      <c r="C45" s="723">
        <f>SUM(C46:C46)</f>
        <v>0</v>
      </c>
      <c r="D45" s="724">
        <f>SUM(D46:D46)</f>
        <v>0</v>
      </c>
      <c r="E45" s="686"/>
      <c r="F45" s="595"/>
      <c r="G45" s="596"/>
    </row>
    <row r="46" spans="1:7" s="85" customFormat="1" ht="15.9" thickBot="1" x14ac:dyDescent="0.65">
      <c r="A46" s="99"/>
      <c r="B46" s="124"/>
      <c r="C46" s="108"/>
      <c r="D46" s="136"/>
      <c r="E46" s="686"/>
      <c r="F46" s="599"/>
      <c r="G46" s="123"/>
    </row>
    <row r="47" spans="1:7" s="748" customFormat="1" ht="15.9" thickTop="1" x14ac:dyDescent="0.6">
      <c r="A47" s="1060" t="s">
        <v>17</v>
      </c>
      <c r="B47" s="723"/>
      <c r="C47" s="723"/>
      <c r="D47" s="724"/>
      <c r="E47" s="686"/>
      <c r="F47" s="599"/>
      <c r="G47" s="123"/>
    </row>
    <row r="48" spans="1:7" s="85" customFormat="1" ht="15.9" thickBot="1" x14ac:dyDescent="0.65">
      <c r="A48" s="99"/>
      <c r="B48" s="124"/>
      <c r="C48" s="108"/>
      <c r="D48" s="136"/>
      <c r="E48" s="686"/>
      <c r="F48" s="599"/>
      <c r="G48" s="123"/>
    </row>
    <row r="49" spans="1:7" s="192" customFormat="1" ht="15.9" thickTop="1" x14ac:dyDescent="0.6">
      <c r="A49" s="78" t="s">
        <v>18</v>
      </c>
      <c r="B49" s="723">
        <f>SUM(B50:B50)</f>
        <v>0</v>
      </c>
      <c r="C49" s="723">
        <f>SUM(C50:C50)</f>
        <v>0</v>
      </c>
      <c r="D49" s="724">
        <f>SUM(D50:D50)</f>
        <v>0</v>
      </c>
      <c r="E49" s="686"/>
      <c r="F49" s="599"/>
      <c r="G49" s="123"/>
    </row>
    <row r="50" spans="1:7" s="85" customFormat="1" ht="15.9" thickBot="1" x14ac:dyDescent="0.65">
      <c r="A50" s="99"/>
      <c r="B50" s="124"/>
      <c r="C50" s="108"/>
      <c r="D50" s="136"/>
      <c r="E50" s="686"/>
      <c r="F50" s="599"/>
      <c r="G50" s="123"/>
    </row>
    <row r="51" spans="1:7" s="192" customFormat="1" ht="15.9" thickTop="1" x14ac:dyDescent="0.6">
      <c r="A51" s="78" t="s">
        <v>19</v>
      </c>
      <c r="B51" s="751">
        <f>SUM(B53:B53)</f>
        <v>730000000</v>
      </c>
      <c r="C51" s="751">
        <f>SUM(C53:C53)</f>
        <v>730000000</v>
      </c>
      <c r="D51" s="752">
        <f>SUM(D53:D53)</f>
        <v>0</v>
      </c>
      <c r="E51" s="686"/>
      <c r="F51" s="599"/>
      <c r="G51" s="123"/>
    </row>
    <row r="52" spans="1:7" s="85" customFormat="1" x14ac:dyDescent="0.6">
      <c r="A52" s="104" t="s">
        <v>1160</v>
      </c>
      <c r="B52" s="1201" t="s">
        <v>804</v>
      </c>
      <c r="C52" s="139"/>
      <c r="D52" s="138"/>
      <c r="E52" s="686" t="s">
        <v>769</v>
      </c>
      <c r="F52" s="599"/>
      <c r="G52" s="123"/>
    </row>
    <row r="53" spans="1:7" s="85" customFormat="1" ht="15.9" thickBot="1" x14ac:dyDescent="0.65">
      <c r="A53" s="99" t="s">
        <v>737</v>
      </c>
      <c r="B53" s="137">
        <v>730000000</v>
      </c>
      <c r="C53" s="137">
        <f>B53</f>
        <v>730000000</v>
      </c>
      <c r="D53" s="138"/>
      <c r="E53" s="686" t="s">
        <v>769</v>
      </c>
      <c r="F53" s="595"/>
      <c r="G53" s="123"/>
    </row>
    <row r="54" spans="1:7" s="636" customFormat="1" ht="15.9" thickTop="1" x14ac:dyDescent="0.6">
      <c r="A54" s="1084" t="s">
        <v>20</v>
      </c>
      <c r="B54" s="753">
        <f>SUM(B55:B55)</f>
        <v>0</v>
      </c>
      <c r="C54" s="753">
        <f>C55</f>
        <v>0</v>
      </c>
      <c r="D54" s="754">
        <f>SUM(D55:D55)</f>
        <v>0</v>
      </c>
      <c r="E54" s="686"/>
      <c r="F54" s="595"/>
      <c r="G54" s="123"/>
    </row>
    <row r="55" spans="1:7" s="637" customFormat="1" ht="15.9" thickBot="1" x14ac:dyDescent="0.65">
      <c r="A55" s="639" t="s">
        <v>1161</v>
      </c>
      <c r="B55" s="1082" t="s">
        <v>804</v>
      </c>
      <c r="C55" s="639"/>
      <c r="D55" s="640"/>
      <c r="E55" s="686" t="s">
        <v>769</v>
      </c>
      <c r="F55" s="599"/>
      <c r="G55" s="123"/>
    </row>
    <row r="56" spans="1:7" s="192" customFormat="1" ht="15.9" thickTop="1" x14ac:dyDescent="0.6">
      <c r="A56" s="1122" t="s">
        <v>38</v>
      </c>
      <c r="B56" s="755">
        <f>SUM(B58:B58)</f>
        <v>0</v>
      </c>
      <c r="C56" s="755">
        <f>SUM(C58:C58)</f>
        <v>0</v>
      </c>
      <c r="D56" s="756">
        <f>SUM(D58:D58)</f>
        <v>0</v>
      </c>
      <c r="E56" s="686"/>
      <c r="F56" s="595"/>
      <c r="G56" s="123"/>
    </row>
    <row r="57" spans="1:7" s="85" customFormat="1" x14ac:dyDescent="0.6">
      <c r="A57" s="85" t="s">
        <v>920</v>
      </c>
      <c r="B57" s="1202" t="s">
        <v>804</v>
      </c>
      <c r="C57" s="662"/>
      <c r="D57" s="142"/>
      <c r="E57" s="686" t="s">
        <v>769</v>
      </c>
      <c r="F57" s="599"/>
      <c r="G57" s="123"/>
    </row>
    <row r="58" spans="1:7" s="85" customFormat="1" ht="15.9" thickBot="1" x14ac:dyDescent="0.65">
      <c r="A58" s="99" t="s">
        <v>921</v>
      </c>
      <c r="B58" s="653" t="s">
        <v>804</v>
      </c>
      <c r="C58" s="143"/>
      <c r="D58" s="144"/>
      <c r="E58" s="686" t="s">
        <v>769</v>
      </c>
      <c r="F58" s="599"/>
      <c r="G58" s="123"/>
    </row>
    <row r="59" spans="1:7" s="192" customFormat="1" ht="15.9" thickTop="1" x14ac:dyDescent="0.6">
      <c r="A59" s="1122" t="s">
        <v>39</v>
      </c>
      <c r="B59" s="729">
        <f>SUM(B60:B62)</f>
        <v>291999085</v>
      </c>
      <c r="C59" s="729">
        <f t="shared" ref="C59:D59" si="1">SUM(C60:C62)</f>
        <v>291999085</v>
      </c>
      <c r="D59" s="757">
        <f t="shared" si="1"/>
        <v>0</v>
      </c>
      <c r="E59" s="686"/>
      <c r="F59" s="599"/>
      <c r="G59" s="123"/>
    </row>
    <row r="60" spans="1:7" s="85" customFormat="1" x14ac:dyDescent="0.6">
      <c r="A60" s="85" t="s">
        <v>1162</v>
      </c>
      <c r="B60" s="600">
        <v>267127307</v>
      </c>
      <c r="C60" s="600">
        <f>B60</f>
        <v>267127307</v>
      </c>
      <c r="D60" s="146"/>
      <c r="E60" s="686" t="s">
        <v>769</v>
      </c>
      <c r="F60" s="599"/>
      <c r="G60" s="123"/>
    </row>
    <row r="61" spans="1:7" s="85" customFormat="1" x14ac:dyDescent="0.6">
      <c r="A61" s="85" t="s">
        <v>1051</v>
      </c>
      <c r="B61" s="1063" t="s">
        <v>804</v>
      </c>
      <c r="C61" s="600"/>
      <c r="D61" s="146"/>
      <c r="E61" s="686" t="s">
        <v>769</v>
      </c>
      <c r="F61" s="595"/>
      <c r="G61" s="123"/>
    </row>
    <row r="62" spans="1:7" s="85" customFormat="1" ht="15.9" thickBot="1" x14ac:dyDescent="0.65">
      <c r="A62" s="99" t="s">
        <v>738</v>
      </c>
      <c r="B62" s="147">
        <v>24871778</v>
      </c>
      <c r="C62" s="147">
        <f>B62</f>
        <v>24871778</v>
      </c>
      <c r="D62" s="148"/>
      <c r="E62" s="686" t="s">
        <v>769</v>
      </c>
      <c r="F62" s="599"/>
      <c r="G62" s="123"/>
    </row>
    <row r="63" spans="1:7" s="646" customFormat="1" ht="15.9" thickTop="1" x14ac:dyDescent="0.6">
      <c r="A63" s="1088" t="s">
        <v>40</v>
      </c>
      <c r="B63" s="758">
        <f>SUM(B64:B65)</f>
        <v>1499133628</v>
      </c>
      <c r="C63" s="758">
        <f t="shared" ref="C63:D63" si="2">SUM(C64:C65)</f>
        <v>1499133628</v>
      </c>
      <c r="D63" s="759">
        <f t="shared" si="2"/>
        <v>0</v>
      </c>
      <c r="E63" s="686"/>
      <c r="F63" s="595"/>
      <c r="G63" s="123"/>
    </row>
    <row r="64" spans="1:7" s="647" customFormat="1" x14ac:dyDescent="0.6">
      <c r="A64" s="647" t="s">
        <v>1163</v>
      </c>
      <c r="B64" s="1203">
        <v>1499125493</v>
      </c>
      <c r="C64" s="1203">
        <f>B64</f>
        <v>1499125493</v>
      </c>
      <c r="D64" s="648"/>
      <c r="E64" s="686" t="s">
        <v>769</v>
      </c>
      <c r="F64" s="599"/>
      <c r="G64" s="123"/>
    </row>
    <row r="65" spans="1:7" s="647" customFormat="1" ht="15.9" thickBot="1" x14ac:dyDescent="0.65">
      <c r="A65" s="649" t="s">
        <v>927</v>
      </c>
      <c r="B65" s="649">
        <v>8135</v>
      </c>
      <c r="C65" s="649">
        <f>B65</f>
        <v>8135</v>
      </c>
      <c r="D65" s="650"/>
      <c r="E65" s="686" t="s">
        <v>769</v>
      </c>
      <c r="F65" s="595"/>
      <c r="G65" s="123"/>
    </row>
    <row r="66" spans="1:7" s="748" customFormat="1" ht="15.9" thickTop="1" x14ac:dyDescent="0.6">
      <c r="A66" s="1060" t="s">
        <v>31</v>
      </c>
      <c r="B66" s="595"/>
      <c r="C66" s="595"/>
      <c r="D66" s="725"/>
      <c r="E66" s="686"/>
      <c r="F66" s="599"/>
      <c r="G66" s="123"/>
    </row>
    <row r="67" spans="1:7" s="85" customFormat="1" ht="15.9" thickBot="1" x14ac:dyDescent="0.65">
      <c r="A67" s="99"/>
      <c r="B67" s="124"/>
      <c r="C67" s="108"/>
      <c r="D67" s="136"/>
      <c r="E67" s="686"/>
      <c r="F67" s="595"/>
      <c r="G67" s="123"/>
    </row>
    <row r="68" spans="1:7" s="764" customFormat="1" ht="15.9" thickTop="1" x14ac:dyDescent="0.6">
      <c r="A68" s="1091" t="s">
        <v>47</v>
      </c>
      <c r="B68" s="732">
        <f>B69</f>
        <v>0</v>
      </c>
      <c r="C68" s="732">
        <f>C69</f>
        <v>0</v>
      </c>
      <c r="D68" s="733">
        <f>D69</f>
        <v>0</v>
      </c>
      <c r="E68" s="686"/>
      <c r="F68" s="599"/>
      <c r="G68" s="123"/>
    </row>
    <row r="69" spans="1:7" s="642" customFormat="1" ht="15.9" thickBot="1" x14ac:dyDescent="0.65">
      <c r="A69" s="625"/>
      <c r="B69" s="625"/>
      <c r="C69" s="625"/>
      <c r="D69" s="626"/>
      <c r="E69" s="686"/>
      <c r="F69" s="595"/>
      <c r="G69" s="123"/>
    </row>
    <row r="70" spans="1:7" s="120" customFormat="1" ht="15.9" thickTop="1" x14ac:dyDescent="0.6">
      <c r="A70" s="1092" t="s">
        <v>32</v>
      </c>
      <c r="B70" s="727">
        <f>SUM(B71:B72)</f>
        <v>1207909855</v>
      </c>
      <c r="C70" s="727">
        <f t="shared" ref="C70:D70" si="3">SUM(C71:C72)</f>
        <v>1207909855</v>
      </c>
      <c r="D70" s="728">
        <f t="shared" si="3"/>
        <v>0</v>
      </c>
      <c r="E70" s="686"/>
      <c r="F70" s="599"/>
      <c r="G70" s="123"/>
    </row>
    <row r="71" spans="1:7" s="70" customFormat="1" x14ac:dyDescent="0.6">
      <c r="A71" s="593" t="s">
        <v>939</v>
      </c>
      <c r="B71" s="838" t="s">
        <v>804</v>
      </c>
      <c r="C71" s="593"/>
      <c r="D71" s="607"/>
      <c r="E71" s="686"/>
      <c r="F71" s="595"/>
      <c r="G71" s="123"/>
    </row>
    <row r="72" spans="1:7" s="85" customFormat="1" ht="15.9" thickBot="1" x14ac:dyDescent="0.65">
      <c r="A72" s="99" t="s">
        <v>739</v>
      </c>
      <c r="B72" s="655">
        <v>1207909855</v>
      </c>
      <c r="C72" s="143">
        <f>B72</f>
        <v>1207909855</v>
      </c>
      <c r="D72" s="144"/>
      <c r="E72" s="686" t="s">
        <v>769</v>
      </c>
      <c r="F72" s="599"/>
      <c r="G72" s="123"/>
    </row>
    <row r="73" spans="1:7" s="748" customFormat="1" ht="15.9" thickTop="1" x14ac:dyDescent="0.6">
      <c r="A73" s="1060" t="s">
        <v>33</v>
      </c>
      <c r="B73" s="723">
        <f>B74</f>
        <v>0</v>
      </c>
      <c r="C73" s="723">
        <f>C74</f>
        <v>0</v>
      </c>
      <c r="D73" s="724"/>
      <c r="E73" s="686"/>
      <c r="F73" s="595"/>
      <c r="G73" s="123"/>
    </row>
    <row r="74" spans="1:7" s="85" customFormat="1" ht="15.9" thickBot="1" x14ac:dyDescent="0.65">
      <c r="A74" s="99"/>
      <c r="B74" s="655"/>
      <c r="C74" s="143"/>
      <c r="D74" s="144"/>
      <c r="E74" s="598"/>
      <c r="F74" s="124"/>
      <c r="G74" s="124"/>
    </row>
    <row r="75" spans="1:7" s="765" customFormat="1" ht="15.9" thickTop="1" x14ac:dyDescent="0.6">
      <c r="A75" s="1093" t="s">
        <v>46</v>
      </c>
      <c r="B75" s="734">
        <f>SUM(B76:B77)</f>
        <v>15149400000</v>
      </c>
      <c r="C75" s="734">
        <f t="shared" ref="C75:D75" si="4">SUM(C76:C77)</f>
        <v>15149400000</v>
      </c>
      <c r="D75" s="735">
        <f t="shared" si="4"/>
        <v>0</v>
      </c>
      <c r="E75" s="686"/>
    </row>
    <row r="76" spans="1:7" s="643" customFormat="1" x14ac:dyDescent="0.6">
      <c r="A76" s="608" t="s">
        <v>946</v>
      </c>
      <c r="B76" s="774" t="s">
        <v>804</v>
      </c>
      <c r="C76" s="608"/>
      <c r="D76" s="609"/>
      <c r="E76" s="686"/>
      <c r="F76" s="1594" t="s">
        <v>78</v>
      </c>
      <c r="G76" s="69"/>
    </row>
    <row r="77" spans="1:7" s="643" customFormat="1" ht="15.9" thickBot="1" x14ac:dyDescent="0.65">
      <c r="A77" s="627" t="s">
        <v>868</v>
      </c>
      <c r="B77" s="774">
        <v>15149400000</v>
      </c>
      <c r="C77" s="627">
        <f>B77</f>
        <v>15149400000</v>
      </c>
      <c r="D77" s="610"/>
      <c r="E77" s="686" t="s">
        <v>769</v>
      </c>
      <c r="F77" s="593" t="s">
        <v>42</v>
      </c>
      <c r="G77" s="1">
        <v>5</v>
      </c>
    </row>
    <row r="78" spans="1:7" s="760" customFormat="1" ht="15.9" thickTop="1" x14ac:dyDescent="0.6">
      <c r="A78" s="1094" t="s">
        <v>49</v>
      </c>
      <c r="B78" s="737">
        <f>SUM(B79:B79)</f>
        <v>0</v>
      </c>
      <c r="C78" s="737">
        <f>SUM(C79:C79)</f>
        <v>0</v>
      </c>
      <c r="D78" s="738">
        <f>SUM(D79:D79)</f>
        <v>0</v>
      </c>
      <c r="E78" s="686"/>
      <c r="F78" s="593" t="s">
        <v>802</v>
      </c>
      <c r="G78" s="1">
        <v>2</v>
      </c>
    </row>
    <row r="79" spans="1:7" s="645" customFormat="1" ht="15.9" thickBot="1" x14ac:dyDescent="0.65">
      <c r="A79" s="629"/>
      <c r="B79" s="770"/>
      <c r="C79" s="629"/>
      <c r="D79" s="613"/>
      <c r="E79" s="686"/>
      <c r="F79" s="593" t="s">
        <v>1732</v>
      </c>
      <c r="G79" s="1">
        <v>3</v>
      </c>
    </row>
    <row r="80" spans="1:7" s="192" customFormat="1" ht="15.9" thickTop="1" x14ac:dyDescent="0.6">
      <c r="A80" s="78" t="s">
        <v>50</v>
      </c>
      <c r="B80" s="739">
        <f>SUM(B81:B81)</f>
        <v>888692671</v>
      </c>
      <c r="C80" s="739">
        <f>SUM(C81:C81)</f>
        <v>888692671</v>
      </c>
      <c r="D80" s="740">
        <f>SUM(D81:D81)</f>
        <v>0</v>
      </c>
      <c r="E80" s="686"/>
      <c r="F80" s="593" t="s">
        <v>239</v>
      </c>
      <c r="G80" s="1"/>
    </row>
    <row r="81" spans="1:7" s="85" customFormat="1" ht="15.9" thickBot="1" x14ac:dyDescent="0.65">
      <c r="A81" s="99" t="s">
        <v>740</v>
      </c>
      <c r="B81" s="151">
        <v>888692671</v>
      </c>
      <c r="C81" s="151">
        <f>B81</f>
        <v>888692671</v>
      </c>
      <c r="D81" s="152"/>
      <c r="E81" s="686" t="s">
        <v>769</v>
      </c>
      <c r="F81" s="599"/>
      <c r="G81" s="123"/>
    </row>
    <row r="82" spans="1:7" s="748" customFormat="1" ht="15.9" thickTop="1" x14ac:dyDescent="0.6">
      <c r="A82" s="1060" t="s">
        <v>51</v>
      </c>
      <c r="B82" s="1208">
        <f>SUM(B83:B84)</f>
        <v>25764000000</v>
      </c>
      <c r="C82" s="1208">
        <f t="shared" ref="C82:D82" si="5">SUM(C83:C84)</f>
        <v>25764000000</v>
      </c>
      <c r="D82" s="1209">
        <f t="shared" si="5"/>
        <v>0</v>
      </c>
      <c r="E82" s="686"/>
      <c r="F82" s="595"/>
      <c r="G82" s="123"/>
    </row>
    <row r="83" spans="1:7" s="123" customFormat="1" x14ac:dyDescent="0.6">
      <c r="A83" s="599" t="s">
        <v>1164</v>
      </c>
      <c r="B83" s="1204">
        <v>25764000000</v>
      </c>
      <c r="C83" s="1204">
        <f>B83</f>
        <v>25764000000</v>
      </c>
      <c r="D83" s="1205"/>
      <c r="E83" s="686" t="s">
        <v>769</v>
      </c>
      <c r="F83" s="599"/>
    </row>
    <row r="84" spans="1:7" s="85" customFormat="1" ht="15.9" thickBot="1" x14ac:dyDescent="0.65">
      <c r="A84" s="99" t="s">
        <v>1070</v>
      </c>
      <c r="B84" s="1210" t="s">
        <v>804</v>
      </c>
      <c r="C84" s="1206"/>
      <c r="D84" s="1207"/>
      <c r="E84" s="838"/>
      <c r="F84" s="1565"/>
      <c r="G84" s="1"/>
    </row>
    <row r="85" spans="1:7" ht="15.9" thickTop="1" x14ac:dyDescent="0.6">
      <c r="E85" s="838"/>
      <c r="F85" s="593"/>
    </row>
    <row r="86" spans="1:7" x14ac:dyDescent="0.6">
      <c r="A86" s="1370" t="s">
        <v>1451</v>
      </c>
      <c r="B86" s="13">
        <f>COUNTIF(B2:B84,"=ND")</f>
        <v>13</v>
      </c>
      <c r="E86" s="838"/>
      <c r="F86" s="593"/>
    </row>
    <row r="87" spans="1:7" x14ac:dyDescent="0.6">
      <c r="A87" s="1370" t="s">
        <v>1454</v>
      </c>
      <c r="B87" s="13">
        <f>COUNT(B2:B84)</f>
        <v>50</v>
      </c>
      <c r="E87" s="838"/>
      <c r="F87" s="593"/>
    </row>
    <row r="88" spans="1:7" x14ac:dyDescent="0.6">
      <c r="A88" s="1370" t="s">
        <v>1452</v>
      </c>
      <c r="B88" s="13">
        <f>COUNTBLANK(B2:B84)</f>
        <v>20</v>
      </c>
      <c r="E88" s="838"/>
      <c r="F88" s="593"/>
    </row>
    <row r="89" spans="1:7" x14ac:dyDescent="0.6">
      <c r="A89" s="1370" t="s">
        <v>1453</v>
      </c>
      <c r="B89" s="13">
        <v>29</v>
      </c>
      <c r="E89" s="838"/>
      <c r="F89" s="593"/>
    </row>
    <row r="90" spans="1:7" x14ac:dyDescent="0.6">
      <c r="A90" s="1370" t="s">
        <v>42</v>
      </c>
      <c r="B90" s="13">
        <f>SUM(B86:B88)</f>
        <v>83</v>
      </c>
      <c r="E90" s="838"/>
      <c r="F90" s="593"/>
    </row>
    <row r="91" spans="1:7" x14ac:dyDescent="0.6">
      <c r="A91" s="1370" t="s">
        <v>1456</v>
      </c>
      <c r="B91" s="13">
        <v>83</v>
      </c>
      <c r="E91" s="838"/>
      <c r="F91" s="593"/>
    </row>
    <row r="92" spans="1:7" x14ac:dyDescent="0.6">
      <c r="A92" s="1370"/>
      <c r="B92" s="13"/>
      <c r="E92" s="838"/>
      <c r="F92" s="593"/>
    </row>
    <row r="93" spans="1:7" x14ac:dyDescent="0.6">
      <c r="A93" s="1370" t="s">
        <v>1455</v>
      </c>
      <c r="B93" s="13">
        <f>B87-B88</f>
        <v>30</v>
      </c>
      <c r="E93" s="838"/>
      <c r="F93" s="593"/>
    </row>
    <row r="94" spans="1:7" x14ac:dyDescent="0.6">
      <c r="A94" s="826" t="s">
        <v>804</v>
      </c>
      <c r="B94" s="13">
        <f>B86</f>
        <v>13</v>
      </c>
      <c r="E94" s="838"/>
      <c r="F94" s="593"/>
    </row>
    <row r="95" spans="1:7" x14ac:dyDescent="0.6">
      <c r="A95" s="826" t="s">
        <v>42</v>
      </c>
      <c r="B95" s="13">
        <f>B94+B93</f>
        <v>43</v>
      </c>
      <c r="E95" s="838"/>
      <c r="F95" s="593"/>
    </row>
    <row r="96" spans="1:7" x14ac:dyDescent="0.6">
      <c r="A96" s="826"/>
      <c r="B96" s="13"/>
      <c r="E96" s="838"/>
      <c r="F96" s="593"/>
    </row>
    <row r="97" spans="1:7" x14ac:dyDescent="0.6">
      <c r="A97" s="826" t="s">
        <v>1456</v>
      </c>
      <c r="B97" s="13">
        <f>B86+B87-B88</f>
        <v>43</v>
      </c>
      <c r="E97" s="838"/>
      <c r="F97" s="593"/>
    </row>
    <row r="98" spans="1:7" x14ac:dyDescent="0.6">
      <c r="E98" s="1063"/>
      <c r="F98" s="1062"/>
      <c r="G98" s="123"/>
    </row>
    <row r="99" spans="1:7" x14ac:dyDescent="0.6">
      <c r="E99" s="686"/>
      <c r="F99" s="595"/>
      <c r="G99" s="123"/>
    </row>
    <row r="100" spans="1:7" x14ac:dyDescent="0.6">
      <c r="E100" s="1063"/>
      <c r="F100" s="600"/>
      <c r="G100" s="145"/>
    </row>
    <row r="101" spans="1:7" x14ac:dyDescent="0.6">
      <c r="E101" s="1406"/>
      <c r="F101" s="1566"/>
      <c r="G101" s="123"/>
    </row>
    <row r="102" spans="1:7" x14ac:dyDescent="0.6">
      <c r="E102" s="1406"/>
      <c r="F102" s="601"/>
      <c r="G102" s="123"/>
    </row>
    <row r="103" spans="1:7" x14ac:dyDescent="0.6">
      <c r="E103" s="1406"/>
      <c r="F103" s="601"/>
      <c r="G103" s="123"/>
    </row>
    <row r="104" spans="1:7" x14ac:dyDescent="0.6">
      <c r="E104" s="1406"/>
      <c r="F104" s="601"/>
      <c r="G104" s="123"/>
    </row>
    <row r="105" spans="1:7" x14ac:dyDescent="0.6">
      <c r="E105" s="1406"/>
      <c r="F105" s="601"/>
      <c r="G105" s="123"/>
    </row>
    <row r="106" spans="1:7" x14ac:dyDescent="0.6">
      <c r="E106" s="1406"/>
      <c r="F106" s="601"/>
      <c r="G106" s="123"/>
    </row>
    <row r="107" spans="1:7" x14ac:dyDescent="0.6">
      <c r="E107" s="1406"/>
      <c r="F107" s="601"/>
      <c r="G107" s="123"/>
    </row>
    <row r="108" spans="1:7" x14ac:dyDescent="0.6">
      <c r="E108" s="1406"/>
      <c r="F108" s="601"/>
      <c r="G108" s="123"/>
    </row>
    <row r="109" spans="1:7" x14ac:dyDescent="0.6">
      <c r="E109" s="1572"/>
      <c r="F109" s="1567"/>
      <c r="G109" s="123"/>
    </row>
    <row r="110" spans="1:7" x14ac:dyDescent="0.6">
      <c r="E110" s="1065"/>
      <c r="F110" s="694"/>
      <c r="G110" s="123"/>
    </row>
    <row r="111" spans="1:7" x14ac:dyDescent="0.6">
      <c r="E111" s="1065"/>
      <c r="F111" s="694"/>
      <c r="G111" s="123"/>
    </row>
    <row r="112" spans="1:7" x14ac:dyDescent="0.6">
      <c r="E112" s="1065"/>
      <c r="F112" s="694"/>
      <c r="G112" s="123"/>
    </row>
    <row r="113" spans="5:7" x14ac:dyDescent="0.6">
      <c r="E113" s="1065"/>
      <c r="F113" s="694"/>
      <c r="G113" s="123"/>
    </row>
    <row r="114" spans="5:7" x14ac:dyDescent="0.6">
      <c r="E114" s="1065"/>
      <c r="F114" s="694"/>
      <c r="G114" s="123"/>
    </row>
    <row r="115" spans="5:7" x14ac:dyDescent="0.6">
      <c r="E115" s="1065"/>
      <c r="F115" s="694"/>
      <c r="G115" s="123"/>
    </row>
    <row r="116" spans="5:7" x14ac:dyDescent="0.6">
      <c r="E116" s="1090"/>
      <c r="F116" s="1568"/>
      <c r="G116" s="123"/>
    </row>
    <row r="117" spans="5:7" x14ac:dyDescent="0.6">
      <c r="E117" s="1090"/>
      <c r="F117" s="605"/>
      <c r="G117" s="123"/>
    </row>
    <row r="118" spans="5:7" x14ac:dyDescent="0.6">
      <c r="E118" s="1090"/>
      <c r="F118" s="605"/>
      <c r="G118" s="123"/>
    </row>
    <row r="119" spans="5:7" x14ac:dyDescent="0.6">
      <c r="E119" s="686"/>
      <c r="F119" s="595"/>
      <c r="G119" s="123"/>
    </row>
    <row r="120" spans="5:7" x14ac:dyDescent="0.6">
      <c r="E120" s="686"/>
      <c r="F120" s="599"/>
      <c r="G120" s="123"/>
    </row>
    <row r="121" spans="5:7" x14ac:dyDescent="0.6">
      <c r="E121" s="686"/>
      <c r="F121" s="599"/>
      <c r="G121" s="123"/>
    </row>
    <row r="122" spans="5:7" x14ac:dyDescent="0.6">
      <c r="E122" s="686"/>
      <c r="F122" s="599"/>
      <c r="G122" s="123"/>
    </row>
    <row r="123" spans="5:7" x14ac:dyDescent="0.6">
      <c r="E123" s="686"/>
      <c r="F123" s="599"/>
      <c r="G123" s="123"/>
    </row>
    <row r="124" spans="5:7" x14ac:dyDescent="0.6">
      <c r="E124" s="686"/>
      <c r="F124" s="599"/>
      <c r="G124" s="123"/>
    </row>
    <row r="125" spans="5:7" x14ac:dyDescent="0.6">
      <c r="E125" s="686"/>
      <c r="F125" s="599"/>
      <c r="G125" s="123"/>
    </row>
    <row r="126" spans="5:7" x14ac:dyDescent="0.6">
      <c r="E126" s="686"/>
      <c r="F126" s="599"/>
      <c r="G126" s="123"/>
    </row>
    <row r="127" spans="5:7" x14ac:dyDescent="0.6">
      <c r="E127" s="686"/>
      <c r="F127" s="599"/>
      <c r="G127" s="123"/>
    </row>
    <row r="128" spans="5:7" x14ac:dyDescent="0.6">
      <c r="E128" s="686"/>
      <c r="F128" s="599"/>
      <c r="G128" s="123"/>
    </row>
    <row r="129" spans="5:7" x14ac:dyDescent="0.6">
      <c r="E129" s="838"/>
      <c r="F129" s="1565"/>
      <c r="G129" s="123"/>
    </row>
    <row r="130" spans="5:7" x14ac:dyDescent="0.6">
      <c r="E130" s="838"/>
      <c r="F130" s="593"/>
      <c r="G130" s="123"/>
    </row>
    <row r="131" spans="5:7" x14ac:dyDescent="0.6">
      <c r="E131" s="774"/>
      <c r="F131" s="1569"/>
      <c r="G131" s="123"/>
    </row>
    <row r="132" spans="5:7" x14ac:dyDescent="0.6">
      <c r="E132" s="774"/>
      <c r="F132" s="608"/>
      <c r="G132" s="123"/>
    </row>
    <row r="133" spans="5:7" x14ac:dyDescent="0.6">
      <c r="E133" s="774"/>
      <c r="F133" s="608"/>
      <c r="G133" s="123"/>
    </row>
    <row r="134" spans="5:7" x14ac:dyDescent="0.6">
      <c r="E134" s="774"/>
      <c r="F134" s="608"/>
      <c r="G134" s="145"/>
    </row>
    <row r="135" spans="5:7" x14ac:dyDescent="0.6">
      <c r="E135" s="614"/>
      <c r="F135" s="1570"/>
      <c r="G135" s="123"/>
    </row>
    <row r="136" spans="5:7" x14ac:dyDescent="0.6">
      <c r="E136" s="614"/>
      <c r="F136" s="611"/>
      <c r="G136" s="145"/>
    </row>
    <row r="137" spans="5:7" x14ac:dyDescent="0.6">
      <c r="E137" s="1326"/>
      <c r="F137" s="1571"/>
      <c r="G137" s="123"/>
    </row>
    <row r="138" spans="5:7" x14ac:dyDescent="0.6">
      <c r="E138" s="1326"/>
      <c r="F138" s="615"/>
      <c r="G138" s="123"/>
    </row>
    <row r="139" spans="5:7" x14ac:dyDescent="0.6">
      <c r="E139" s="1326"/>
      <c r="F139" s="615"/>
      <c r="G139" s="123"/>
    </row>
    <row r="140" spans="5:7" x14ac:dyDescent="0.6">
      <c r="E140" s="686"/>
      <c r="F140" s="595"/>
      <c r="G140" s="123"/>
    </row>
    <row r="141" spans="5:7" x14ac:dyDescent="0.6">
      <c r="E141" s="686"/>
      <c r="F141" s="599"/>
      <c r="G141" s="123"/>
    </row>
    <row r="142" spans="5:7" x14ac:dyDescent="0.6">
      <c r="E142" s="686"/>
      <c r="F142" s="599"/>
      <c r="G142" s="123"/>
    </row>
    <row r="143" spans="5:7" x14ac:dyDescent="0.6">
      <c r="E143" s="60"/>
      <c r="F143" s="85"/>
    </row>
    <row r="147" spans="5:6" x14ac:dyDescent="0.6">
      <c r="E147" s="60"/>
      <c r="F147" s="1"/>
    </row>
    <row r="148" spans="5:6" x14ac:dyDescent="0.6">
      <c r="E148" s="60"/>
      <c r="F148" s="1"/>
    </row>
    <row r="149" spans="5:6" x14ac:dyDescent="0.6">
      <c r="E149" s="60"/>
      <c r="F149" s="1"/>
    </row>
    <row r="150" spans="5:6" x14ac:dyDescent="0.6">
      <c r="E150" s="60"/>
      <c r="F150" s="1"/>
    </row>
    <row r="151" spans="5:6" x14ac:dyDescent="0.6">
      <c r="E151" s="60"/>
      <c r="F151" s="1"/>
    </row>
    <row r="152" spans="5:6" x14ac:dyDescent="0.6">
      <c r="E152" s="60"/>
      <c r="F152" s="1"/>
    </row>
    <row r="153" spans="5:6" x14ac:dyDescent="0.6">
      <c r="E153" s="60"/>
      <c r="F153" s="1"/>
    </row>
    <row r="154" spans="5:6" x14ac:dyDescent="0.6">
      <c r="E154" s="60"/>
      <c r="F154" s="1"/>
    </row>
    <row r="155" spans="5:6" x14ac:dyDescent="0.6">
      <c r="E155" s="60"/>
      <c r="F155" s="1"/>
    </row>
    <row r="156" spans="5:6" x14ac:dyDescent="0.6">
      <c r="E156" s="60"/>
      <c r="F156" s="1"/>
    </row>
    <row r="157" spans="5:6" x14ac:dyDescent="0.6">
      <c r="E157" s="60"/>
      <c r="F157" s="1"/>
    </row>
    <row r="158" spans="5:6" x14ac:dyDescent="0.6">
      <c r="E158" s="60"/>
      <c r="F158" s="1"/>
    </row>
    <row r="159" spans="5:6" x14ac:dyDescent="0.6">
      <c r="E159" s="60"/>
      <c r="F159" s="1"/>
    </row>
    <row r="160" spans="5:6" x14ac:dyDescent="0.6">
      <c r="E160" s="60"/>
      <c r="F160" s="1"/>
    </row>
    <row r="161" spans="5:6" x14ac:dyDescent="0.6">
      <c r="E161" s="60"/>
      <c r="F161" s="1"/>
    </row>
    <row r="162" spans="5:6" x14ac:dyDescent="0.6">
      <c r="E162" s="60"/>
      <c r="F162" s="1"/>
    </row>
    <row r="163" spans="5:6" x14ac:dyDescent="0.6">
      <c r="E163" s="60"/>
      <c r="F163" s="1"/>
    </row>
    <row r="164" spans="5:6" x14ac:dyDescent="0.6">
      <c r="E164" s="60"/>
      <c r="F164" s="1"/>
    </row>
    <row r="165" spans="5:6" x14ac:dyDescent="0.6">
      <c r="E165" s="60"/>
      <c r="F165" s="1"/>
    </row>
    <row r="166" spans="5:6" x14ac:dyDescent="0.6">
      <c r="E166" s="60"/>
      <c r="F166" s="1"/>
    </row>
    <row r="167" spans="5:6" x14ac:dyDescent="0.6">
      <c r="E167" s="60"/>
      <c r="F167" s="1"/>
    </row>
    <row r="168" spans="5:6" x14ac:dyDescent="0.6">
      <c r="E168" s="60"/>
      <c r="F168" s="1"/>
    </row>
    <row r="169" spans="5:6" x14ac:dyDescent="0.6">
      <c r="E169" s="60"/>
      <c r="F169" s="1"/>
    </row>
    <row r="170" spans="5:6" x14ac:dyDescent="0.6">
      <c r="E170" s="60"/>
      <c r="F170" s="1"/>
    </row>
    <row r="171" spans="5:6" x14ac:dyDescent="0.6">
      <c r="E171" s="60"/>
      <c r="F171" s="1"/>
    </row>
    <row r="172" spans="5:6" x14ac:dyDescent="0.6">
      <c r="E172" s="60"/>
      <c r="F172" s="1"/>
    </row>
    <row r="173" spans="5:6" x14ac:dyDescent="0.6">
      <c r="E173" s="60"/>
      <c r="F173" s="1"/>
    </row>
    <row r="174" spans="5:6" x14ac:dyDescent="0.6">
      <c r="E174" s="60"/>
      <c r="F174" s="1"/>
    </row>
    <row r="175" spans="5:6" x14ac:dyDescent="0.6">
      <c r="E175" s="60"/>
      <c r="F175" s="1"/>
    </row>
    <row r="176" spans="5:6" x14ac:dyDescent="0.6">
      <c r="E176" s="60"/>
      <c r="F176" s="1"/>
    </row>
    <row r="177" spans="5:6" x14ac:dyDescent="0.6">
      <c r="E177" s="60"/>
      <c r="F177" s="1"/>
    </row>
    <row r="178" spans="5:6" x14ac:dyDescent="0.6">
      <c r="E178" s="60"/>
      <c r="F178" s="1"/>
    </row>
    <row r="179" spans="5:6" x14ac:dyDescent="0.6">
      <c r="E179" s="60"/>
      <c r="F179" s="1"/>
    </row>
    <row r="180" spans="5:6" x14ac:dyDescent="0.6">
      <c r="E180" s="60"/>
      <c r="F180" s="1"/>
    </row>
    <row r="181" spans="5:6" x14ac:dyDescent="0.6">
      <c r="E181" s="60"/>
      <c r="F181" s="1"/>
    </row>
    <row r="182" spans="5:6" x14ac:dyDescent="0.6">
      <c r="E182" s="60"/>
      <c r="F182" s="1"/>
    </row>
    <row r="183" spans="5:6" x14ac:dyDescent="0.6">
      <c r="E183" s="60"/>
      <c r="F183" s="1"/>
    </row>
    <row r="184" spans="5:6" x14ac:dyDescent="0.6">
      <c r="E184" s="60"/>
      <c r="F184" s="1"/>
    </row>
    <row r="185" spans="5:6" x14ac:dyDescent="0.6">
      <c r="E185" s="60"/>
      <c r="F185" s="1"/>
    </row>
    <row r="186" spans="5:6" x14ac:dyDescent="0.6">
      <c r="E186" s="60"/>
      <c r="F186" s="1"/>
    </row>
    <row r="187" spans="5:6" x14ac:dyDescent="0.6">
      <c r="E187" s="60"/>
      <c r="F187" s="1"/>
    </row>
    <row r="188" spans="5:6" x14ac:dyDescent="0.6">
      <c r="E188" s="60"/>
      <c r="F188" s="1"/>
    </row>
    <row r="189" spans="5:6" x14ac:dyDescent="0.6">
      <c r="E189" s="60"/>
      <c r="F189" s="1"/>
    </row>
    <row r="190" spans="5:6" x14ac:dyDescent="0.6">
      <c r="E190" s="60"/>
      <c r="F190" s="1"/>
    </row>
    <row r="191" spans="5:6" x14ac:dyDescent="0.6">
      <c r="E191" s="60"/>
      <c r="F191" s="1"/>
    </row>
    <row r="192" spans="5:6" x14ac:dyDescent="0.6">
      <c r="E192" s="60"/>
      <c r="F192" s="1"/>
    </row>
    <row r="193" spans="5:6" x14ac:dyDescent="0.6">
      <c r="E193" s="60"/>
      <c r="F193" s="1"/>
    </row>
    <row r="194" spans="5:6" x14ac:dyDescent="0.6">
      <c r="E194" s="60"/>
      <c r="F194" s="1"/>
    </row>
    <row r="195" spans="5:6" x14ac:dyDescent="0.6">
      <c r="E195" s="60"/>
      <c r="F195" s="1"/>
    </row>
    <row r="196" spans="5:6" x14ac:dyDescent="0.6">
      <c r="E196" s="60"/>
      <c r="F196" s="1"/>
    </row>
    <row r="197" spans="5:6" x14ac:dyDescent="0.6">
      <c r="E197" s="60"/>
      <c r="F197" s="1"/>
    </row>
    <row r="198" spans="5:6" x14ac:dyDescent="0.6">
      <c r="E198" s="60"/>
      <c r="F198" s="1"/>
    </row>
    <row r="199" spans="5:6" x14ac:dyDescent="0.6">
      <c r="E199" s="60"/>
      <c r="F199" s="1"/>
    </row>
    <row r="200" spans="5:6" x14ac:dyDescent="0.6">
      <c r="E200" s="60"/>
      <c r="F200" s="1"/>
    </row>
    <row r="201" spans="5:6" x14ac:dyDescent="0.6">
      <c r="E201" s="60"/>
      <c r="F201" s="1"/>
    </row>
    <row r="202" spans="5:6" x14ac:dyDescent="0.6">
      <c r="E202" s="60"/>
      <c r="F202" s="1"/>
    </row>
    <row r="203" spans="5:6" x14ac:dyDescent="0.6">
      <c r="E203" s="60"/>
      <c r="F203" s="1"/>
    </row>
    <row r="204" spans="5:6" x14ac:dyDescent="0.6">
      <c r="E204" s="60"/>
      <c r="F204" s="1"/>
    </row>
    <row r="205" spans="5:6" x14ac:dyDescent="0.6">
      <c r="E205" s="60"/>
      <c r="F205" s="1"/>
    </row>
    <row r="206" spans="5:6" x14ac:dyDescent="0.6">
      <c r="E206" s="60"/>
      <c r="F206" s="1"/>
    </row>
    <row r="207" spans="5:6" x14ac:dyDescent="0.6">
      <c r="E207" s="60"/>
      <c r="F207" s="1"/>
    </row>
    <row r="208" spans="5:6" x14ac:dyDescent="0.6">
      <c r="E208" s="60"/>
      <c r="F208" s="1"/>
    </row>
    <row r="209" spans="5:6" x14ac:dyDescent="0.6">
      <c r="E209" s="60"/>
      <c r="F209" s="1"/>
    </row>
    <row r="210" spans="5:6" x14ac:dyDescent="0.6">
      <c r="E210" s="60"/>
      <c r="F210" s="1"/>
    </row>
    <row r="211" spans="5:6" x14ac:dyDescent="0.6">
      <c r="E211" s="60"/>
      <c r="F211" s="1"/>
    </row>
    <row r="212" spans="5:6" x14ac:dyDescent="0.6">
      <c r="E212" s="60"/>
      <c r="F212" s="1"/>
    </row>
    <row r="213" spans="5:6" x14ac:dyDescent="0.6">
      <c r="E213" s="60"/>
      <c r="F213" s="1"/>
    </row>
    <row r="214" spans="5:6" x14ac:dyDescent="0.6">
      <c r="E214" s="60"/>
      <c r="F214" s="1"/>
    </row>
    <row r="215" spans="5:6" x14ac:dyDescent="0.6">
      <c r="E215" s="60"/>
      <c r="F215" s="1"/>
    </row>
    <row r="216" spans="5:6" x14ac:dyDescent="0.6">
      <c r="E216" s="60"/>
      <c r="F216" s="1"/>
    </row>
    <row r="217" spans="5:6" x14ac:dyDescent="0.6">
      <c r="E217" s="60"/>
      <c r="F217" s="1"/>
    </row>
    <row r="218" spans="5:6" x14ac:dyDescent="0.6">
      <c r="E218" s="60"/>
      <c r="F218" s="1"/>
    </row>
    <row r="219" spans="5:6" x14ac:dyDescent="0.6">
      <c r="E219" s="60"/>
      <c r="F219" s="1"/>
    </row>
    <row r="220" spans="5:6" x14ac:dyDescent="0.6">
      <c r="E220" s="60"/>
      <c r="F220" s="1"/>
    </row>
    <row r="221" spans="5:6" x14ac:dyDescent="0.6">
      <c r="E221" s="60"/>
      <c r="F221" s="1"/>
    </row>
    <row r="222" spans="5:6" x14ac:dyDescent="0.6">
      <c r="E222" s="60"/>
      <c r="F222" s="1"/>
    </row>
    <row r="223" spans="5:6" x14ac:dyDescent="0.6">
      <c r="E223" s="60"/>
      <c r="F223" s="1"/>
    </row>
    <row r="224" spans="5:6" x14ac:dyDescent="0.6">
      <c r="E224" s="60"/>
      <c r="F224" s="1"/>
    </row>
    <row r="225" spans="5:6" x14ac:dyDescent="0.6">
      <c r="E225" s="60"/>
      <c r="F225" s="1"/>
    </row>
    <row r="226" spans="5:6" x14ac:dyDescent="0.6">
      <c r="E226" s="60"/>
      <c r="F226" s="1"/>
    </row>
    <row r="227" spans="5:6" x14ac:dyDescent="0.6">
      <c r="E227" s="60"/>
      <c r="F227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227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" defaultRowHeight="15.6" x14ac:dyDescent="0.6"/>
  <cols>
    <col min="1" max="1" width="56" customWidth="1"/>
    <col min="2" max="2" width="16.5" customWidth="1"/>
    <col min="3" max="3" width="16" customWidth="1"/>
    <col min="4" max="6" width="16.5" customWidth="1"/>
    <col min="7" max="7" width="16.09765625" customWidth="1"/>
    <col min="8" max="8" width="8.09765625" style="114" bestFit="1" customWidth="1"/>
    <col min="9" max="9" width="15" style="70" customWidth="1"/>
    <col min="10" max="10" width="10.84765625" style="1"/>
  </cols>
  <sheetData>
    <row r="1" spans="1:10" s="1" customFormat="1" x14ac:dyDescent="0.6">
      <c r="A1" s="78" t="s">
        <v>764</v>
      </c>
      <c r="B1" s="109" t="s">
        <v>237</v>
      </c>
      <c r="C1" s="109" t="s">
        <v>98</v>
      </c>
      <c r="D1" s="109" t="s">
        <v>131</v>
      </c>
      <c r="E1" s="109" t="s">
        <v>196</v>
      </c>
      <c r="F1" s="109" t="s">
        <v>238</v>
      </c>
      <c r="G1" s="18" t="s">
        <v>239</v>
      </c>
      <c r="H1" s="838" t="s">
        <v>1731</v>
      </c>
      <c r="I1" s="1477"/>
    </row>
    <row r="2" spans="1:10" s="192" customFormat="1" x14ac:dyDescent="0.6">
      <c r="A2" s="78" t="s">
        <v>37</v>
      </c>
      <c r="B2" s="742">
        <f t="shared" ref="B2:G2" si="0">SUM(B3:B8)</f>
        <v>47228199</v>
      </c>
      <c r="C2" s="742">
        <f t="shared" si="0"/>
        <v>0</v>
      </c>
      <c r="D2" s="742">
        <f t="shared" si="0"/>
        <v>34782190</v>
      </c>
      <c r="E2" s="742">
        <f t="shared" si="0"/>
        <v>0</v>
      </c>
      <c r="F2" s="742">
        <f t="shared" si="0"/>
        <v>9654</v>
      </c>
      <c r="G2" s="743">
        <f t="shared" si="0"/>
        <v>39067</v>
      </c>
      <c r="H2" s="838"/>
      <c r="I2" s="1564"/>
      <c r="J2" s="1"/>
    </row>
    <row r="3" spans="1:10" s="1" customFormat="1" x14ac:dyDescent="0.6">
      <c r="A3" s="1" t="s">
        <v>973</v>
      </c>
      <c r="B3" s="70">
        <v>23654</v>
      </c>
      <c r="C3" s="70"/>
      <c r="D3" s="85"/>
      <c r="E3" s="85"/>
      <c r="F3" s="70"/>
      <c r="G3" s="607">
        <f>B3</f>
        <v>23654</v>
      </c>
      <c r="H3" s="838" t="s">
        <v>769</v>
      </c>
      <c r="I3" s="1594" t="s">
        <v>37</v>
      </c>
    </row>
    <row r="4" spans="1:10" s="1" customFormat="1" x14ac:dyDescent="0.6">
      <c r="A4" s="1" t="s">
        <v>903</v>
      </c>
      <c r="B4" s="70">
        <v>12408798</v>
      </c>
      <c r="C4" s="70"/>
      <c r="D4" s="70"/>
      <c r="E4" s="85"/>
      <c r="F4" s="70"/>
      <c r="G4" s="607">
        <v>11510</v>
      </c>
      <c r="H4" s="838" t="s">
        <v>769</v>
      </c>
      <c r="I4" s="593" t="s">
        <v>42</v>
      </c>
      <c r="J4" s="1">
        <f>8-2</f>
        <v>6</v>
      </c>
    </row>
    <row r="5" spans="1:10" s="1" customFormat="1" x14ac:dyDescent="0.6">
      <c r="A5" s="1" t="s">
        <v>966</v>
      </c>
      <c r="B5" s="70">
        <v>3903</v>
      </c>
      <c r="C5" s="70"/>
      <c r="D5" s="85"/>
      <c r="E5" s="85"/>
      <c r="F5" s="85"/>
      <c r="G5" s="607">
        <f>B5</f>
        <v>3903</v>
      </c>
      <c r="H5" s="838" t="s">
        <v>769</v>
      </c>
      <c r="I5" s="593" t="s">
        <v>802</v>
      </c>
      <c r="J5" s="1">
        <f>COUNTIF(B2:B8,"ND")</f>
        <v>0</v>
      </c>
    </row>
    <row r="6" spans="1:10" s="1" customFormat="1" x14ac:dyDescent="0.6">
      <c r="A6" s="1" t="s">
        <v>974</v>
      </c>
      <c r="B6" s="70">
        <v>9654</v>
      </c>
      <c r="C6" s="70"/>
      <c r="D6" s="85"/>
      <c r="E6" s="85"/>
      <c r="F6" s="70">
        <f>B6</f>
        <v>9654</v>
      </c>
      <c r="G6" s="607"/>
      <c r="H6" s="838" t="s">
        <v>769</v>
      </c>
      <c r="I6" s="593" t="s">
        <v>1732</v>
      </c>
      <c r="J6" s="1">
        <f>COUNTIF(H2:H8,"x")</f>
        <v>5</v>
      </c>
    </row>
    <row r="7" spans="1:10" s="1" customFormat="1" x14ac:dyDescent="0.6">
      <c r="A7" s="1" t="s">
        <v>977</v>
      </c>
      <c r="B7" s="244">
        <v>162548</v>
      </c>
      <c r="C7" s="70"/>
      <c r="D7" s="70">
        <f>B7</f>
        <v>162548</v>
      </c>
      <c r="E7" s="85"/>
      <c r="F7" s="85"/>
      <c r="G7" s="607"/>
      <c r="H7" s="838" t="s">
        <v>769</v>
      </c>
      <c r="I7" s="593" t="s">
        <v>239</v>
      </c>
      <c r="J7" s="1">
        <f>COUNT(G2:G8)</f>
        <v>4</v>
      </c>
    </row>
    <row r="8" spans="1:10" s="1" customFormat="1" ht="15.9" thickBot="1" x14ac:dyDescent="0.65">
      <c r="A8" s="99" t="s">
        <v>741</v>
      </c>
      <c r="B8" s="658">
        <v>34619642</v>
      </c>
      <c r="C8" s="108"/>
      <c r="D8" s="108">
        <f>B8</f>
        <v>34619642</v>
      </c>
      <c r="E8" s="99"/>
      <c r="F8" s="108"/>
      <c r="G8" s="651"/>
      <c r="H8" s="1593"/>
      <c r="I8" s="108"/>
      <c r="J8" s="16"/>
    </row>
    <row r="9" spans="1:10" s="192" customFormat="1" ht="15.9" thickTop="1" x14ac:dyDescent="0.6">
      <c r="A9" s="78" t="s">
        <v>0</v>
      </c>
      <c r="B9" s="723">
        <f t="shared" ref="B9:G9" si="1">SUM(B10:B13)</f>
        <v>44614703</v>
      </c>
      <c r="C9" s="723">
        <f t="shared" si="1"/>
        <v>0</v>
      </c>
      <c r="D9" s="723">
        <f t="shared" si="1"/>
        <v>30732450</v>
      </c>
      <c r="E9" s="723">
        <f t="shared" si="1"/>
        <v>11087347.75</v>
      </c>
      <c r="F9" s="723">
        <f t="shared" si="1"/>
        <v>2794905.25</v>
      </c>
      <c r="G9" s="724">
        <f t="shared" si="1"/>
        <v>0</v>
      </c>
      <c r="H9" s="838"/>
      <c r="I9" s="1594" t="s">
        <v>1739</v>
      </c>
      <c r="J9" s="69"/>
    </row>
    <row r="10" spans="1:10" s="85" customFormat="1" x14ac:dyDescent="0.6">
      <c r="A10" s="85" t="s">
        <v>254</v>
      </c>
      <c r="B10" s="599">
        <v>40976600</v>
      </c>
      <c r="C10" s="599"/>
      <c r="D10" s="599">
        <f>0.75*B10</f>
        <v>30732450</v>
      </c>
      <c r="E10" s="599">
        <f>B10-D10</f>
        <v>10244150</v>
      </c>
      <c r="F10" s="599"/>
      <c r="G10" s="130"/>
      <c r="H10" s="838" t="s">
        <v>769</v>
      </c>
      <c r="I10" s="593" t="s">
        <v>42</v>
      </c>
      <c r="J10" s="1">
        <v>16</v>
      </c>
    </row>
    <row r="11" spans="1:10" s="85" customFormat="1" x14ac:dyDescent="0.6">
      <c r="A11" s="85" t="s">
        <v>742</v>
      </c>
      <c r="B11" s="599">
        <v>3372791</v>
      </c>
      <c r="C11" s="599"/>
      <c r="D11" s="599"/>
      <c r="E11" s="599">
        <f>0.25*B11</f>
        <v>843197.75</v>
      </c>
      <c r="F11" s="599">
        <f>B11-E11</f>
        <v>2529593.25</v>
      </c>
      <c r="G11" s="130"/>
      <c r="H11" s="838" t="s">
        <v>769</v>
      </c>
      <c r="I11" s="593" t="s">
        <v>802</v>
      </c>
      <c r="J11" s="1">
        <f>COUNTIF(B9:B71,"ND")</f>
        <v>5</v>
      </c>
    </row>
    <row r="12" spans="1:10" s="85" customFormat="1" x14ac:dyDescent="0.6">
      <c r="A12" s="85" t="s">
        <v>704</v>
      </c>
      <c r="B12" s="599">
        <v>265312</v>
      </c>
      <c r="C12" s="599"/>
      <c r="D12" s="599"/>
      <c r="E12" s="599"/>
      <c r="F12" s="599">
        <f>B12</f>
        <v>265312</v>
      </c>
      <c r="G12" s="130"/>
      <c r="H12" s="838" t="s">
        <v>769</v>
      </c>
      <c r="I12" s="593" t="s">
        <v>1732</v>
      </c>
      <c r="J12" s="1">
        <f>COUNTIF(H9:H74,"x")</f>
        <v>12</v>
      </c>
    </row>
    <row r="13" spans="1:10" s="85" customFormat="1" ht="15.9" thickBot="1" x14ac:dyDescent="0.65">
      <c r="A13" s="99" t="s">
        <v>743</v>
      </c>
      <c r="B13" s="598" t="s">
        <v>804</v>
      </c>
      <c r="C13" s="598"/>
      <c r="D13" s="124"/>
      <c r="E13" s="124"/>
      <c r="F13" s="124"/>
      <c r="G13" s="131"/>
      <c r="H13" s="838" t="s">
        <v>769</v>
      </c>
      <c r="I13" s="593" t="s">
        <v>239</v>
      </c>
      <c r="J13" s="1"/>
    </row>
    <row r="14" spans="1:10" s="192" customFormat="1" ht="15.9" thickTop="1" x14ac:dyDescent="0.6">
      <c r="A14" s="78" t="s">
        <v>1</v>
      </c>
      <c r="B14" s="744">
        <f t="shared" ref="B14:G14" si="2">SUM(B15:B15)</f>
        <v>0</v>
      </c>
      <c r="C14" s="744">
        <f t="shared" si="2"/>
        <v>0</v>
      </c>
      <c r="D14" s="744">
        <f t="shared" si="2"/>
        <v>0</v>
      </c>
      <c r="E14" s="744">
        <f t="shared" si="2"/>
        <v>0</v>
      </c>
      <c r="F14" s="744">
        <f t="shared" si="2"/>
        <v>0</v>
      </c>
      <c r="G14" s="745">
        <f t="shared" si="2"/>
        <v>0</v>
      </c>
      <c r="H14" s="838"/>
      <c r="I14" s="593"/>
      <c r="J14" s="1"/>
    </row>
    <row r="15" spans="1:10" s="85" customFormat="1" ht="15.9" thickBot="1" x14ac:dyDescent="0.65">
      <c r="A15" s="99"/>
      <c r="B15" s="126"/>
      <c r="C15" s="126"/>
      <c r="D15" s="126"/>
      <c r="E15" s="126"/>
      <c r="F15" s="126"/>
      <c r="G15" s="133"/>
      <c r="H15" s="838"/>
      <c r="I15" s="593"/>
      <c r="J15" s="1"/>
    </row>
    <row r="16" spans="1:10" s="192" customFormat="1" ht="15.9" thickTop="1" x14ac:dyDescent="0.6">
      <c r="A16" s="78" t="s">
        <v>2</v>
      </c>
      <c r="B16" s="746">
        <f t="shared" ref="B16:G16" si="3">SUM(B17:B17)</f>
        <v>0</v>
      </c>
      <c r="C16" s="746">
        <f t="shared" si="3"/>
        <v>0</v>
      </c>
      <c r="D16" s="746">
        <f t="shared" si="3"/>
        <v>0</v>
      </c>
      <c r="E16" s="746">
        <f t="shared" si="3"/>
        <v>0</v>
      </c>
      <c r="F16" s="746">
        <f t="shared" si="3"/>
        <v>0</v>
      </c>
      <c r="G16" s="747">
        <f t="shared" si="3"/>
        <v>0</v>
      </c>
      <c r="H16" s="838"/>
      <c r="I16" s="593"/>
      <c r="J16" s="1"/>
    </row>
    <row r="17" spans="1:10" s="85" customFormat="1" ht="15.9" thickBot="1" x14ac:dyDescent="0.65">
      <c r="A17" s="99"/>
      <c r="B17" s="128"/>
      <c r="C17" s="128"/>
      <c r="D17" s="128"/>
      <c r="E17" s="128"/>
      <c r="F17" s="128"/>
      <c r="G17" s="135"/>
      <c r="H17" s="838"/>
      <c r="I17" s="593"/>
      <c r="J17" s="1"/>
    </row>
    <row r="18" spans="1:10" s="763" customFormat="1" ht="15.9" thickTop="1" x14ac:dyDescent="0.6">
      <c r="A18" s="78" t="s">
        <v>3</v>
      </c>
      <c r="B18" s="761">
        <f>SUM(B19:B19)</f>
        <v>0</v>
      </c>
      <c r="C18" s="761">
        <f>SUM(C19:C19)</f>
        <v>0</v>
      </c>
      <c r="D18" s="761">
        <f>SUM(D19:D19)</f>
        <v>0</v>
      </c>
      <c r="E18" s="761">
        <f>SUM(E19:E19)</f>
        <v>0</v>
      </c>
      <c r="F18" s="761">
        <f>SUM(F19:F19)</f>
        <v>0</v>
      </c>
      <c r="G18" s="762">
        <f>SUM(G19:G55)</f>
        <v>0</v>
      </c>
      <c r="H18" s="838"/>
      <c r="I18" s="593"/>
      <c r="J18" s="1"/>
    </row>
    <row r="19" spans="1:10" s="1" customFormat="1" ht="15.9" thickBot="1" x14ac:dyDescent="0.65">
      <c r="A19" s="16"/>
      <c r="B19" s="597"/>
      <c r="C19" s="597"/>
      <c r="D19" s="597"/>
      <c r="E19" s="597"/>
      <c r="F19" s="597"/>
      <c r="G19" s="657"/>
      <c r="H19" s="838"/>
      <c r="I19" s="593"/>
    </row>
    <row r="20" spans="1:10" s="192" customFormat="1" ht="15.9" thickTop="1" x14ac:dyDescent="0.6">
      <c r="A20" s="78" t="s">
        <v>4</v>
      </c>
      <c r="B20" s="723">
        <f t="shared" ref="B20:G20" si="4">SUM(B21:B21)</f>
        <v>0</v>
      </c>
      <c r="C20" s="723">
        <f t="shared" si="4"/>
        <v>0</v>
      </c>
      <c r="D20" s="723">
        <f t="shared" si="4"/>
        <v>0</v>
      </c>
      <c r="E20" s="723">
        <f t="shared" si="4"/>
        <v>0</v>
      </c>
      <c r="F20" s="723">
        <f t="shared" si="4"/>
        <v>0</v>
      </c>
      <c r="G20" s="724">
        <f t="shared" si="4"/>
        <v>0</v>
      </c>
      <c r="H20" s="838"/>
      <c r="I20" s="593"/>
      <c r="J20" s="1"/>
    </row>
    <row r="21" spans="1:10" s="85" customFormat="1" ht="15.9" thickBot="1" x14ac:dyDescent="0.65">
      <c r="A21" s="99"/>
      <c r="B21" s="124"/>
      <c r="C21" s="124"/>
      <c r="D21" s="124"/>
      <c r="E21" s="124"/>
      <c r="F21" s="124"/>
      <c r="G21" s="131"/>
      <c r="H21" s="838"/>
      <c r="I21" s="593"/>
      <c r="J21" s="1"/>
    </row>
    <row r="22" spans="1:10" s="192" customFormat="1" ht="15.9" thickTop="1" x14ac:dyDescent="0.6">
      <c r="A22" s="78" t="s">
        <v>5</v>
      </c>
      <c r="B22" s="723">
        <f t="shared" ref="B22:G22" si="5">SUM(B23:B23)</f>
        <v>0</v>
      </c>
      <c r="C22" s="723">
        <f t="shared" si="5"/>
        <v>0</v>
      </c>
      <c r="D22" s="723">
        <f t="shared" si="5"/>
        <v>0</v>
      </c>
      <c r="E22" s="723">
        <f t="shared" si="5"/>
        <v>0</v>
      </c>
      <c r="F22" s="723">
        <f t="shared" si="5"/>
        <v>0</v>
      </c>
      <c r="G22" s="724">
        <f t="shared" si="5"/>
        <v>0</v>
      </c>
      <c r="H22" s="838"/>
      <c r="I22" s="593"/>
      <c r="J22" s="1"/>
    </row>
    <row r="23" spans="1:10" s="85" customFormat="1" ht="15.9" thickBot="1" x14ac:dyDescent="0.65">
      <c r="A23" s="99"/>
      <c r="B23" s="124"/>
      <c r="C23" s="108"/>
      <c r="D23" s="124"/>
      <c r="E23" s="124"/>
      <c r="F23" s="99"/>
      <c r="G23" s="136"/>
      <c r="H23" s="838"/>
      <c r="I23" s="593"/>
      <c r="J23" s="1"/>
    </row>
    <row r="24" spans="1:10" s="748" customFormat="1" ht="15.9" thickTop="1" x14ac:dyDescent="0.6">
      <c r="A24" s="1060" t="s">
        <v>6</v>
      </c>
      <c r="B24" s="723">
        <f t="shared" ref="B24:G24" si="6">B25</f>
        <v>0</v>
      </c>
      <c r="C24" s="723">
        <f t="shared" si="6"/>
        <v>0</v>
      </c>
      <c r="D24" s="723">
        <f t="shared" si="6"/>
        <v>0</v>
      </c>
      <c r="E24" s="723">
        <f t="shared" si="6"/>
        <v>0</v>
      </c>
      <c r="F24" s="723">
        <f t="shared" si="6"/>
        <v>0</v>
      </c>
      <c r="G24" s="724">
        <f t="shared" si="6"/>
        <v>0</v>
      </c>
      <c r="H24" s="838"/>
      <c r="I24" s="593"/>
      <c r="J24" s="1"/>
    </row>
    <row r="25" spans="1:10" s="85" customFormat="1" ht="15.9" thickBot="1" x14ac:dyDescent="0.65">
      <c r="A25" s="99" t="s">
        <v>906</v>
      </c>
      <c r="B25" s="124"/>
      <c r="C25" s="108"/>
      <c r="D25" s="124"/>
      <c r="E25" s="124"/>
      <c r="F25" s="124"/>
      <c r="G25" s="136"/>
      <c r="H25" s="838"/>
      <c r="I25" s="593"/>
      <c r="J25" s="1"/>
    </row>
    <row r="26" spans="1:10" s="192" customFormat="1" ht="15.9" thickTop="1" x14ac:dyDescent="0.6">
      <c r="A26" s="78" t="s">
        <v>7</v>
      </c>
      <c r="B26" s="723">
        <f t="shared" ref="B26:G26" si="7">SUM(B27:B27)</f>
        <v>0</v>
      </c>
      <c r="C26" s="723">
        <f t="shared" si="7"/>
        <v>0</v>
      </c>
      <c r="D26" s="723">
        <f t="shared" si="7"/>
        <v>0</v>
      </c>
      <c r="E26" s="723">
        <f t="shared" si="7"/>
        <v>0</v>
      </c>
      <c r="F26" s="723">
        <f t="shared" si="7"/>
        <v>0</v>
      </c>
      <c r="G26" s="724">
        <f t="shared" si="7"/>
        <v>0</v>
      </c>
      <c r="H26" s="838"/>
      <c r="I26" s="593"/>
      <c r="J26" s="1"/>
    </row>
    <row r="27" spans="1:10" s="85" customFormat="1" ht="15.9" thickBot="1" x14ac:dyDescent="0.65">
      <c r="A27" s="99"/>
      <c r="B27" s="124"/>
      <c r="C27" s="108"/>
      <c r="D27" s="124"/>
      <c r="E27" s="124"/>
      <c r="F27" s="124"/>
      <c r="G27" s="136"/>
      <c r="H27" s="838"/>
      <c r="I27" s="593"/>
      <c r="J27" s="1"/>
    </row>
    <row r="28" spans="1:10" s="748" customFormat="1" ht="15.9" thickTop="1" x14ac:dyDescent="0.6">
      <c r="A28" s="1060" t="s">
        <v>8</v>
      </c>
      <c r="B28" s="723">
        <f>SUM(B29:B29)</f>
        <v>58547784</v>
      </c>
      <c r="C28" s="723">
        <f t="shared" ref="C28:F28" si="8">SUM(C29:C29)</f>
        <v>0</v>
      </c>
      <c r="D28" s="723">
        <f t="shared" si="8"/>
        <v>58547784</v>
      </c>
      <c r="E28" s="723">
        <f t="shared" si="8"/>
        <v>0</v>
      </c>
      <c r="F28" s="723">
        <f t="shared" si="8"/>
        <v>0</v>
      </c>
      <c r="G28" s="724">
        <f>SUM(G29:G29)</f>
        <v>0</v>
      </c>
      <c r="H28" s="686"/>
      <c r="I28" s="595"/>
      <c r="J28" s="596"/>
    </row>
    <row r="29" spans="1:10" s="85" customFormat="1" ht="15.9" thickBot="1" x14ac:dyDescent="0.65">
      <c r="A29" s="99" t="s">
        <v>1189</v>
      </c>
      <c r="B29" s="124">
        <v>58547784</v>
      </c>
      <c r="C29" s="108"/>
      <c r="D29" s="124">
        <f>B29</f>
        <v>58547784</v>
      </c>
      <c r="E29" s="124"/>
      <c r="F29" s="99"/>
      <c r="G29" s="136"/>
      <c r="H29" s="686"/>
      <c r="I29" s="599"/>
      <c r="J29" s="596"/>
    </row>
    <row r="30" spans="1:10" s="192" customFormat="1" ht="15.9" thickTop="1" x14ac:dyDescent="0.6">
      <c r="A30" s="78" t="s">
        <v>9</v>
      </c>
      <c r="B30" s="723">
        <f>SUM(B31:B32)</f>
        <v>185542</v>
      </c>
      <c r="C30" s="723">
        <f t="shared" ref="C30:G30" si="9">SUM(C31:C32)</f>
        <v>0</v>
      </c>
      <c r="D30" s="723">
        <f t="shared" si="9"/>
        <v>61847.333333333336</v>
      </c>
      <c r="E30" s="723">
        <f t="shared" si="9"/>
        <v>61847.333333333336</v>
      </c>
      <c r="F30" s="723">
        <f t="shared" si="9"/>
        <v>61847.333333333336</v>
      </c>
      <c r="G30" s="724">
        <f t="shared" si="9"/>
        <v>0</v>
      </c>
      <c r="H30" s="686"/>
      <c r="I30" s="595"/>
      <c r="J30" s="596"/>
    </row>
    <row r="31" spans="1:10" s="85" customFormat="1" x14ac:dyDescent="0.6">
      <c r="A31" s="85" t="s">
        <v>1190</v>
      </c>
      <c r="B31" s="599">
        <v>92231</v>
      </c>
      <c r="C31" s="599"/>
      <c r="D31" s="599">
        <f>B31/3</f>
        <v>30743.666666666668</v>
      </c>
      <c r="E31" s="599">
        <f>D31</f>
        <v>30743.666666666668</v>
      </c>
      <c r="F31" s="599">
        <f>E31</f>
        <v>30743.666666666668</v>
      </c>
      <c r="G31" s="130"/>
      <c r="H31" s="686"/>
      <c r="I31" s="599"/>
      <c r="J31" s="596"/>
    </row>
    <row r="32" spans="1:10" s="85" customFormat="1" ht="15.9" thickBot="1" x14ac:dyDescent="0.65">
      <c r="A32" s="99" t="s">
        <v>1013</v>
      </c>
      <c r="B32" s="124">
        <v>93311</v>
      </c>
      <c r="C32" s="108"/>
      <c r="D32" s="124">
        <f>B32/3</f>
        <v>31103.666666666668</v>
      </c>
      <c r="E32" s="124">
        <f>D32</f>
        <v>31103.666666666668</v>
      </c>
      <c r="F32" s="124">
        <f>E32</f>
        <v>31103.666666666668</v>
      </c>
      <c r="G32" s="136"/>
      <c r="H32" s="686"/>
      <c r="I32" s="595"/>
      <c r="J32" s="596"/>
    </row>
    <row r="33" spans="1:10" s="192" customFormat="1" ht="15.9" thickTop="1" x14ac:dyDescent="0.6">
      <c r="A33" s="78" t="s">
        <v>10</v>
      </c>
      <c r="B33" s="723">
        <f t="shared" ref="B33:G33" si="10">SUM(B35:B35)</f>
        <v>0</v>
      </c>
      <c r="C33" s="723">
        <f t="shared" si="10"/>
        <v>0</v>
      </c>
      <c r="D33" s="723">
        <f t="shared" si="10"/>
        <v>0</v>
      </c>
      <c r="E33" s="723">
        <f t="shared" si="10"/>
        <v>0</v>
      </c>
      <c r="F33" s="723">
        <f t="shared" si="10"/>
        <v>0</v>
      </c>
      <c r="G33" s="724">
        <f t="shared" si="10"/>
        <v>0</v>
      </c>
      <c r="H33" s="686"/>
      <c r="I33" s="595"/>
      <c r="J33" s="596"/>
    </row>
    <row r="34" spans="1:10" s="85" customFormat="1" x14ac:dyDescent="0.6">
      <c r="A34" s="85" t="s">
        <v>1191</v>
      </c>
      <c r="B34" s="686" t="s">
        <v>804</v>
      </c>
      <c r="C34" s="599"/>
      <c r="D34" s="599"/>
      <c r="E34" s="599"/>
      <c r="F34" s="599"/>
      <c r="G34" s="130"/>
      <c r="H34" s="686" t="s">
        <v>769</v>
      </c>
      <c r="I34" s="599"/>
      <c r="J34" s="596"/>
    </row>
    <row r="35" spans="1:10" s="85" customFormat="1" ht="15.9" thickBot="1" x14ac:dyDescent="0.65">
      <c r="A35" s="99" t="s">
        <v>709</v>
      </c>
      <c r="B35" s="598" t="s">
        <v>804</v>
      </c>
      <c r="C35" s="124"/>
      <c r="D35" s="124"/>
      <c r="E35" s="124"/>
      <c r="F35" s="124"/>
      <c r="G35" s="131"/>
      <c r="H35" s="686" t="s">
        <v>769</v>
      </c>
      <c r="I35" s="595"/>
      <c r="J35" s="596"/>
    </row>
    <row r="36" spans="1:10" s="630" customFormat="1" ht="15.9" thickTop="1" x14ac:dyDescent="0.6">
      <c r="A36" s="1080" t="s">
        <v>11</v>
      </c>
      <c r="B36" s="749">
        <f t="shared" ref="B36:G36" si="11">SUM(B37:B37)</f>
        <v>0</v>
      </c>
      <c r="C36" s="749">
        <f t="shared" si="11"/>
        <v>0</v>
      </c>
      <c r="D36" s="749">
        <f t="shared" si="11"/>
        <v>0</v>
      </c>
      <c r="E36" s="749">
        <f t="shared" si="11"/>
        <v>0</v>
      </c>
      <c r="F36" s="749">
        <f t="shared" si="11"/>
        <v>0</v>
      </c>
      <c r="G36" s="750">
        <f t="shared" si="11"/>
        <v>0</v>
      </c>
      <c r="H36" s="686"/>
      <c r="I36" s="599"/>
      <c r="J36" s="596"/>
    </row>
    <row r="37" spans="1:10" s="632" customFormat="1" ht="15.9" thickBot="1" x14ac:dyDescent="0.65">
      <c r="A37" s="634"/>
      <c r="B37" s="634"/>
      <c r="C37" s="634"/>
      <c r="D37" s="634"/>
      <c r="E37" s="634"/>
      <c r="F37" s="634"/>
      <c r="G37" s="635"/>
      <c r="H37" s="686"/>
      <c r="I37" s="595"/>
      <c r="J37" s="596"/>
    </row>
    <row r="38" spans="1:10" s="748" customFormat="1" ht="15.9" thickTop="1" x14ac:dyDescent="0.6">
      <c r="A38" s="1060" t="s">
        <v>12</v>
      </c>
      <c r="B38" s="723"/>
      <c r="C38" s="723"/>
      <c r="D38" s="723"/>
      <c r="E38" s="723"/>
      <c r="F38" s="723"/>
      <c r="G38" s="724"/>
      <c r="H38" s="686"/>
      <c r="I38" s="599"/>
      <c r="J38" s="596"/>
    </row>
    <row r="39" spans="1:10" s="85" customFormat="1" ht="15.9" thickBot="1" x14ac:dyDescent="0.65">
      <c r="A39" s="99"/>
      <c r="B39" s="124"/>
      <c r="C39" s="108"/>
      <c r="D39" s="124"/>
      <c r="E39" s="124"/>
      <c r="F39" s="99"/>
      <c r="G39" s="136"/>
      <c r="H39" s="686"/>
      <c r="I39" s="595"/>
      <c r="J39" s="596"/>
    </row>
    <row r="40" spans="1:10" s="596" customFormat="1" ht="15.9" thickTop="1" x14ac:dyDescent="0.6">
      <c r="A40" s="1060" t="s">
        <v>13</v>
      </c>
      <c r="B40" s="618">
        <f>B41</f>
        <v>0</v>
      </c>
      <c r="C40" s="618"/>
      <c r="D40" s="618"/>
      <c r="E40" s="656"/>
      <c r="F40" s="656">
        <f>F41</f>
        <v>0</v>
      </c>
      <c r="G40" s="1297"/>
      <c r="H40" s="686"/>
      <c r="I40" s="595"/>
    </row>
    <row r="41" spans="1:10" s="85" customFormat="1" ht="15.9" thickBot="1" x14ac:dyDescent="0.65">
      <c r="A41" s="99"/>
      <c r="B41" s="124"/>
      <c r="C41" s="108"/>
      <c r="D41" s="124"/>
      <c r="E41" s="99"/>
      <c r="F41" s="124"/>
      <c r="G41" s="136"/>
      <c r="H41" s="686"/>
      <c r="I41" s="599"/>
      <c r="J41" s="596"/>
    </row>
    <row r="42" spans="1:10" s="748" customFormat="1" ht="15.9" thickTop="1" x14ac:dyDescent="0.6">
      <c r="A42" s="1060" t="s">
        <v>14</v>
      </c>
      <c r="B42" s="723"/>
      <c r="C42" s="723"/>
      <c r="D42" s="723"/>
      <c r="E42" s="723"/>
      <c r="F42" s="723"/>
      <c r="G42" s="724"/>
      <c r="H42" s="686"/>
      <c r="I42" s="595"/>
      <c r="J42" s="596"/>
    </row>
    <row r="43" spans="1:10" s="85" customFormat="1" ht="15.9" thickBot="1" x14ac:dyDescent="0.65">
      <c r="A43" s="99"/>
      <c r="B43" s="124"/>
      <c r="C43" s="108"/>
      <c r="D43" s="124"/>
      <c r="E43" s="99"/>
      <c r="F43" s="99"/>
      <c r="G43" s="136"/>
      <c r="H43" s="686"/>
      <c r="I43" s="595"/>
      <c r="J43" s="596"/>
    </row>
    <row r="44" spans="1:10" s="192" customFormat="1" ht="15.9" thickTop="1" x14ac:dyDescent="0.6">
      <c r="A44" s="78" t="s">
        <v>15</v>
      </c>
      <c r="B44" s="723">
        <f t="shared" ref="B44:G44" si="12">SUM(B45:B45)</f>
        <v>0</v>
      </c>
      <c r="C44" s="723">
        <f t="shared" si="12"/>
        <v>0</v>
      </c>
      <c r="D44" s="723">
        <f t="shared" si="12"/>
        <v>0</v>
      </c>
      <c r="E44" s="723">
        <f t="shared" si="12"/>
        <v>0</v>
      </c>
      <c r="F44" s="723">
        <f t="shared" si="12"/>
        <v>0</v>
      </c>
      <c r="G44" s="724">
        <f t="shared" si="12"/>
        <v>0</v>
      </c>
      <c r="H44" s="686"/>
      <c r="I44" s="599"/>
      <c r="J44" s="596"/>
    </row>
    <row r="45" spans="1:10" s="85" customFormat="1" ht="15.9" thickBot="1" x14ac:dyDescent="0.65">
      <c r="A45" s="99"/>
      <c r="B45" s="124"/>
      <c r="C45" s="124"/>
      <c r="D45" s="124"/>
      <c r="E45" s="124"/>
      <c r="F45" s="124"/>
      <c r="G45" s="131"/>
      <c r="H45" s="686"/>
      <c r="I45" s="595"/>
      <c r="J45" s="596"/>
    </row>
    <row r="46" spans="1:10" s="192" customFormat="1" ht="15.9" thickTop="1" x14ac:dyDescent="0.6">
      <c r="A46" s="78" t="s">
        <v>16</v>
      </c>
      <c r="B46" s="723">
        <f t="shared" ref="B46:G46" si="13">SUM(B47:B47)</f>
        <v>5302448</v>
      </c>
      <c r="C46" s="723">
        <f t="shared" si="13"/>
        <v>0</v>
      </c>
      <c r="D46" s="723">
        <f t="shared" si="13"/>
        <v>0</v>
      </c>
      <c r="E46" s="723">
        <f t="shared" si="13"/>
        <v>0</v>
      </c>
      <c r="F46" s="723">
        <f t="shared" si="13"/>
        <v>5302448</v>
      </c>
      <c r="G46" s="724">
        <f t="shared" si="13"/>
        <v>0</v>
      </c>
      <c r="H46" s="686"/>
      <c r="I46" s="599"/>
      <c r="J46" s="123"/>
    </row>
    <row r="47" spans="1:10" s="85" customFormat="1" ht="15.9" thickBot="1" x14ac:dyDescent="0.65">
      <c r="A47" s="99" t="s">
        <v>342</v>
      </c>
      <c r="B47" s="124">
        <v>5302448</v>
      </c>
      <c r="C47" s="108"/>
      <c r="D47" s="124"/>
      <c r="E47" s="99"/>
      <c r="F47" s="124">
        <f>B47</f>
        <v>5302448</v>
      </c>
      <c r="G47" s="136"/>
      <c r="H47" s="686" t="s">
        <v>769</v>
      </c>
      <c r="I47" s="599"/>
      <c r="J47" s="123"/>
    </row>
    <row r="48" spans="1:10" s="748" customFormat="1" ht="15.9" thickTop="1" x14ac:dyDescent="0.6">
      <c r="A48" s="1060" t="s">
        <v>17</v>
      </c>
      <c r="B48" s="723"/>
      <c r="C48" s="723"/>
      <c r="D48" s="723"/>
      <c r="E48" s="723"/>
      <c r="F48" s="723"/>
      <c r="G48" s="724"/>
      <c r="H48" s="686"/>
      <c r="I48" s="599"/>
      <c r="J48" s="123"/>
    </row>
    <row r="49" spans="1:10" s="85" customFormat="1" ht="15.9" thickBot="1" x14ac:dyDescent="0.65">
      <c r="A49" s="99"/>
      <c r="B49" s="124"/>
      <c r="C49" s="108"/>
      <c r="D49" s="124"/>
      <c r="E49" s="99"/>
      <c r="F49" s="99"/>
      <c r="G49" s="136"/>
      <c r="H49" s="686"/>
      <c r="I49" s="599"/>
      <c r="J49" s="123"/>
    </row>
    <row r="50" spans="1:10" s="192" customFormat="1" ht="15.9" thickTop="1" x14ac:dyDescent="0.6">
      <c r="A50" s="78" t="s">
        <v>18</v>
      </c>
      <c r="B50" s="723">
        <f>SUM(B51:B51)</f>
        <v>0</v>
      </c>
      <c r="C50" s="723">
        <f>SUM(C51:C51)</f>
        <v>0</v>
      </c>
      <c r="D50" s="723">
        <f>SUM(D51:D51)</f>
        <v>0</v>
      </c>
      <c r="E50" s="723">
        <f>SUM(E51:E51)</f>
        <v>0</v>
      </c>
      <c r="F50" s="723">
        <f>F51</f>
        <v>0</v>
      </c>
      <c r="G50" s="724">
        <f>SUM(G51:G51)</f>
        <v>0</v>
      </c>
      <c r="H50" s="686"/>
      <c r="I50" s="599"/>
      <c r="J50" s="123"/>
    </row>
    <row r="51" spans="1:10" s="85" customFormat="1" ht="15.9" thickBot="1" x14ac:dyDescent="0.65">
      <c r="A51" s="99"/>
      <c r="B51" s="124"/>
      <c r="C51" s="108"/>
      <c r="D51" s="124"/>
      <c r="E51" s="99"/>
      <c r="F51" s="124"/>
      <c r="G51" s="136"/>
      <c r="H51" s="686"/>
      <c r="I51" s="599"/>
      <c r="J51" s="123"/>
    </row>
    <row r="52" spans="1:10" s="192" customFormat="1" ht="15.9" thickTop="1" x14ac:dyDescent="0.6">
      <c r="A52" s="78" t="s">
        <v>19</v>
      </c>
      <c r="B52" s="751">
        <f t="shared" ref="B52:G52" si="14">SUM(B53:B53)</f>
        <v>0</v>
      </c>
      <c r="C52" s="751">
        <f t="shared" si="14"/>
        <v>0</v>
      </c>
      <c r="D52" s="751">
        <f t="shared" si="14"/>
        <v>0</v>
      </c>
      <c r="E52" s="751">
        <f t="shared" si="14"/>
        <v>0</v>
      </c>
      <c r="F52" s="751">
        <f t="shared" si="14"/>
        <v>0</v>
      </c>
      <c r="G52" s="752">
        <f t="shared" si="14"/>
        <v>0</v>
      </c>
      <c r="H52" s="686"/>
      <c r="I52" s="599"/>
      <c r="J52" s="123"/>
    </row>
    <row r="53" spans="1:10" s="85" customFormat="1" ht="15.9" thickBot="1" x14ac:dyDescent="0.65">
      <c r="A53" s="99"/>
      <c r="B53" s="137"/>
      <c r="C53" s="137"/>
      <c r="D53" s="137"/>
      <c r="E53" s="137"/>
      <c r="F53" s="137"/>
      <c r="G53" s="138"/>
      <c r="H53" s="686"/>
      <c r="I53" s="595"/>
      <c r="J53" s="123"/>
    </row>
    <row r="54" spans="1:10" s="636" customFormat="1" ht="15.9" thickTop="1" x14ac:dyDescent="0.6">
      <c r="A54" s="1084" t="s">
        <v>20</v>
      </c>
      <c r="B54" s="753">
        <f>SUM(B55:B55)</f>
        <v>341507108</v>
      </c>
      <c r="C54" s="753">
        <f>C55</f>
        <v>0</v>
      </c>
      <c r="D54" s="753">
        <f>D55</f>
        <v>341507108</v>
      </c>
      <c r="E54" s="753">
        <f>E55</f>
        <v>0</v>
      </c>
      <c r="F54" s="753">
        <f>F55</f>
        <v>0</v>
      </c>
      <c r="G54" s="754">
        <f>SUM(G55:G55)</f>
        <v>0</v>
      </c>
      <c r="H54" s="686"/>
      <c r="I54" s="595"/>
      <c r="J54" s="123"/>
    </row>
    <row r="55" spans="1:10" s="637" customFormat="1" ht="15.9" thickBot="1" x14ac:dyDescent="0.65">
      <c r="A55" s="639" t="s">
        <v>1117</v>
      </c>
      <c r="B55" s="639">
        <v>341507108</v>
      </c>
      <c r="C55" s="639"/>
      <c r="D55" s="639">
        <f>B55</f>
        <v>341507108</v>
      </c>
      <c r="E55" s="639"/>
      <c r="F55" s="639"/>
      <c r="G55" s="640"/>
      <c r="H55" s="686" t="s">
        <v>769</v>
      </c>
      <c r="I55" s="599"/>
      <c r="J55" s="123"/>
    </row>
    <row r="56" spans="1:10" s="192" customFormat="1" ht="15.9" thickTop="1" x14ac:dyDescent="0.6">
      <c r="A56" s="78" t="s">
        <v>38</v>
      </c>
      <c r="B56" s="755">
        <f t="shared" ref="B56:G56" si="15">SUM(B57:B57)</f>
        <v>0</v>
      </c>
      <c r="C56" s="755">
        <f t="shared" si="15"/>
        <v>0</v>
      </c>
      <c r="D56" s="755">
        <f t="shared" si="15"/>
        <v>0</v>
      </c>
      <c r="E56" s="755">
        <f t="shared" si="15"/>
        <v>0</v>
      </c>
      <c r="F56" s="755">
        <f t="shared" si="15"/>
        <v>0</v>
      </c>
      <c r="G56" s="756">
        <f t="shared" si="15"/>
        <v>0</v>
      </c>
      <c r="H56" s="686"/>
      <c r="I56" s="595"/>
      <c r="J56" s="123"/>
    </row>
    <row r="57" spans="1:10" s="85" customFormat="1" ht="15.9" thickBot="1" x14ac:dyDescent="0.65">
      <c r="A57" s="99"/>
      <c r="B57" s="653"/>
      <c r="C57" s="143"/>
      <c r="D57" s="143"/>
      <c r="E57" s="143"/>
      <c r="F57" s="143"/>
      <c r="G57" s="144"/>
      <c r="H57" s="686"/>
      <c r="I57" s="599"/>
      <c r="J57" s="123"/>
    </row>
    <row r="58" spans="1:10" s="192" customFormat="1" ht="15.9" thickTop="1" x14ac:dyDescent="0.6">
      <c r="A58" s="78" t="s">
        <v>39</v>
      </c>
      <c r="B58" s="729">
        <f>SUM(B59:B61)</f>
        <v>2335775</v>
      </c>
      <c r="C58" s="729">
        <f t="shared" ref="C58:G58" si="16">SUM(C59:C61)</f>
        <v>0</v>
      </c>
      <c r="D58" s="729">
        <f t="shared" si="16"/>
        <v>763929.33333333337</v>
      </c>
      <c r="E58" s="729">
        <f t="shared" si="16"/>
        <v>763929.33333333337</v>
      </c>
      <c r="F58" s="729">
        <f t="shared" si="16"/>
        <v>807916.33333333337</v>
      </c>
      <c r="G58" s="757">
        <f t="shared" si="16"/>
        <v>0</v>
      </c>
      <c r="H58" s="686"/>
      <c r="I58" s="599"/>
      <c r="J58" s="123"/>
    </row>
    <row r="59" spans="1:10" s="85" customFormat="1" x14ac:dyDescent="0.6">
      <c r="A59" s="85" t="s">
        <v>725</v>
      </c>
      <c r="B59" s="600">
        <v>43987</v>
      </c>
      <c r="C59" s="600"/>
      <c r="D59" s="600"/>
      <c r="E59" s="600"/>
      <c r="F59" s="600">
        <f>B59</f>
        <v>43987</v>
      </c>
      <c r="G59" s="146"/>
      <c r="H59" s="686" t="s">
        <v>769</v>
      </c>
      <c r="I59" s="599"/>
      <c r="J59" s="123"/>
    </row>
    <row r="60" spans="1:10" s="85" customFormat="1" x14ac:dyDescent="0.6">
      <c r="A60" s="85" t="s">
        <v>1192</v>
      </c>
      <c r="B60" s="1063" t="s">
        <v>804</v>
      </c>
      <c r="C60" s="600"/>
      <c r="D60" s="600"/>
      <c r="E60" s="600"/>
      <c r="F60" s="600"/>
      <c r="G60" s="146"/>
      <c r="H60" s="686" t="s">
        <v>769</v>
      </c>
      <c r="I60" s="599"/>
      <c r="J60" s="123"/>
    </row>
    <row r="61" spans="1:10" s="85" customFormat="1" ht="15.9" thickBot="1" x14ac:dyDescent="0.65">
      <c r="A61" s="99" t="s">
        <v>923</v>
      </c>
      <c r="B61" s="147">
        <v>2291788</v>
      </c>
      <c r="C61" s="147"/>
      <c r="D61" s="147">
        <f>B61/3</f>
        <v>763929.33333333337</v>
      </c>
      <c r="E61" s="147">
        <f>D61</f>
        <v>763929.33333333337</v>
      </c>
      <c r="F61" s="147">
        <f>E61</f>
        <v>763929.33333333337</v>
      </c>
      <c r="G61" s="148"/>
      <c r="H61" s="686"/>
      <c r="I61" s="595"/>
      <c r="J61" s="123"/>
    </row>
    <row r="62" spans="1:10" s="646" customFormat="1" ht="15.9" thickTop="1" x14ac:dyDescent="0.6">
      <c r="A62" s="1088" t="s">
        <v>40</v>
      </c>
      <c r="B62" s="758">
        <f t="shared" ref="B62:G62" si="17">SUM(B63:B63)</f>
        <v>0</v>
      </c>
      <c r="C62" s="758">
        <f t="shared" si="17"/>
        <v>0</v>
      </c>
      <c r="D62" s="758">
        <f t="shared" si="17"/>
        <v>0</v>
      </c>
      <c r="E62" s="758">
        <f t="shared" si="17"/>
        <v>0</v>
      </c>
      <c r="F62" s="758">
        <f t="shared" si="17"/>
        <v>0</v>
      </c>
      <c r="G62" s="759">
        <f t="shared" si="17"/>
        <v>0</v>
      </c>
      <c r="H62" s="686"/>
      <c r="I62" s="599"/>
      <c r="J62" s="123"/>
    </row>
    <row r="63" spans="1:10" s="647" customFormat="1" ht="15.9" thickBot="1" x14ac:dyDescent="0.65">
      <c r="A63" s="649"/>
      <c r="B63" s="649"/>
      <c r="C63" s="649"/>
      <c r="D63" s="649"/>
      <c r="E63" s="649"/>
      <c r="F63" s="649"/>
      <c r="G63" s="650"/>
      <c r="H63" s="686"/>
      <c r="I63" s="595"/>
      <c r="J63" s="123"/>
    </row>
    <row r="64" spans="1:10" s="748" customFormat="1" ht="15.9" thickTop="1" x14ac:dyDescent="0.6">
      <c r="A64" s="1060" t="s">
        <v>31</v>
      </c>
      <c r="B64" s="595"/>
      <c r="C64" s="595"/>
      <c r="D64" s="595"/>
      <c r="G64" s="725"/>
      <c r="H64" s="686"/>
      <c r="I64" s="599"/>
      <c r="J64" s="123"/>
    </row>
    <row r="65" spans="1:10" s="85" customFormat="1" ht="15.9" thickBot="1" x14ac:dyDescent="0.65">
      <c r="A65" s="99"/>
      <c r="B65" s="124"/>
      <c r="C65" s="108"/>
      <c r="D65" s="124"/>
      <c r="E65" s="99"/>
      <c r="F65" s="99"/>
      <c r="G65" s="136"/>
      <c r="H65" s="686"/>
      <c r="I65" s="595"/>
      <c r="J65" s="123"/>
    </row>
    <row r="66" spans="1:10" s="764" customFormat="1" ht="15.9" thickTop="1" x14ac:dyDescent="0.6">
      <c r="A66" s="1091" t="s">
        <v>47</v>
      </c>
      <c r="B66" s="732">
        <f t="shared" ref="B66:G66" si="18">B67</f>
        <v>42302000000</v>
      </c>
      <c r="C66" s="732">
        <f t="shared" si="18"/>
        <v>0</v>
      </c>
      <c r="D66" s="732">
        <f t="shared" si="18"/>
        <v>0</v>
      </c>
      <c r="E66" s="732">
        <f t="shared" si="18"/>
        <v>0</v>
      </c>
      <c r="F66" s="732">
        <f t="shared" si="18"/>
        <v>42302000000</v>
      </c>
      <c r="G66" s="733">
        <f t="shared" si="18"/>
        <v>0</v>
      </c>
      <c r="H66" s="686"/>
      <c r="I66" s="599"/>
      <c r="J66" s="123"/>
    </row>
    <row r="67" spans="1:10" s="642" customFormat="1" ht="15.9" thickBot="1" x14ac:dyDescent="0.65">
      <c r="A67" s="625" t="s">
        <v>704</v>
      </c>
      <c r="B67" s="625">
        <v>42302000000</v>
      </c>
      <c r="C67" s="625"/>
      <c r="D67" s="625"/>
      <c r="E67" s="625"/>
      <c r="F67" s="625">
        <f>B67</f>
        <v>42302000000</v>
      </c>
      <c r="G67" s="626"/>
      <c r="H67" s="686" t="s">
        <v>769</v>
      </c>
      <c r="I67" s="595"/>
      <c r="J67" s="123"/>
    </row>
    <row r="68" spans="1:10" s="120" customFormat="1" ht="15.9" thickTop="1" x14ac:dyDescent="0.6">
      <c r="A68" s="1092" t="s">
        <v>32</v>
      </c>
      <c r="B68" s="727">
        <f t="shared" ref="B68:G68" si="19">SUM(B69:B69)</f>
        <v>0</v>
      </c>
      <c r="C68" s="727">
        <f t="shared" si="19"/>
        <v>0</v>
      </c>
      <c r="D68" s="727">
        <f t="shared" si="19"/>
        <v>0</v>
      </c>
      <c r="E68" s="727">
        <f t="shared" si="19"/>
        <v>0</v>
      </c>
      <c r="F68" s="727">
        <f t="shared" si="19"/>
        <v>0</v>
      </c>
      <c r="G68" s="728">
        <f t="shared" si="19"/>
        <v>0</v>
      </c>
      <c r="H68" s="686"/>
      <c r="I68" s="599"/>
      <c r="J68" s="123"/>
    </row>
    <row r="69" spans="1:10" s="85" customFormat="1" ht="15.9" thickBot="1" x14ac:dyDescent="0.65">
      <c r="A69" s="99" t="s">
        <v>1065</v>
      </c>
      <c r="B69" s="653" t="s">
        <v>804</v>
      </c>
      <c r="C69" s="143"/>
      <c r="D69" s="143"/>
      <c r="E69" s="143"/>
      <c r="F69" s="143"/>
      <c r="G69" s="144"/>
      <c r="H69" s="686" t="s">
        <v>769</v>
      </c>
      <c r="I69" s="595"/>
      <c r="J69" s="123"/>
    </row>
    <row r="70" spans="1:10" s="748" customFormat="1" ht="15.9" thickTop="1" x14ac:dyDescent="0.6">
      <c r="A70" s="1060" t="s">
        <v>33</v>
      </c>
      <c r="B70" s="723">
        <f>B71</f>
        <v>0</v>
      </c>
      <c r="C70" s="723">
        <f>C71</f>
        <v>0</v>
      </c>
      <c r="D70" s="723"/>
      <c r="E70" s="723"/>
      <c r="F70" s="723"/>
      <c r="G70" s="724"/>
      <c r="H70" s="686"/>
      <c r="I70" s="599"/>
      <c r="J70" s="123"/>
    </row>
    <row r="71" spans="1:10" s="85" customFormat="1" ht="15.9" thickBot="1" x14ac:dyDescent="0.65">
      <c r="A71" s="99"/>
      <c r="B71" s="655"/>
      <c r="C71" s="143"/>
      <c r="D71" s="143"/>
      <c r="E71" s="143"/>
      <c r="F71" s="143"/>
      <c r="G71" s="144"/>
      <c r="H71" s="1595"/>
      <c r="I71" s="1611"/>
      <c r="J71" s="124"/>
    </row>
    <row r="72" spans="1:10" s="765" customFormat="1" ht="15.9" thickTop="1" x14ac:dyDescent="0.6">
      <c r="A72" s="1093" t="s">
        <v>46</v>
      </c>
      <c r="B72" s="734">
        <f t="shared" ref="B72:G72" si="20">B73</f>
        <v>0</v>
      </c>
      <c r="C72" s="734">
        <f t="shared" si="20"/>
        <v>0</v>
      </c>
      <c r="D72" s="734">
        <f t="shared" si="20"/>
        <v>0</v>
      </c>
      <c r="E72" s="734">
        <f t="shared" si="20"/>
        <v>0</v>
      </c>
      <c r="F72" s="734">
        <f t="shared" si="20"/>
        <v>0</v>
      </c>
      <c r="G72" s="735">
        <f t="shared" si="20"/>
        <v>0</v>
      </c>
      <c r="H72" s="686"/>
    </row>
    <row r="73" spans="1:10" s="643" customFormat="1" ht="15.9" thickBot="1" x14ac:dyDescent="0.65">
      <c r="A73" s="627"/>
      <c r="B73" s="627"/>
      <c r="C73" s="627"/>
      <c r="D73" s="627"/>
      <c r="E73" s="627"/>
      <c r="F73" s="627"/>
      <c r="G73" s="610"/>
      <c r="H73" s="686"/>
      <c r="I73" s="1594" t="s">
        <v>78</v>
      </c>
      <c r="J73" s="69"/>
    </row>
    <row r="74" spans="1:10" s="760" customFormat="1" ht="15.9" thickTop="1" x14ac:dyDescent="0.6">
      <c r="A74" s="1094" t="s">
        <v>49</v>
      </c>
      <c r="B74" s="737">
        <f t="shared" ref="B74:G74" si="21">SUM(B75:B77)</f>
        <v>109669000000</v>
      </c>
      <c r="C74" s="737">
        <f t="shared" si="21"/>
        <v>0</v>
      </c>
      <c r="D74" s="737">
        <f t="shared" si="21"/>
        <v>109669000000</v>
      </c>
      <c r="E74" s="737">
        <f t="shared" si="21"/>
        <v>0</v>
      </c>
      <c r="F74" s="737">
        <f t="shared" si="21"/>
        <v>0</v>
      </c>
      <c r="G74" s="738">
        <f t="shared" si="21"/>
        <v>0</v>
      </c>
      <c r="H74" s="686"/>
      <c r="I74" s="593" t="s">
        <v>42</v>
      </c>
      <c r="J74" s="1">
        <v>4</v>
      </c>
    </row>
    <row r="75" spans="1:10" s="645" customFormat="1" x14ac:dyDescent="0.6">
      <c r="A75" s="611" t="s">
        <v>404</v>
      </c>
      <c r="B75" s="614" t="s">
        <v>804</v>
      </c>
      <c r="C75" s="611"/>
      <c r="D75" s="611"/>
      <c r="E75" s="611"/>
      <c r="F75" s="611"/>
      <c r="G75" s="612"/>
      <c r="H75" s="686"/>
      <c r="I75" s="593" t="s">
        <v>802</v>
      </c>
      <c r="J75" s="1">
        <v>3</v>
      </c>
    </row>
    <row r="76" spans="1:10" s="645" customFormat="1" x14ac:dyDescent="0.6">
      <c r="A76" s="611" t="s">
        <v>405</v>
      </c>
      <c r="B76" s="614" t="s">
        <v>804</v>
      </c>
      <c r="C76" s="611"/>
      <c r="D76" s="611"/>
      <c r="E76" s="611"/>
      <c r="F76" s="611"/>
      <c r="G76" s="612"/>
      <c r="H76" s="686"/>
      <c r="I76" s="593" t="s">
        <v>1732</v>
      </c>
      <c r="J76" s="1">
        <v>0</v>
      </c>
    </row>
    <row r="77" spans="1:10" s="645" customFormat="1" ht="15.9" thickBot="1" x14ac:dyDescent="0.65">
      <c r="A77" s="629" t="s">
        <v>406</v>
      </c>
      <c r="B77" s="629">
        <v>109669000000</v>
      </c>
      <c r="C77" s="629"/>
      <c r="D77" s="629">
        <f>B77</f>
        <v>109669000000</v>
      </c>
      <c r="E77" s="629"/>
      <c r="F77" s="629"/>
      <c r="G77" s="613"/>
      <c r="H77" s="686"/>
      <c r="I77" s="593" t="s">
        <v>239</v>
      </c>
      <c r="J77" s="1"/>
    </row>
    <row r="78" spans="1:10" s="192" customFormat="1" ht="15.9" thickTop="1" x14ac:dyDescent="0.6">
      <c r="A78" s="78" t="s">
        <v>50</v>
      </c>
      <c r="B78" s="739">
        <f t="shared" ref="B78:G78" si="22">SUM(B79:B79)</f>
        <v>0</v>
      </c>
      <c r="C78" s="739">
        <f t="shared" si="22"/>
        <v>0</v>
      </c>
      <c r="D78" s="739">
        <f t="shared" si="22"/>
        <v>0</v>
      </c>
      <c r="E78" s="739">
        <f t="shared" si="22"/>
        <v>0</v>
      </c>
      <c r="F78" s="739">
        <f t="shared" si="22"/>
        <v>0</v>
      </c>
      <c r="G78" s="740">
        <f t="shared" si="22"/>
        <v>0</v>
      </c>
      <c r="H78" s="686"/>
      <c r="I78" s="595"/>
      <c r="J78" s="123"/>
    </row>
    <row r="79" spans="1:10" s="85" customFormat="1" ht="15.9" thickBot="1" x14ac:dyDescent="0.65">
      <c r="A79" s="99"/>
      <c r="B79" s="151"/>
      <c r="C79" s="151"/>
      <c r="D79" s="151"/>
      <c r="E79" s="151"/>
      <c r="F79" s="151"/>
      <c r="G79" s="152"/>
      <c r="H79" s="686"/>
      <c r="I79" s="599"/>
      <c r="J79" s="123"/>
    </row>
    <row r="80" spans="1:10" s="748" customFormat="1" ht="15.9" thickTop="1" x14ac:dyDescent="0.6">
      <c r="A80" s="1060" t="s">
        <v>51</v>
      </c>
      <c r="B80" s="595"/>
      <c r="C80" s="595"/>
      <c r="D80" s="595"/>
      <c r="G80" s="725"/>
      <c r="H80" s="686"/>
      <c r="I80" s="595"/>
      <c r="J80" s="123"/>
    </row>
    <row r="81" spans="1:10" s="85" customFormat="1" ht="15.9" thickBot="1" x14ac:dyDescent="0.65">
      <c r="A81" s="99" t="s">
        <v>1070</v>
      </c>
      <c r="B81" s="598" t="s">
        <v>804</v>
      </c>
      <c r="C81" s="108"/>
      <c r="D81" s="124"/>
      <c r="E81" s="99"/>
      <c r="F81" s="99"/>
      <c r="G81" s="136"/>
      <c r="H81" s="686"/>
      <c r="I81" s="599"/>
      <c r="J81" s="123"/>
    </row>
    <row r="82" spans="1:10" ht="15.9" thickTop="1" x14ac:dyDescent="0.6">
      <c r="H82" s="686"/>
      <c r="I82" s="595"/>
      <c r="J82" s="123"/>
    </row>
    <row r="83" spans="1:10" x14ac:dyDescent="0.6">
      <c r="A83" s="1370" t="s">
        <v>1451</v>
      </c>
      <c r="B83" s="13">
        <f>COUNTIF(B2:B81,"=ND")</f>
        <v>8</v>
      </c>
      <c r="H83" s="686"/>
      <c r="I83" s="599"/>
      <c r="J83" s="123"/>
    </row>
    <row r="84" spans="1:10" x14ac:dyDescent="0.6">
      <c r="A84" s="1370" t="s">
        <v>1454</v>
      </c>
      <c r="B84" s="13">
        <f>COUNT(B2:B81)</f>
        <v>46</v>
      </c>
      <c r="H84" s="838"/>
      <c r="I84" s="1565"/>
    </row>
    <row r="85" spans="1:10" x14ac:dyDescent="0.6">
      <c r="A85" s="1370" t="s">
        <v>1452</v>
      </c>
      <c r="B85" s="13">
        <f>COUNTBLANK(B2:B81)</f>
        <v>26</v>
      </c>
      <c r="H85" s="838"/>
      <c r="I85" s="593"/>
    </row>
    <row r="86" spans="1:10" x14ac:dyDescent="0.6">
      <c r="A86" s="1370" t="s">
        <v>1453</v>
      </c>
      <c r="B86" s="13">
        <v>29</v>
      </c>
      <c r="H86" s="838"/>
      <c r="I86" s="593"/>
    </row>
    <row r="87" spans="1:10" x14ac:dyDescent="0.6">
      <c r="A87" s="1370" t="s">
        <v>42</v>
      </c>
      <c r="B87" s="13">
        <f>SUM(B83:B85)</f>
        <v>80</v>
      </c>
      <c r="H87" s="838"/>
      <c r="I87" s="593"/>
    </row>
    <row r="88" spans="1:10" x14ac:dyDescent="0.6">
      <c r="A88" s="1370" t="s">
        <v>1456</v>
      </c>
      <c r="B88" s="13">
        <v>80</v>
      </c>
      <c r="H88" s="838"/>
      <c r="I88" s="593"/>
    </row>
    <row r="89" spans="1:10" x14ac:dyDescent="0.6">
      <c r="A89" s="1370"/>
      <c r="B89" s="13"/>
      <c r="H89" s="838"/>
      <c r="I89" s="593"/>
    </row>
    <row r="90" spans="1:10" x14ac:dyDescent="0.6">
      <c r="A90" s="1370" t="s">
        <v>1455</v>
      </c>
      <c r="B90" s="13">
        <f>B84-B85</f>
        <v>20</v>
      </c>
      <c r="H90" s="838"/>
      <c r="I90" s="593"/>
    </row>
    <row r="91" spans="1:10" x14ac:dyDescent="0.6">
      <c r="A91" s="826" t="s">
        <v>804</v>
      </c>
      <c r="B91" s="13">
        <f>B83</f>
        <v>8</v>
      </c>
      <c r="H91" s="838"/>
      <c r="I91" s="593"/>
    </row>
    <row r="92" spans="1:10" x14ac:dyDescent="0.6">
      <c r="A92" s="826" t="s">
        <v>42</v>
      </c>
      <c r="B92" s="13">
        <f>B91+B90</f>
        <v>28</v>
      </c>
      <c r="H92" s="838"/>
      <c r="I92" s="593"/>
    </row>
    <row r="93" spans="1:10" x14ac:dyDescent="0.6">
      <c r="A93" s="826"/>
      <c r="B93" s="13"/>
      <c r="H93" s="838"/>
      <c r="I93" s="593"/>
    </row>
    <row r="94" spans="1:10" x14ac:dyDescent="0.6">
      <c r="A94" s="826" t="s">
        <v>1456</v>
      </c>
      <c r="B94" s="13">
        <f>B83+B84-B85</f>
        <v>28</v>
      </c>
      <c r="H94" s="838"/>
      <c r="I94" s="593"/>
    </row>
    <row r="95" spans="1:10" x14ac:dyDescent="0.6">
      <c r="H95" s="838"/>
      <c r="I95" s="593"/>
    </row>
    <row r="96" spans="1:10" x14ac:dyDescent="0.6">
      <c r="H96" s="838"/>
      <c r="I96" s="593"/>
    </row>
    <row r="97" spans="8:10" x14ac:dyDescent="0.6">
      <c r="H97" s="838"/>
      <c r="I97" s="593"/>
    </row>
    <row r="98" spans="8:10" x14ac:dyDescent="0.6">
      <c r="H98" s="1063"/>
      <c r="I98" s="1062"/>
      <c r="J98" s="123"/>
    </row>
    <row r="99" spans="8:10" x14ac:dyDescent="0.6">
      <c r="H99" s="686"/>
      <c r="I99" s="595"/>
      <c r="J99" s="123"/>
    </row>
    <row r="100" spans="8:10" x14ac:dyDescent="0.6">
      <c r="H100" s="1063"/>
      <c r="I100" s="600"/>
      <c r="J100" s="145"/>
    </row>
    <row r="101" spans="8:10" x14ac:dyDescent="0.6">
      <c r="H101" s="1406"/>
      <c r="I101" s="1566"/>
      <c r="J101" s="123"/>
    </row>
    <row r="102" spans="8:10" x14ac:dyDescent="0.6">
      <c r="H102" s="1406"/>
      <c r="I102" s="601"/>
      <c r="J102" s="123"/>
    </row>
    <row r="103" spans="8:10" x14ac:dyDescent="0.6">
      <c r="H103" s="1406"/>
      <c r="I103" s="601"/>
      <c r="J103" s="123"/>
    </row>
    <row r="104" spans="8:10" x14ac:dyDescent="0.6">
      <c r="H104" s="1406"/>
      <c r="I104" s="601"/>
      <c r="J104" s="123"/>
    </row>
    <row r="105" spans="8:10" x14ac:dyDescent="0.6">
      <c r="H105" s="1406"/>
      <c r="I105" s="601"/>
      <c r="J105" s="123"/>
    </row>
    <row r="106" spans="8:10" x14ac:dyDescent="0.6">
      <c r="H106" s="1406"/>
      <c r="I106" s="601"/>
      <c r="J106" s="123"/>
    </row>
    <row r="107" spans="8:10" x14ac:dyDescent="0.6">
      <c r="H107" s="1406"/>
      <c r="I107" s="601"/>
      <c r="J107" s="123"/>
    </row>
    <row r="108" spans="8:10" x14ac:dyDescent="0.6">
      <c r="H108" s="1406"/>
      <c r="I108" s="601"/>
      <c r="J108" s="123"/>
    </row>
    <row r="109" spans="8:10" x14ac:dyDescent="0.6">
      <c r="H109" s="1572"/>
      <c r="I109" s="1567"/>
      <c r="J109" s="123"/>
    </row>
    <row r="110" spans="8:10" x14ac:dyDescent="0.6">
      <c r="H110" s="1065"/>
      <c r="I110" s="694"/>
      <c r="J110" s="123"/>
    </row>
    <row r="111" spans="8:10" x14ac:dyDescent="0.6">
      <c r="H111" s="1065"/>
      <c r="I111" s="694"/>
      <c r="J111" s="123"/>
    </row>
    <row r="112" spans="8:10" x14ac:dyDescent="0.6">
      <c r="H112" s="1065"/>
      <c r="I112" s="694"/>
      <c r="J112" s="123"/>
    </row>
    <row r="113" spans="8:10" x14ac:dyDescent="0.6">
      <c r="H113" s="1065"/>
      <c r="I113" s="694"/>
      <c r="J113" s="123"/>
    </row>
    <row r="114" spans="8:10" x14ac:dyDescent="0.6">
      <c r="H114" s="1065"/>
      <c r="I114" s="694"/>
      <c r="J114" s="123"/>
    </row>
    <row r="115" spans="8:10" x14ac:dyDescent="0.6">
      <c r="H115" s="1065"/>
      <c r="I115" s="694"/>
      <c r="J115" s="123"/>
    </row>
    <row r="116" spans="8:10" x14ac:dyDescent="0.6">
      <c r="H116" s="1090"/>
      <c r="I116" s="1568"/>
      <c r="J116" s="123"/>
    </row>
    <row r="117" spans="8:10" x14ac:dyDescent="0.6">
      <c r="H117" s="1090"/>
      <c r="I117" s="605"/>
      <c r="J117" s="123"/>
    </row>
    <row r="118" spans="8:10" x14ac:dyDescent="0.6">
      <c r="H118" s="1090"/>
      <c r="I118" s="605"/>
      <c r="J118" s="123"/>
    </row>
    <row r="119" spans="8:10" x14ac:dyDescent="0.6">
      <c r="H119" s="686"/>
      <c r="I119" s="595"/>
      <c r="J119" s="123"/>
    </row>
    <row r="120" spans="8:10" x14ac:dyDescent="0.6">
      <c r="H120" s="686"/>
      <c r="I120" s="599"/>
      <c r="J120" s="123"/>
    </row>
    <row r="121" spans="8:10" x14ac:dyDescent="0.6">
      <c r="H121" s="686"/>
      <c r="I121" s="599"/>
      <c r="J121" s="123"/>
    </row>
    <row r="122" spans="8:10" x14ac:dyDescent="0.6">
      <c r="H122" s="686"/>
      <c r="I122" s="599"/>
      <c r="J122" s="123"/>
    </row>
    <row r="123" spans="8:10" x14ac:dyDescent="0.6">
      <c r="H123" s="686"/>
      <c r="I123" s="599"/>
      <c r="J123" s="123"/>
    </row>
    <row r="124" spans="8:10" x14ac:dyDescent="0.6">
      <c r="H124" s="686"/>
      <c r="I124" s="599"/>
      <c r="J124" s="123"/>
    </row>
    <row r="125" spans="8:10" x14ac:dyDescent="0.6">
      <c r="H125" s="686"/>
      <c r="I125" s="599"/>
      <c r="J125" s="123"/>
    </row>
    <row r="126" spans="8:10" x14ac:dyDescent="0.6">
      <c r="H126" s="686"/>
      <c r="I126" s="599"/>
      <c r="J126" s="123"/>
    </row>
    <row r="127" spans="8:10" x14ac:dyDescent="0.6">
      <c r="H127" s="686"/>
      <c r="I127" s="599"/>
      <c r="J127" s="123"/>
    </row>
    <row r="128" spans="8:10" x14ac:dyDescent="0.6">
      <c r="H128" s="686"/>
      <c r="I128" s="599"/>
      <c r="J128" s="123"/>
    </row>
    <row r="129" spans="8:10" x14ac:dyDescent="0.6">
      <c r="H129" s="838"/>
      <c r="I129" s="1565"/>
      <c r="J129" s="123"/>
    </row>
    <row r="130" spans="8:10" x14ac:dyDescent="0.6">
      <c r="H130" s="838"/>
      <c r="I130" s="593"/>
      <c r="J130" s="123"/>
    </row>
    <row r="131" spans="8:10" x14ac:dyDescent="0.6">
      <c r="H131" s="774"/>
      <c r="I131" s="1569"/>
      <c r="J131" s="123"/>
    </row>
    <row r="132" spans="8:10" x14ac:dyDescent="0.6">
      <c r="H132" s="774"/>
      <c r="I132" s="608"/>
      <c r="J132" s="123"/>
    </row>
    <row r="133" spans="8:10" x14ac:dyDescent="0.6">
      <c r="H133" s="774"/>
      <c r="I133" s="608"/>
      <c r="J133" s="123"/>
    </row>
    <row r="134" spans="8:10" x14ac:dyDescent="0.6">
      <c r="H134" s="774"/>
      <c r="I134" s="608"/>
      <c r="J134" s="145"/>
    </row>
    <row r="135" spans="8:10" x14ac:dyDescent="0.6">
      <c r="H135" s="614"/>
      <c r="I135" s="1570"/>
      <c r="J135" s="123"/>
    </row>
    <row r="136" spans="8:10" x14ac:dyDescent="0.6">
      <c r="H136" s="614"/>
      <c r="I136" s="611"/>
      <c r="J136" s="145"/>
    </row>
    <row r="137" spans="8:10" x14ac:dyDescent="0.6">
      <c r="H137" s="1326"/>
      <c r="I137" s="1571"/>
      <c r="J137" s="123"/>
    </row>
    <row r="138" spans="8:10" x14ac:dyDescent="0.6">
      <c r="H138" s="1326"/>
      <c r="I138" s="615"/>
      <c r="J138" s="123"/>
    </row>
    <row r="139" spans="8:10" x14ac:dyDescent="0.6">
      <c r="H139" s="1326"/>
      <c r="I139" s="615"/>
      <c r="J139" s="123"/>
    </row>
    <row r="140" spans="8:10" x14ac:dyDescent="0.6">
      <c r="H140" s="686"/>
      <c r="I140" s="595"/>
      <c r="J140" s="123"/>
    </row>
    <row r="141" spans="8:10" x14ac:dyDescent="0.6">
      <c r="H141" s="686"/>
      <c r="I141" s="599"/>
      <c r="J141" s="123"/>
    </row>
    <row r="142" spans="8:10" x14ac:dyDescent="0.6">
      <c r="H142" s="686"/>
      <c r="I142" s="599"/>
      <c r="J142" s="123"/>
    </row>
    <row r="143" spans="8:10" x14ac:dyDescent="0.6">
      <c r="H143" s="60"/>
      <c r="I143" s="85"/>
    </row>
    <row r="147" spans="8:9" x14ac:dyDescent="0.6">
      <c r="H147" s="60"/>
      <c r="I147" s="1"/>
    </row>
    <row r="148" spans="8:9" x14ac:dyDescent="0.6">
      <c r="H148" s="60"/>
      <c r="I148" s="1"/>
    </row>
    <row r="149" spans="8:9" x14ac:dyDescent="0.6">
      <c r="H149" s="60"/>
      <c r="I149" s="1"/>
    </row>
    <row r="150" spans="8:9" x14ac:dyDescent="0.6">
      <c r="H150" s="60"/>
      <c r="I150" s="1"/>
    </row>
    <row r="151" spans="8:9" x14ac:dyDescent="0.6">
      <c r="H151" s="60"/>
      <c r="I151" s="1"/>
    </row>
    <row r="152" spans="8:9" x14ac:dyDescent="0.6">
      <c r="H152" s="60"/>
      <c r="I152" s="1"/>
    </row>
    <row r="153" spans="8:9" x14ac:dyDescent="0.6">
      <c r="H153" s="60"/>
      <c r="I153" s="1"/>
    </row>
    <row r="154" spans="8:9" x14ac:dyDescent="0.6">
      <c r="H154" s="60"/>
      <c r="I154" s="1"/>
    </row>
    <row r="155" spans="8:9" x14ac:dyDescent="0.6">
      <c r="H155" s="60"/>
      <c r="I155" s="1"/>
    </row>
    <row r="156" spans="8:9" x14ac:dyDescent="0.6">
      <c r="H156" s="60"/>
      <c r="I156" s="1"/>
    </row>
    <row r="157" spans="8:9" x14ac:dyDescent="0.6">
      <c r="H157" s="60"/>
      <c r="I157" s="1"/>
    </row>
    <row r="158" spans="8:9" x14ac:dyDescent="0.6">
      <c r="H158" s="60"/>
      <c r="I158" s="1"/>
    </row>
    <row r="159" spans="8:9" x14ac:dyDescent="0.6">
      <c r="H159" s="60"/>
      <c r="I159" s="1"/>
    </row>
    <row r="160" spans="8:9" x14ac:dyDescent="0.6">
      <c r="H160" s="60"/>
      <c r="I160" s="1"/>
    </row>
    <row r="161" spans="8:9" x14ac:dyDescent="0.6">
      <c r="H161" s="60"/>
      <c r="I161" s="1"/>
    </row>
    <row r="162" spans="8:9" x14ac:dyDescent="0.6">
      <c r="H162" s="60"/>
      <c r="I162" s="1"/>
    </row>
    <row r="163" spans="8:9" x14ac:dyDescent="0.6">
      <c r="H163" s="60"/>
      <c r="I163" s="1"/>
    </row>
    <row r="164" spans="8:9" x14ac:dyDescent="0.6">
      <c r="H164" s="60"/>
      <c r="I164" s="1"/>
    </row>
    <row r="165" spans="8:9" x14ac:dyDescent="0.6">
      <c r="H165" s="60"/>
      <c r="I165" s="1"/>
    </row>
    <row r="166" spans="8:9" x14ac:dyDescent="0.6">
      <c r="H166" s="60"/>
      <c r="I166" s="1"/>
    </row>
    <row r="167" spans="8:9" x14ac:dyDescent="0.6">
      <c r="H167" s="60"/>
      <c r="I167" s="1"/>
    </row>
    <row r="168" spans="8:9" x14ac:dyDescent="0.6">
      <c r="H168" s="60"/>
      <c r="I168" s="1"/>
    </row>
    <row r="169" spans="8:9" x14ac:dyDescent="0.6">
      <c r="H169" s="60"/>
      <c r="I169" s="1"/>
    </row>
    <row r="170" spans="8:9" x14ac:dyDescent="0.6">
      <c r="H170" s="60"/>
      <c r="I170" s="1"/>
    </row>
    <row r="171" spans="8:9" x14ac:dyDescent="0.6">
      <c r="H171" s="60"/>
      <c r="I171" s="1"/>
    </row>
    <row r="172" spans="8:9" x14ac:dyDescent="0.6">
      <c r="H172" s="60"/>
      <c r="I172" s="1"/>
    </row>
    <row r="173" spans="8:9" x14ac:dyDescent="0.6">
      <c r="H173" s="60"/>
      <c r="I173" s="1"/>
    </row>
    <row r="174" spans="8:9" x14ac:dyDescent="0.6">
      <c r="H174" s="60"/>
      <c r="I174" s="1"/>
    </row>
    <row r="175" spans="8:9" x14ac:dyDescent="0.6">
      <c r="H175" s="60"/>
      <c r="I175" s="1"/>
    </row>
    <row r="176" spans="8:9" x14ac:dyDescent="0.6">
      <c r="H176" s="60"/>
      <c r="I176" s="1"/>
    </row>
    <row r="177" spans="8:9" x14ac:dyDescent="0.6">
      <c r="H177" s="60"/>
      <c r="I177" s="1"/>
    </row>
    <row r="178" spans="8:9" x14ac:dyDescent="0.6">
      <c r="H178" s="60"/>
      <c r="I178" s="1"/>
    </row>
    <row r="179" spans="8:9" x14ac:dyDescent="0.6">
      <c r="H179" s="60"/>
      <c r="I179" s="1"/>
    </row>
    <row r="180" spans="8:9" x14ac:dyDescent="0.6">
      <c r="H180" s="60"/>
      <c r="I180" s="1"/>
    </row>
    <row r="181" spans="8:9" x14ac:dyDescent="0.6">
      <c r="H181" s="60"/>
      <c r="I181" s="1"/>
    </row>
    <row r="182" spans="8:9" x14ac:dyDescent="0.6">
      <c r="H182" s="60"/>
      <c r="I182" s="1"/>
    </row>
    <row r="183" spans="8:9" x14ac:dyDescent="0.6">
      <c r="H183" s="60"/>
      <c r="I183" s="1"/>
    </row>
    <row r="184" spans="8:9" x14ac:dyDescent="0.6">
      <c r="H184" s="60"/>
      <c r="I184" s="1"/>
    </row>
    <row r="185" spans="8:9" x14ac:dyDescent="0.6">
      <c r="H185" s="60"/>
      <c r="I185" s="1"/>
    </row>
    <row r="186" spans="8:9" x14ac:dyDescent="0.6">
      <c r="H186" s="60"/>
      <c r="I186" s="1"/>
    </row>
    <row r="187" spans="8:9" x14ac:dyDescent="0.6">
      <c r="H187" s="60"/>
      <c r="I187" s="1"/>
    </row>
    <row r="188" spans="8:9" x14ac:dyDescent="0.6">
      <c r="H188" s="60"/>
      <c r="I188" s="1"/>
    </row>
    <row r="189" spans="8:9" x14ac:dyDescent="0.6">
      <c r="H189" s="60"/>
      <c r="I189" s="1"/>
    </row>
    <row r="190" spans="8:9" x14ac:dyDescent="0.6">
      <c r="H190" s="60"/>
      <c r="I190" s="1"/>
    </row>
    <row r="191" spans="8:9" x14ac:dyDescent="0.6">
      <c r="H191" s="60"/>
      <c r="I191" s="1"/>
    </row>
    <row r="192" spans="8:9" x14ac:dyDescent="0.6">
      <c r="H192" s="60"/>
      <c r="I192" s="1"/>
    </row>
    <row r="193" spans="8:9" x14ac:dyDescent="0.6">
      <c r="H193" s="60"/>
      <c r="I193" s="1"/>
    </row>
    <row r="194" spans="8:9" x14ac:dyDescent="0.6">
      <c r="H194" s="60"/>
      <c r="I194" s="1"/>
    </row>
    <row r="195" spans="8:9" x14ac:dyDescent="0.6">
      <c r="H195" s="60"/>
      <c r="I195" s="1"/>
    </row>
    <row r="196" spans="8:9" x14ac:dyDescent="0.6">
      <c r="H196" s="60"/>
      <c r="I196" s="1"/>
    </row>
    <row r="197" spans="8:9" x14ac:dyDescent="0.6">
      <c r="H197" s="60"/>
      <c r="I197" s="1"/>
    </row>
    <row r="198" spans="8:9" x14ac:dyDescent="0.6">
      <c r="H198" s="60"/>
      <c r="I198" s="1"/>
    </row>
    <row r="199" spans="8:9" x14ac:dyDescent="0.6">
      <c r="H199" s="60"/>
      <c r="I199" s="1"/>
    </row>
    <row r="200" spans="8:9" x14ac:dyDescent="0.6">
      <c r="H200" s="60"/>
      <c r="I200" s="1"/>
    </row>
    <row r="201" spans="8:9" x14ac:dyDescent="0.6">
      <c r="H201" s="60"/>
      <c r="I201" s="1"/>
    </row>
    <row r="202" spans="8:9" x14ac:dyDescent="0.6">
      <c r="H202" s="60"/>
      <c r="I202" s="1"/>
    </row>
    <row r="203" spans="8:9" x14ac:dyDescent="0.6">
      <c r="H203" s="60"/>
      <c r="I203" s="1"/>
    </row>
    <row r="204" spans="8:9" x14ac:dyDescent="0.6">
      <c r="H204" s="60"/>
      <c r="I204" s="1"/>
    </row>
    <row r="205" spans="8:9" x14ac:dyDescent="0.6">
      <c r="H205" s="60"/>
      <c r="I205" s="1"/>
    </row>
    <row r="206" spans="8:9" x14ac:dyDescent="0.6">
      <c r="H206" s="60"/>
      <c r="I206" s="1"/>
    </row>
    <row r="207" spans="8:9" x14ac:dyDescent="0.6">
      <c r="H207" s="60"/>
      <c r="I207" s="1"/>
    </row>
    <row r="208" spans="8:9" x14ac:dyDescent="0.6">
      <c r="H208" s="60"/>
      <c r="I208" s="1"/>
    </row>
    <row r="209" spans="8:9" x14ac:dyDescent="0.6">
      <c r="H209" s="60"/>
      <c r="I209" s="1"/>
    </row>
    <row r="210" spans="8:9" x14ac:dyDescent="0.6">
      <c r="H210" s="60"/>
      <c r="I210" s="1"/>
    </row>
    <row r="211" spans="8:9" x14ac:dyDescent="0.6">
      <c r="H211" s="60"/>
      <c r="I211" s="1"/>
    </row>
    <row r="212" spans="8:9" x14ac:dyDescent="0.6">
      <c r="H212" s="60"/>
      <c r="I212" s="1"/>
    </row>
    <row r="213" spans="8:9" x14ac:dyDescent="0.6">
      <c r="H213" s="60"/>
      <c r="I213" s="1"/>
    </row>
    <row r="214" spans="8:9" x14ac:dyDescent="0.6">
      <c r="H214" s="60"/>
      <c r="I214" s="1"/>
    </row>
    <row r="215" spans="8:9" x14ac:dyDescent="0.6">
      <c r="H215" s="60"/>
      <c r="I215" s="1"/>
    </row>
    <row r="216" spans="8:9" x14ac:dyDescent="0.6">
      <c r="H216" s="60"/>
      <c r="I216" s="1"/>
    </row>
    <row r="217" spans="8:9" x14ac:dyDescent="0.6">
      <c r="H217" s="60"/>
      <c r="I217" s="1"/>
    </row>
    <row r="218" spans="8:9" x14ac:dyDescent="0.6">
      <c r="H218" s="60"/>
      <c r="I218" s="1"/>
    </row>
    <row r="219" spans="8:9" x14ac:dyDescent="0.6">
      <c r="H219" s="60"/>
      <c r="I219" s="1"/>
    </row>
    <row r="220" spans="8:9" x14ac:dyDescent="0.6">
      <c r="H220" s="60"/>
      <c r="I220" s="1"/>
    </row>
    <row r="221" spans="8:9" x14ac:dyDescent="0.6">
      <c r="H221" s="60"/>
      <c r="I221" s="1"/>
    </row>
    <row r="222" spans="8:9" x14ac:dyDescent="0.6">
      <c r="H222" s="60"/>
      <c r="I222" s="1"/>
    </row>
    <row r="223" spans="8:9" x14ac:dyDescent="0.6">
      <c r="H223" s="60"/>
      <c r="I223" s="1"/>
    </row>
    <row r="224" spans="8:9" x14ac:dyDescent="0.6">
      <c r="H224" s="60"/>
      <c r="I224" s="1"/>
    </row>
    <row r="225" spans="8:9" x14ac:dyDescent="0.6">
      <c r="H225" s="60"/>
      <c r="I225" s="1"/>
    </row>
    <row r="226" spans="8:9" x14ac:dyDescent="0.6">
      <c r="H226" s="60"/>
      <c r="I226" s="1"/>
    </row>
    <row r="227" spans="8:9" x14ac:dyDescent="0.6">
      <c r="H227" s="60"/>
      <c r="I227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277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0.84765625" defaultRowHeight="15.6" x14ac:dyDescent="0.6"/>
  <cols>
    <col min="1" max="1" width="62.34765625" style="1" customWidth="1"/>
    <col min="2" max="2" width="16.84765625" style="70" bestFit="1" customWidth="1"/>
    <col min="3" max="3" width="19.84765625" style="85" customWidth="1"/>
    <col min="4" max="5" width="10.84765625" style="81" hidden="1" customWidth="1"/>
    <col min="6" max="8" width="9.59765625" style="64" hidden="1" customWidth="1"/>
    <col min="9" max="9" width="17.09765625" style="85" hidden="1" customWidth="1"/>
    <col min="10" max="10" width="0" style="85" hidden="1" customWidth="1"/>
    <col min="11" max="11" width="0" style="1" hidden="1" customWidth="1"/>
    <col min="12" max="12" width="8.09765625" style="114" bestFit="1" customWidth="1"/>
    <col min="13" max="13" width="15" style="70" customWidth="1"/>
    <col min="14" max="16384" width="10.84765625" style="1"/>
  </cols>
  <sheetData>
    <row r="1" spans="1:14" x14ac:dyDescent="0.6">
      <c r="A1" s="78" t="s">
        <v>744</v>
      </c>
      <c r="B1" s="244" t="s">
        <v>237</v>
      </c>
      <c r="C1" s="251" t="s">
        <v>239</v>
      </c>
      <c r="D1" s="766" t="s">
        <v>768</v>
      </c>
      <c r="E1" s="766" t="s">
        <v>866</v>
      </c>
      <c r="F1" s="64" t="s">
        <v>807</v>
      </c>
      <c r="G1" s="64" t="s">
        <v>866</v>
      </c>
      <c r="H1" s="64" t="s">
        <v>803</v>
      </c>
    </row>
    <row r="2" spans="1:14" s="192" customFormat="1" x14ac:dyDescent="0.6">
      <c r="A2" s="78" t="s">
        <v>37</v>
      </c>
      <c r="B2" s="742">
        <f>SUM(B3:B8)</f>
        <v>388753528</v>
      </c>
      <c r="C2" s="743">
        <f>SUM(C3:C8)</f>
        <v>0</v>
      </c>
      <c r="D2" s="995"/>
      <c r="E2" s="995"/>
      <c r="F2" s="720"/>
      <c r="G2" s="720">
        <f>IF(E2="x",1,0)</f>
        <v>0</v>
      </c>
      <c r="H2" s="720"/>
      <c r="L2" s="838" t="s">
        <v>1731</v>
      </c>
      <c r="M2" s="1477"/>
      <c r="N2" s="1"/>
    </row>
    <row r="3" spans="1:14" x14ac:dyDescent="0.6">
      <c r="A3" s="1" t="s">
        <v>903</v>
      </c>
      <c r="B3" s="70">
        <v>28628</v>
      </c>
      <c r="C3" s="607"/>
      <c r="D3" s="766" t="s">
        <v>769</v>
      </c>
      <c r="E3" s="766" t="s">
        <v>769</v>
      </c>
      <c r="F3" s="720">
        <f>IF(D3="x",1,0)</f>
        <v>1</v>
      </c>
      <c r="G3" s="720">
        <f t="shared" ref="G3:G88" si="0">IF(E3="x",1,0)</f>
        <v>1</v>
      </c>
      <c r="H3" s="720">
        <f>IF(B3="ND",1,0)</f>
        <v>0</v>
      </c>
      <c r="L3" s="838" t="s">
        <v>769</v>
      </c>
      <c r="M3" s="1594" t="s">
        <v>37</v>
      </c>
    </row>
    <row r="4" spans="1:14" x14ac:dyDescent="0.6">
      <c r="A4" s="1" t="s">
        <v>1201</v>
      </c>
      <c r="B4" s="70">
        <v>604071</v>
      </c>
      <c r="C4" s="616"/>
      <c r="D4" s="766"/>
      <c r="E4" s="766"/>
      <c r="F4" s="720"/>
      <c r="G4" s="720"/>
      <c r="H4" s="720"/>
      <c r="L4" s="838" t="s">
        <v>769</v>
      </c>
      <c r="M4" s="593" t="s">
        <v>42</v>
      </c>
      <c r="N4" s="1">
        <f>8-2</f>
        <v>6</v>
      </c>
    </row>
    <row r="5" spans="1:14" x14ac:dyDescent="0.6">
      <c r="A5" s="1" t="s">
        <v>890</v>
      </c>
      <c r="B5" s="70">
        <v>185379</v>
      </c>
      <c r="C5" s="616"/>
      <c r="D5" s="766" t="s">
        <v>769</v>
      </c>
      <c r="E5" s="766" t="s">
        <v>769</v>
      </c>
      <c r="F5" s="720">
        <f t="shared" ref="F5:F90" si="1">IF(D5="x",1,0)</f>
        <v>1</v>
      </c>
      <c r="G5" s="720">
        <f t="shared" si="0"/>
        <v>1</v>
      </c>
      <c r="H5" s="720">
        <f t="shared" ref="H5:H89" si="2">IF(B5="ND",1,0)</f>
        <v>0</v>
      </c>
      <c r="I5" s="986" t="s">
        <v>784</v>
      </c>
      <c r="J5" s="987">
        <f>SUM(G2:G128)</f>
        <v>44</v>
      </c>
      <c r="L5" s="838" t="s">
        <v>769</v>
      </c>
      <c r="M5" s="593" t="s">
        <v>802</v>
      </c>
      <c r="N5" s="1">
        <v>1</v>
      </c>
    </row>
    <row r="6" spans="1:14" x14ac:dyDescent="0.6">
      <c r="A6" s="1" t="s">
        <v>891</v>
      </c>
      <c r="B6" s="70">
        <v>2399541</v>
      </c>
      <c r="C6" s="607"/>
      <c r="D6" s="766" t="s">
        <v>769</v>
      </c>
      <c r="E6" s="766" t="s">
        <v>769</v>
      </c>
      <c r="F6" s="720">
        <f t="shared" si="1"/>
        <v>1</v>
      </c>
      <c r="G6" s="720">
        <f t="shared" si="0"/>
        <v>1</v>
      </c>
      <c r="H6" s="720">
        <f t="shared" si="2"/>
        <v>0</v>
      </c>
      <c r="I6" s="988" t="s">
        <v>783</v>
      </c>
      <c r="J6" s="989">
        <f>SUM(F2:F134)</f>
        <v>39</v>
      </c>
      <c r="L6" s="838" t="s">
        <v>769</v>
      </c>
      <c r="M6" s="593" t="s">
        <v>1732</v>
      </c>
      <c r="N6" s="1">
        <f>COUNTIF(L3:L8,"x")</f>
        <v>5</v>
      </c>
    </row>
    <row r="7" spans="1:14" x14ac:dyDescent="0.6">
      <c r="A7" s="1" t="s">
        <v>961</v>
      </c>
      <c r="B7" s="114" t="s">
        <v>804</v>
      </c>
      <c r="C7" s="607"/>
      <c r="D7" s="766" t="s">
        <v>769</v>
      </c>
      <c r="E7" s="766" t="s">
        <v>769</v>
      </c>
      <c r="F7" s="720">
        <f t="shared" si="1"/>
        <v>1</v>
      </c>
      <c r="G7" s="720">
        <f t="shared" si="0"/>
        <v>1</v>
      </c>
      <c r="H7" s="720">
        <f t="shared" si="2"/>
        <v>1</v>
      </c>
      <c r="I7" s="988"/>
      <c r="J7" s="990">
        <f>J6/J5</f>
        <v>0.88636363636363635</v>
      </c>
      <c r="L7" s="838" t="s">
        <v>769</v>
      </c>
      <c r="M7" s="593" t="s">
        <v>239</v>
      </c>
      <c r="N7" s="1">
        <f>COUNT(K4:K27)</f>
        <v>0</v>
      </c>
    </row>
    <row r="8" spans="1:14" ht="15.9" thickBot="1" x14ac:dyDescent="0.65">
      <c r="A8" s="16" t="s">
        <v>250</v>
      </c>
      <c r="B8" s="108">
        <v>385535909</v>
      </c>
      <c r="C8" s="136"/>
      <c r="D8" s="767"/>
      <c r="E8" s="767" t="s">
        <v>769</v>
      </c>
      <c r="F8" s="720">
        <f t="shared" si="1"/>
        <v>0</v>
      </c>
      <c r="G8" s="720">
        <f t="shared" si="0"/>
        <v>1</v>
      </c>
      <c r="H8" s="720">
        <f t="shared" si="2"/>
        <v>0</v>
      </c>
      <c r="I8" s="988"/>
      <c r="J8" s="991"/>
      <c r="L8" s="594"/>
      <c r="M8" s="108"/>
      <c r="N8" s="16"/>
    </row>
    <row r="9" spans="1:14" s="1298" customFormat="1" ht="15.9" thickTop="1" x14ac:dyDescent="0.6">
      <c r="A9" s="78" t="s">
        <v>0</v>
      </c>
      <c r="B9" s="1061">
        <f>SUM(B10:B11)</f>
        <v>340562</v>
      </c>
      <c r="C9" s="1299">
        <f>SUM(C11:C11)</f>
        <v>0</v>
      </c>
      <c r="D9" s="1300"/>
      <c r="E9" s="1300"/>
      <c r="F9" s="1301">
        <f t="shared" si="1"/>
        <v>0</v>
      </c>
      <c r="G9" s="1301">
        <f t="shared" si="0"/>
        <v>0</v>
      </c>
      <c r="H9" s="1301">
        <f t="shared" si="2"/>
        <v>0</v>
      </c>
      <c r="I9" s="1302" t="s">
        <v>802</v>
      </c>
      <c r="J9" s="1303">
        <f>SUM(H3:H128)</f>
        <v>16</v>
      </c>
      <c r="L9" s="838"/>
      <c r="M9" s="593"/>
      <c r="N9" s="1"/>
    </row>
    <row r="10" spans="1:14" s="85" customFormat="1" x14ac:dyDescent="0.6">
      <c r="A10" s="85" t="s">
        <v>1202</v>
      </c>
      <c r="B10" s="599">
        <v>340562</v>
      </c>
      <c r="C10" s="130"/>
      <c r="D10" s="1173"/>
      <c r="E10" s="1173"/>
      <c r="F10" s="720"/>
      <c r="G10" s="720"/>
      <c r="H10" s="720"/>
      <c r="I10" s="1199"/>
      <c r="J10" s="1200"/>
      <c r="L10" s="838" t="s">
        <v>769</v>
      </c>
      <c r="M10" s="1594" t="s">
        <v>1739</v>
      </c>
      <c r="N10" s="69"/>
    </row>
    <row r="11" spans="1:14" s="85" customFormat="1" ht="15.9" thickBot="1" x14ac:dyDescent="0.65">
      <c r="A11" s="99" t="s">
        <v>370</v>
      </c>
      <c r="B11" s="598" t="s">
        <v>804</v>
      </c>
      <c r="C11" s="131"/>
      <c r="D11" s="767" t="s">
        <v>769</v>
      </c>
      <c r="E11" s="767" t="s">
        <v>769</v>
      </c>
      <c r="F11" s="720">
        <f t="shared" si="1"/>
        <v>1</v>
      </c>
      <c r="G11" s="720">
        <f t="shared" si="0"/>
        <v>1</v>
      </c>
      <c r="H11" s="720">
        <f t="shared" si="2"/>
        <v>1</v>
      </c>
      <c r="I11" s="1"/>
      <c r="J11" s="1"/>
      <c r="L11" s="838" t="s">
        <v>769</v>
      </c>
      <c r="M11" s="593" t="s">
        <v>42</v>
      </c>
      <c r="N11" s="1">
        <v>73</v>
      </c>
    </row>
    <row r="12" spans="1:14" ht="15.9" thickTop="1" x14ac:dyDescent="0.6">
      <c r="A12" s="78" t="s">
        <v>1</v>
      </c>
      <c r="B12" s="619">
        <f>SUM(B13:B13)</f>
        <v>0</v>
      </c>
      <c r="C12" s="620">
        <f>SUM(C13:C13)</f>
        <v>0</v>
      </c>
      <c r="D12" s="768"/>
      <c r="E12" s="768"/>
      <c r="F12" s="720">
        <f t="shared" si="1"/>
        <v>0</v>
      </c>
      <c r="G12" s="720">
        <f t="shared" si="0"/>
        <v>0</v>
      </c>
      <c r="H12" s="720">
        <f t="shared" si="2"/>
        <v>0</v>
      </c>
      <c r="I12" s="986" t="s">
        <v>863</v>
      </c>
      <c r="J12" s="987">
        <f>SUM(G3:G8)</f>
        <v>5</v>
      </c>
      <c r="L12" s="838"/>
      <c r="M12" s="593" t="s">
        <v>802</v>
      </c>
      <c r="N12" s="1">
        <f>COUNTIF(B10:B118,"ND")</f>
        <v>27</v>
      </c>
    </row>
    <row r="13" spans="1:14" s="85" customFormat="1" ht="15.9" thickBot="1" x14ac:dyDescent="0.65">
      <c r="A13" s="99"/>
      <c r="B13" s="126"/>
      <c r="C13" s="133"/>
      <c r="D13" s="767"/>
      <c r="E13" s="767"/>
      <c r="F13" s="720">
        <f t="shared" si="1"/>
        <v>0</v>
      </c>
      <c r="G13" s="720">
        <f t="shared" si="0"/>
        <v>0</v>
      </c>
      <c r="H13" s="720">
        <f t="shared" si="2"/>
        <v>0</v>
      </c>
      <c r="I13" s="988" t="s">
        <v>864</v>
      </c>
      <c r="J13" s="989">
        <f>SUM(F3:F8)</f>
        <v>4</v>
      </c>
      <c r="L13" s="838"/>
      <c r="M13" s="593" t="s">
        <v>1732</v>
      </c>
      <c r="N13" s="1">
        <f>COUNTIF(L9:L118,"x")</f>
        <v>66</v>
      </c>
    </row>
    <row r="14" spans="1:14" ht="15.9" thickTop="1" x14ac:dyDescent="0.6">
      <c r="A14" s="78" t="s">
        <v>2</v>
      </c>
      <c r="B14" s="746">
        <f>SUM(B16:B16)</f>
        <v>0</v>
      </c>
      <c r="C14" s="747">
        <f>SUM(C16:C16)</f>
        <v>0</v>
      </c>
      <c r="D14" s="768"/>
      <c r="E14" s="768"/>
      <c r="F14" s="720">
        <f t="shared" si="1"/>
        <v>0</v>
      </c>
      <c r="G14" s="720">
        <f t="shared" si="0"/>
        <v>0</v>
      </c>
      <c r="H14" s="720">
        <f t="shared" si="2"/>
        <v>0</v>
      </c>
      <c r="I14" s="988"/>
      <c r="J14" s="990">
        <f>J13/J12</f>
        <v>0.8</v>
      </c>
      <c r="L14" s="838"/>
      <c r="M14" s="593" t="s">
        <v>239</v>
      </c>
    </row>
    <row r="15" spans="1:14" x14ac:dyDescent="0.6">
      <c r="A15" s="1" t="s">
        <v>1203</v>
      </c>
      <c r="B15" s="1308" t="s">
        <v>804</v>
      </c>
      <c r="C15" s="1304"/>
      <c r="D15" s="1305"/>
      <c r="E15" s="1305"/>
      <c r="F15" s="72"/>
      <c r="G15" s="72"/>
      <c r="H15" s="72"/>
      <c r="I15" s="1306"/>
      <c r="J15" s="1307"/>
      <c r="L15" s="838" t="s">
        <v>769</v>
      </c>
      <c r="M15" s="593"/>
    </row>
    <row r="16" spans="1:14" s="85" customFormat="1" ht="15.9" thickBot="1" x14ac:dyDescent="0.65">
      <c r="A16" s="99" t="s">
        <v>292</v>
      </c>
      <c r="B16" s="771" t="s">
        <v>804</v>
      </c>
      <c r="C16" s="135"/>
      <c r="D16" s="767" t="s">
        <v>769</v>
      </c>
      <c r="E16" s="767" t="s">
        <v>769</v>
      </c>
      <c r="F16" s="720">
        <f t="shared" si="1"/>
        <v>1</v>
      </c>
      <c r="G16" s="720">
        <f t="shared" si="0"/>
        <v>1</v>
      </c>
      <c r="H16" s="720">
        <f t="shared" si="2"/>
        <v>1</v>
      </c>
      <c r="I16" s="988"/>
      <c r="J16" s="994"/>
      <c r="L16" s="838" t="s">
        <v>769</v>
      </c>
      <c r="M16" s="593"/>
      <c r="N16" s="1"/>
    </row>
    <row r="17" spans="1:14" ht="15.9" thickTop="1" x14ac:dyDescent="0.6">
      <c r="A17" s="78" t="s">
        <v>3</v>
      </c>
      <c r="B17" s="723">
        <f>SUM(B18:B18)</f>
        <v>37795552</v>
      </c>
      <c r="C17" s="724">
        <f>SUM(C18:C18)</f>
        <v>0</v>
      </c>
      <c r="D17" s="768"/>
      <c r="E17" s="768"/>
      <c r="F17" s="720">
        <f t="shared" si="1"/>
        <v>0</v>
      </c>
      <c r="G17" s="720">
        <f t="shared" si="0"/>
        <v>0</v>
      </c>
      <c r="H17" s="720">
        <f t="shared" si="2"/>
        <v>0</v>
      </c>
      <c r="I17" s="992" t="s">
        <v>802</v>
      </c>
      <c r="J17" s="993">
        <f>SUM(H3:H8)</f>
        <v>1</v>
      </c>
      <c r="L17" s="838"/>
      <c r="M17" s="593"/>
    </row>
    <row r="18" spans="1:14" s="85" customFormat="1" ht="15.9" thickBot="1" x14ac:dyDescent="0.65">
      <c r="A18" s="99" t="s">
        <v>288</v>
      </c>
      <c r="B18" s="108">
        <v>37795552</v>
      </c>
      <c r="C18" s="136"/>
      <c r="D18" s="767"/>
      <c r="E18" s="767" t="s">
        <v>769</v>
      </c>
      <c r="F18" s="720">
        <f t="shared" si="1"/>
        <v>0</v>
      </c>
      <c r="G18" s="720">
        <f t="shared" si="0"/>
        <v>1</v>
      </c>
      <c r="H18" s="720">
        <f t="shared" si="2"/>
        <v>0</v>
      </c>
      <c r="L18" s="838"/>
      <c r="M18" s="593"/>
      <c r="N18" s="1"/>
    </row>
    <row r="19" spans="1:14" ht="15.9" thickTop="1" x14ac:dyDescent="0.6">
      <c r="A19" s="78" t="s">
        <v>4</v>
      </c>
      <c r="B19" s="723">
        <f>SUM(B20:B20)</f>
        <v>0</v>
      </c>
      <c r="C19" s="724">
        <f>SUM(C20:C20)</f>
        <v>0</v>
      </c>
      <c r="D19" s="768"/>
      <c r="E19" s="768"/>
      <c r="F19" s="720">
        <f t="shared" si="1"/>
        <v>0</v>
      </c>
      <c r="G19" s="720">
        <f t="shared" si="0"/>
        <v>0</v>
      </c>
      <c r="H19" s="720">
        <f t="shared" si="2"/>
        <v>0</v>
      </c>
      <c r="I19" s="986" t="s">
        <v>865</v>
      </c>
      <c r="J19" s="987">
        <f>SUM(G9:G118)</f>
        <v>36</v>
      </c>
      <c r="L19" s="838"/>
      <c r="M19" s="593"/>
    </row>
    <row r="20" spans="1:14" s="85" customFormat="1" ht="15.9" thickBot="1" x14ac:dyDescent="0.65">
      <c r="A20" s="99"/>
      <c r="B20" s="124"/>
      <c r="C20" s="131"/>
      <c r="D20" s="767"/>
      <c r="E20" s="767"/>
      <c r="F20" s="720">
        <f t="shared" si="1"/>
        <v>0</v>
      </c>
      <c r="G20" s="720">
        <f t="shared" si="0"/>
        <v>0</v>
      </c>
      <c r="H20" s="720">
        <f t="shared" si="2"/>
        <v>0</v>
      </c>
      <c r="I20" s="988" t="s">
        <v>867</v>
      </c>
      <c r="J20" s="989">
        <f>SUM(F9:F118)</f>
        <v>34</v>
      </c>
      <c r="L20" s="838"/>
      <c r="M20" s="593"/>
      <c r="N20" s="1"/>
    </row>
    <row r="21" spans="1:14" ht="15.9" thickTop="1" x14ac:dyDescent="0.6">
      <c r="A21" s="78" t="s">
        <v>5</v>
      </c>
      <c r="B21" s="723">
        <f>SUM(B22:B26)</f>
        <v>599926464</v>
      </c>
      <c r="C21" s="724">
        <f>SUM(C22:C26)</f>
        <v>0</v>
      </c>
      <c r="D21" s="768"/>
      <c r="E21" s="768"/>
      <c r="F21" s="720">
        <f t="shared" si="1"/>
        <v>0</v>
      </c>
      <c r="G21" s="720">
        <f t="shared" si="0"/>
        <v>0</v>
      </c>
      <c r="H21" s="720">
        <f t="shared" si="2"/>
        <v>0</v>
      </c>
      <c r="I21" s="988"/>
      <c r="J21" s="990">
        <f>J20/J19</f>
        <v>0.94444444444444442</v>
      </c>
      <c r="L21" s="838"/>
      <c r="M21" s="593"/>
    </row>
    <row r="22" spans="1:14" s="85" customFormat="1" x14ac:dyDescent="0.6">
      <c r="A22" s="85" t="s">
        <v>314</v>
      </c>
      <c r="B22" s="123">
        <v>2693600</v>
      </c>
      <c r="C22" s="130"/>
      <c r="D22" s="766" t="s">
        <v>769</v>
      </c>
      <c r="E22" s="766" t="s">
        <v>769</v>
      </c>
      <c r="F22" s="720">
        <f t="shared" si="1"/>
        <v>1</v>
      </c>
      <c r="G22" s="720">
        <f t="shared" si="0"/>
        <v>1</v>
      </c>
      <c r="H22" s="720">
        <f t="shared" si="2"/>
        <v>0</v>
      </c>
      <c r="I22" s="988"/>
      <c r="J22" s="994"/>
      <c r="L22" s="838" t="s">
        <v>769</v>
      </c>
      <c r="M22" s="593"/>
      <c r="N22" s="1"/>
    </row>
    <row r="23" spans="1:14" s="85" customFormat="1" x14ac:dyDescent="0.6">
      <c r="A23" s="85" t="s">
        <v>313</v>
      </c>
      <c r="B23" s="123">
        <v>7828681</v>
      </c>
      <c r="C23" s="130"/>
      <c r="D23" s="766"/>
      <c r="E23" s="766"/>
      <c r="F23" s="720"/>
      <c r="G23" s="720"/>
      <c r="H23" s="720"/>
      <c r="I23" s="988"/>
      <c r="J23" s="994"/>
      <c r="L23" s="838" t="s">
        <v>769</v>
      </c>
      <c r="M23" s="593"/>
      <c r="N23" s="1"/>
    </row>
    <row r="24" spans="1:14" s="85" customFormat="1" x14ac:dyDescent="0.6">
      <c r="A24" s="85" t="s">
        <v>1204</v>
      </c>
      <c r="B24" s="123">
        <v>588646968</v>
      </c>
      <c r="C24" s="130"/>
      <c r="D24" s="766"/>
      <c r="E24" s="766"/>
      <c r="F24" s="720"/>
      <c r="G24" s="720"/>
      <c r="H24" s="720"/>
      <c r="I24" s="988"/>
      <c r="J24" s="994"/>
      <c r="L24" s="838"/>
      <c r="M24" s="593"/>
      <c r="N24" s="1"/>
    </row>
    <row r="25" spans="1:14" s="85" customFormat="1" x14ac:dyDescent="0.6">
      <c r="A25" s="85" t="s">
        <v>315</v>
      </c>
      <c r="B25" s="123">
        <v>553963</v>
      </c>
      <c r="C25" s="130"/>
      <c r="D25" s="766" t="s">
        <v>769</v>
      </c>
      <c r="E25" s="766" t="s">
        <v>769</v>
      </c>
      <c r="F25" s="720">
        <f t="shared" si="1"/>
        <v>1</v>
      </c>
      <c r="G25" s="720">
        <f t="shared" si="0"/>
        <v>1</v>
      </c>
      <c r="H25" s="720">
        <f t="shared" si="2"/>
        <v>0</v>
      </c>
      <c r="I25" s="992" t="s">
        <v>802</v>
      </c>
      <c r="J25" s="993">
        <f>SUM(H9:H118)</f>
        <v>12</v>
      </c>
      <c r="L25" s="838" t="s">
        <v>769</v>
      </c>
      <c r="M25" s="593"/>
      <c r="N25" s="1"/>
    </row>
    <row r="26" spans="1:14" s="85" customFormat="1" ht="15.9" thickBot="1" x14ac:dyDescent="0.65">
      <c r="A26" s="99" t="s">
        <v>316</v>
      </c>
      <c r="B26" s="124">
        <v>203252</v>
      </c>
      <c r="C26" s="136"/>
      <c r="D26" s="767" t="s">
        <v>769</v>
      </c>
      <c r="E26" s="767" t="s">
        <v>769</v>
      </c>
      <c r="F26" s="720">
        <f t="shared" si="1"/>
        <v>1</v>
      </c>
      <c r="G26" s="720">
        <f t="shared" si="0"/>
        <v>1</v>
      </c>
      <c r="H26" s="720">
        <f t="shared" si="2"/>
        <v>0</v>
      </c>
      <c r="L26" s="838" t="s">
        <v>769</v>
      </c>
      <c r="M26" s="593"/>
      <c r="N26" s="1"/>
    </row>
    <row r="27" spans="1:14" s="596" customFormat="1" ht="15.9" thickTop="1" x14ac:dyDescent="0.6">
      <c r="A27" s="1060" t="s">
        <v>6</v>
      </c>
      <c r="B27" s="723">
        <f>SUM(B28:B29)</f>
        <v>27880000</v>
      </c>
      <c r="C27" s="724">
        <f>SUM(C28:C29)</f>
        <v>0</v>
      </c>
      <c r="D27" s="768"/>
      <c r="E27" s="768"/>
      <c r="F27" s="720">
        <f t="shared" si="1"/>
        <v>0</v>
      </c>
      <c r="G27" s="720">
        <f t="shared" si="0"/>
        <v>0</v>
      </c>
      <c r="H27" s="720">
        <f t="shared" si="2"/>
        <v>0</v>
      </c>
      <c r="I27" s="986" t="s">
        <v>869</v>
      </c>
      <c r="J27" s="987">
        <f>SUM(G119:G128)</f>
        <v>3</v>
      </c>
      <c r="L27" s="838"/>
      <c r="M27" s="593"/>
      <c r="N27" s="1"/>
    </row>
    <row r="28" spans="1:14" s="123" customFormat="1" x14ac:dyDescent="0.6">
      <c r="A28" s="599" t="s">
        <v>732</v>
      </c>
      <c r="B28" s="599">
        <v>25620000</v>
      </c>
      <c r="C28" s="130"/>
      <c r="D28" s="1173"/>
      <c r="E28" s="1173"/>
      <c r="F28" s="720"/>
      <c r="G28" s="720"/>
      <c r="H28" s="720"/>
      <c r="I28" s="988"/>
      <c r="J28" s="989"/>
      <c r="L28" s="686" t="s">
        <v>769</v>
      </c>
      <c r="M28" s="595"/>
      <c r="N28" s="596"/>
    </row>
    <row r="29" spans="1:14" s="85" customFormat="1" ht="15.9" thickBot="1" x14ac:dyDescent="0.65">
      <c r="A29" s="99" t="s">
        <v>719</v>
      </c>
      <c r="B29" s="124">
        <v>2260000</v>
      </c>
      <c r="C29" s="136"/>
      <c r="D29" s="767"/>
      <c r="E29" s="767" t="s">
        <v>769</v>
      </c>
      <c r="F29" s="720">
        <f t="shared" si="1"/>
        <v>0</v>
      </c>
      <c r="G29" s="720">
        <f t="shared" si="0"/>
        <v>1</v>
      </c>
      <c r="H29" s="720">
        <f t="shared" si="2"/>
        <v>0</v>
      </c>
      <c r="I29" s="988" t="s">
        <v>870</v>
      </c>
      <c r="J29" s="989">
        <f>SUM(F119:F128)</f>
        <v>1</v>
      </c>
      <c r="L29" s="686" t="s">
        <v>769</v>
      </c>
      <c r="M29" s="599"/>
      <c r="N29" s="596"/>
    </row>
    <row r="30" spans="1:14" ht="15.9" thickTop="1" x14ac:dyDescent="0.6">
      <c r="A30" s="78" t="s">
        <v>7</v>
      </c>
      <c r="B30" s="723">
        <f>SUM(B31:B38)</f>
        <v>176297118</v>
      </c>
      <c r="C30" s="724">
        <f>SUM(C31:C38)</f>
        <v>0</v>
      </c>
      <c r="D30" s="768" t="s">
        <v>769</v>
      </c>
      <c r="E30" s="768"/>
      <c r="F30" s="720">
        <f t="shared" si="1"/>
        <v>1</v>
      </c>
      <c r="G30" s="720">
        <f t="shared" si="0"/>
        <v>0</v>
      </c>
      <c r="H30" s="720">
        <f t="shared" si="2"/>
        <v>0</v>
      </c>
      <c r="I30" s="988"/>
      <c r="J30" s="990">
        <f>J29/J27</f>
        <v>0.33333333333333331</v>
      </c>
      <c r="L30" s="686"/>
      <c r="M30" s="595"/>
      <c r="N30" s="596"/>
    </row>
    <row r="31" spans="1:14" s="85" customFormat="1" x14ac:dyDescent="0.6">
      <c r="A31" s="85" t="s">
        <v>991</v>
      </c>
      <c r="B31" s="123">
        <v>4037041</v>
      </c>
      <c r="C31" s="130"/>
      <c r="D31" s="766" t="s">
        <v>769</v>
      </c>
      <c r="E31" s="766" t="s">
        <v>769</v>
      </c>
      <c r="F31" s="720">
        <f t="shared" si="1"/>
        <v>1</v>
      </c>
      <c r="G31" s="720">
        <f t="shared" si="0"/>
        <v>1</v>
      </c>
      <c r="H31" s="720">
        <f t="shared" si="2"/>
        <v>0</v>
      </c>
      <c r="I31" s="988"/>
      <c r="J31" s="994"/>
      <c r="L31" s="686" t="s">
        <v>769</v>
      </c>
      <c r="M31" s="599"/>
      <c r="N31" s="596"/>
    </row>
    <row r="32" spans="1:14" s="85" customFormat="1" x14ac:dyDescent="0.6">
      <c r="A32" s="85" t="s">
        <v>992</v>
      </c>
      <c r="B32" s="123">
        <v>2569026</v>
      </c>
      <c r="C32" s="130"/>
      <c r="D32" s="766"/>
      <c r="E32" s="766"/>
      <c r="F32" s="720"/>
      <c r="G32" s="720"/>
      <c r="H32" s="720"/>
      <c r="I32" s="988"/>
      <c r="J32" s="994"/>
      <c r="L32" s="686" t="s">
        <v>769</v>
      </c>
      <c r="M32" s="595"/>
      <c r="N32" s="596"/>
    </row>
    <row r="33" spans="1:14" s="85" customFormat="1" x14ac:dyDescent="0.6">
      <c r="A33" s="85" t="s">
        <v>910</v>
      </c>
      <c r="B33" s="123">
        <v>144465797</v>
      </c>
      <c r="C33" s="130"/>
      <c r="D33" s="766"/>
      <c r="E33" s="766"/>
      <c r="F33" s="720"/>
      <c r="G33" s="720"/>
      <c r="H33" s="720"/>
      <c r="I33" s="988"/>
      <c r="J33" s="994"/>
      <c r="L33" s="686" t="s">
        <v>769</v>
      </c>
      <c r="M33" s="595"/>
      <c r="N33" s="596"/>
    </row>
    <row r="34" spans="1:14" s="85" customFormat="1" x14ac:dyDescent="0.6">
      <c r="A34" s="85" t="s">
        <v>304</v>
      </c>
      <c r="B34" s="123">
        <v>16571842</v>
      </c>
      <c r="C34" s="130"/>
      <c r="D34" s="766"/>
      <c r="E34" s="766"/>
      <c r="F34" s="720"/>
      <c r="G34" s="720"/>
      <c r="H34" s="720"/>
      <c r="I34" s="988"/>
      <c r="J34" s="994"/>
      <c r="L34" s="686" t="s">
        <v>769</v>
      </c>
      <c r="M34" s="599"/>
      <c r="N34" s="596"/>
    </row>
    <row r="35" spans="1:14" s="85" customFormat="1" x14ac:dyDescent="0.6">
      <c r="A35" s="85" t="s">
        <v>305</v>
      </c>
      <c r="B35" s="772" t="s">
        <v>804</v>
      </c>
      <c r="C35" s="130"/>
      <c r="D35" s="766"/>
      <c r="E35" s="766"/>
      <c r="F35" s="720"/>
      <c r="G35" s="720"/>
      <c r="H35" s="720"/>
      <c r="I35" s="988"/>
      <c r="J35" s="994"/>
      <c r="L35" s="686" t="s">
        <v>769</v>
      </c>
      <c r="M35" s="595"/>
      <c r="N35" s="596"/>
    </row>
    <row r="36" spans="1:14" s="85" customFormat="1" x14ac:dyDescent="0.6">
      <c r="A36" s="85" t="s">
        <v>307</v>
      </c>
      <c r="B36" s="123">
        <v>11100</v>
      </c>
      <c r="C36" s="130"/>
      <c r="D36" s="766" t="s">
        <v>769</v>
      </c>
      <c r="E36" s="766" t="s">
        <v>769</v>
      </c>
      <c r="F36" s="720">
        <f t="shared" si="1"/>
        <v>1</v>
      </c>
      <c r="G36" s="720">
        <f t="shared" si="0"/>
        <v>1</v>
      </c>
      <c r="H36" s="720">
        <f t="shared" si="2"/>
        <v>0</v>
      </c>
      <c r="I36" s="992" t="s">
        <v>802</v>
      </c>
      <c r="J36" s="993">
        <f>SUM(H120:H128)</f>
        <v>3</v>
      </c>
      <c r="L36" s="686" t="s">
        <v>769</v>
      </c>
      <c r="M36" s="599"/>
      <c r="N36" s="596"/>
    </row>
    <row r="37" spans="1:14" s="85" customFormat="1" x14ac:dyDescent="0.6">
      <c r="A37" s="85" t="s">
        <v>999</v>
      </c>
      <c r="B37" s="123">
        <v>1338661</v>
      </c>
      <c r="C37" s="130"/>
      <c r="D37" s="766" t="s">
        <v>769</v>
      </c>
      <c r="E37" s="766" t="s">
        <v>769</v>
      </c>
      <c r="F37" s="720">
        <f t="shared" si="1"/>
        <v>1</v>
      </c>
      <c r="G37" s="720">
        <f t="shared" si="0"/>
        <v>1</v>
      </c>
      <c r="H37" s="720">
        <f t="shared" si="2"/>
        <v>0</v>
      </c>
      <c r="L37" s="686" t="s">
        <v>769</v>
      </c>
      <c r="M37" s="595"/>
      <c r="N37" s="596"/>
    </row>
    <row r="38" spans="1:14" s="85" customFormat="1" ht="15.9" thickBot="1" x14ac:dyDescent="0.65">
      <c r="A38" s="99" t="s">
        <v>311</v>
      </c>
      <c r="B38" s="124">
        <v>7303651</v>
      </c>
      <c r="C38" s="136"/>
      <c r="D38" s="767" t="s">
        <v>769</v>
      </c>
      <c r="E38" s="767" t="s">
        <v>769</v>
      </c>
      <c r="F38" s="720">
        <f t="shared" si="1"/>
        <v>1</v>
      </c>
      <c r="G38" s="720">
        <f t="shared" si="0"/>
        <v>1</v>
      </c>
      <c r="H38" s="720">
        <f t="shared" si="2"/>
        <v>0</v>
      </c>
      <c r="L38" s="686" t="s">
        <v>769</v>
      </c>
      <c r="M38" s="599"/>
      <c r="N38" s="596"/>
    </row>
    <row r="39" spans="1:14" s="596" customFormat="1" ht="15.9" thickTop="1" x14ac:dyDescent="0.6">
      <c r="A39" s="1060" t="s">
        <v>8</v>
      </c>
      <c r="B39" s="723">
        <f>SUM(B40:B41)</f>
        <v>5059835</v>
      </c>
      <c r="C39" s="724"/>
      <c r="D39" s="768"/>
      <c r="E39" s="768"/>
      <c r="F39" s="720">
        <f t="shared" si="1"/>
        <v>0</v>
      </c>
      <c r="G39" s="720">
        <f t="shared" si="0"/>
        <v>0</v>
      </c>
      <c r="H39" s="720">
        <f t="shared" si="2"/>
        <v>0</v>
      </c>
      <c r="I39" s="85"/>
      <c r="J39" s="85"/>
      <c r="L39" s="686"/>
      <c r="M39" s="595"/>
    </row>
    <row r="40" spans="1:14" s="123" customFormat="1" x14ac:dyDescent="0.6">
      <c r="A40" s="599" t="s">
        <v>1205</v>
      </c>
      <c r="B40" s="599">
        <v>35028</v>
      </c>
      <c r="C40" s="130"/>
      <c r="D40" s="1173"/>
      <c r="E40" s="1173"/>
      <c r="F40" s="720"/>
      <c r="G40" s="720"/>
      <c r="H40" s="720"/>
      <c r="I40" s="85"/>
      <c r="J40" s="85"/>
      <c r="L40" s="686" t="s">
        <v>769</v>
      </c>
      <c r="M40" s="595"/>
      <c r="N40" s="596"/>
    </row>
    <row r="41" spans="1:14" s="85" customFormat="1" ht="15.9" thickBot="1" x14ac:dyDescent="0.65">
      <c r="A41" s="99" t="s">
        <v>1002</v>
      </c>
      <c r="B41" s="124">
        <v>5024807</v>
      </c>
      <c r="C41" s="136"/>
      <c r="D41" s="1174"/>
      <c r="E41" s="1174"/>
      <c r="F41" s="720">
        <f t="shared" si="1"/>
        <v>0</v>
      </c>
      <c r="G41" s="720">
        <f t="shared" si="0"/>
        <v>0</v>
      </c>
      <c r="H41" s="720">
        <f t="shared" si="2"/>
        <v>0</v>
      </c>
      <c r="L41" s="686" t="s">
        <v>769</v>
      </c>
      <c r="M41" s="599"/>
      <c r="N41" s="596"/>
    </row>
    <row r="42" spans="1:14" s="192" customFormat="1" ht="15.9" thickTop="1" x14ac:dyDescent="0.6">
      <c r="A42" s="78" t="s">
        <v>9</v>
      </c>
      <c r="B42" s="723">
        <f>SUM(B43:B48)</f>
        <v>290185331</v>
      </c>
      <c r="C42" s="724">
        <f>SUM(C48:C48)</f>
        <v>0</v>
      </c>
      <c r="D42" s="768"/>
      <c r="E42" s="768"/>
      <c r="F42" s="720">
        <f t="shared" si="1"/>
        <v>0</v>
      </c>
      <c r="G42" s="720">
        <f t="shared" si="0"/>
        <v>0</v>
      </c>
      <c r="H42" s="720">
        <f t="shared" si="2"/>
        <v>0</v>
      </c>
      <c r="I42" s="85"/>
      <c r="J42" s="85"/>
      <c r="L42" s="686"/>
      <c r="M42" s="595"/>
      <c r="N42" s="596"/>
    </row>
    <row r="43" spans="1:14" s="85" customFormat="1" x14ac:dyDescent="0.6">
      <c r="A43" s="85" t="s">
        <v>318</v>
      </c>
      <c r="B43" s="599">
        <v>181378347</v>
      </c>
      <c r="C43" s="130"/>
      <c r="D43" s="1173"/>
      <c r="E43" s="1173"/>
      <c r="F43" s="720"/>
      <c r="G43" s="720"/>
      <c r="H43" s="720"/>
      <c r="L43" s="686" t="s">
        <v>769</v>
      </c>
      <c r="M43" s="595"/>
      <c r="N43" s="596"/>
    </row>
    <row r="44" spans="1:14" s="85" customFormat="1" x14ac:dyDescent="0.6">
      <c r="A44" s="85" t="s">
        <v>1009</v>
      </c>
      <c r="B44" s="599">
        <v>74200000</v>
      </c>
      <c r="C44" s="130"/>
      <c r="D44" s="1173"/>
      <c r="E44" s="1173"/>
      <c r="F44" s="720"/>
      <c r="G44" s="720"/>
      <c r="H44" s="720"/>
      <c r="L44" s="686" t="s">
        <v>769</v>
      </c>
      <c r="M44" s="599"/>
      <c r="N44" s="596"/>
    </row>
    <row r="45" spans="1:14" s="85" customFormat="1" x14ac:dyDescent="0.6">
      <c r="A45" s="85" t="s">
        <v>1206</v>
      </c>
      <c r="B45" s="686" t="s">
        <v>804</v>
      </c>
      <c r="C45" s="130"/>
      <c r="D45" s="1173"/>
      <c r="E45" s="1173"/>
      <c r="F45" s="720"/>
      <c r="G45" s="720"/>
      <c r="H45" s="720"/>
      <c r="L45" s="686" t="s">
        <v>769</v>
      </c>
      <c r="M45" s="595"/>
      <c r="N45" s="596"/>
    </row>
    <row r="46" spans="1:14" s="85" customFormat="1" x14ac:dyDescent="0.6">
      <c r="A46" s="85" t="s">
        <v>914</v>
      </c>
      <c r="B46" s="686" t="s">
        <v>804</v>
      </c>
      <c r="C46" s="130"/>
      <c r="D46" s="1173"/>
      <c r="E46" s="1173"/>
      <c r="F46" s="720"/>
      <c r="G46" s="720"/>
      <c r="H46" s="720"/>
      <c r="L46" s="686" t="s">
        <v>769</v>
      </c>
      <c r="M46" s="599"/>
      <c r="N46" s="123"/>
    </row>
    <row r="47" spans="1:14" s="85" customFormat="1" x14ac:dyDescent="0.6">
      <c r="A47" s="85" t="s">
        <v>1012</v>
      </c>
      <c r="B47" s="660">
        <v>17202689</v>
      </c>
      <c r="C47" s="130"/>
      <c r="D47" s="1173"/>
      <c r="E47" s="1173"/>
      <c r="F47" s="720"/>
      <c r="G47" s="720"/>
      <c r="H47" s="720"/>
      <c r="L47" s="686"/>
      <c r="M47" s="599"/>
      <c r="N47" s="123"/>
    </row>
    <row r="48" spans="1:14" s="85" customFormat="1" ht="15.9" thickBot="1" x14ac:dyDescent="0.65">
      <c r="A48" s="99" t="s">
        <v>1013</v>
      </c>
      <c r="B48" s="124">
        <v>17404295</v>
      </c>
      <c r="C48" s="136"/>
      <c r="D48" s="1174"/>
      <c r="E48" s="1174"/>
      <c r="F48" s="720"/>
      <c r="G48" s="720"/>
      <c r="H48" s="720"/>
      <c r="L48" s="686"/>
      <c r="M48" s="599"/>
      <c r="N48" s="123"/>
    </row>
    <row r="49" spans="1:14" ht="15.9" thickTop="1" x14ac:dyDescent="0.6">
      <c r="A49" s="78" t="s">
        <v>10</v>
      </c>
      <c r="B49" s="723">
        <f>SUM(B50:B50)</f>
        <v>0</v>
      </c>
      <c r="C49" s="724">
        <f>SUM(C50:C50)</f>
        <v>0</v>
      </c>
      <c r="D49" s="768"/>
      <c r="E49" s="768"/>
      <c r="F49" s="720">
        <f t="shared" si="1"/>
        <v>0</v>
      </c>
      <c r="G49" s="720">
        <f t="shared" si="0"/>
        <v>0</v>
      </c>
      <c r="H49" s="720">
        <f t="shared" si="2"/>
        <v>0</v>
      </c>
      <c r="L49" s="686"/>
      <c r="M49" s="599"/>
      <c r="N49" s="123"/>
    </row>
    <row r="50" spans="1:14" s="85" customFormat="1" ht="15.9" thickBot="1" x14ac:dyDescent="0.65">
      <c r="A50" s="99"/>
      <c r="B50" s="124"/>
      <c r="C50" s="131"/>
      <c r="D50" s="767"/>
      <c r="E50" s="767"/>
      <c r="F50" s="720">
        <f t="shared" si="1"/>
        <v>0</v>
      </c>
      <c r="G50" s="720">
        <f t="shared" si="0"/>
        <v>0</v>
      </c>
      <c r="H50" s="720">
        <f t="shared" si="2"/>
        <v>0</v>
      </c>
      <c r="L50" s="686"/>
      <c r="M50" s="599"/>
      <c r="N50" s="123"/>
    </row>
    <row r="51" spans="1:14" s="631" customFormat="1" ht="15.9" thickTop="1" x14ac:dyDescent="0.6">
      <c r="A51" s="1080" t="s">
        <v>11</v>
      </c>
      <c r="B51" s="749">
        <f>SUM(B52:B54)</f>
        <v>360792596</v>
      </c>
      <c r="C51" s="750">
        <f>SUM(C52:C54)</f>
        <v>0</v>
      </c>
      <c r="D51" s="768"/>
      <c r="E51" s="768"/>
      <c r="F51" s="720">
        <f t="shared" si="1"/>
        <v>0</v>
      </c>
      <c r="G51" s="720">
        <f t="shared" si="0"/>
        <v>0</v>
      </c>
      <c r="H51" s="720">
        <f t="shared" si="2"/>
        <v>0</v>
      </c>
      <c r="I51" s="85"/>
      <c r="J51" s="85"/>
      <c r="L51" s="686"/>
      <c r="M51" s="599"/>
      <c r="N51" s="123"/>
    </row>
    <row r="52" spans="1:14" s="632" customFormat="1" x14ac:dyDescent="0.6">
      <c r="A52" s="632" t="s">
        <v>317</v>
      </c>
      <c r="B52" s="632">
        <v>142139480</v>
      </c>
      <c r="C52" s="633"/>
      <c r="D52" s="996" t="s">
        <v>769</v>
      </c>
      <c r="E52" s="996" t="s">
        <v>769</v>
      </c>
      <c r="F52" s="720">
        <f t="shared" si="1"/>
        <v>1</v>
      </c>
      <c r="G52" s="720">
        <f t="shared" si="0"/>
        <v>1</v>
      </c>
      <c r="H52" s="720">
        <f t="shared" si="2"/>
        <v>0</v>
      </c>
      <c r="I52" s="85"/>
      <c r="J52" s="85"/>
      <c r="L52" s="686" t="s">
        <v>769</v>
      </c>
      <c r="M52" s="599"/>
      <c r="N52" s="123"/>
    </row>
    <row r="53" spans="1:14" s="632" customFormat="1" x14ac:dyDescent="0.6">
      <c r="A53" s="632" t="s">
        <v>1208</v>
      </c>
      <c r="B53" s="632">
        <v>218653116</v>
      </c>
      <c r="C53" s="633"/>
      <c r="D53" s="766"/>
      <c r="E53" s="766"/>
      <c r="F53" s="720"/>
      <c r="G53" s="720"/>
      <c r="H53" s="720"/>
      <c r="I53" s="85"/>
      <c r="J53" s="85"/>
      <c r="L53" s="686"/>
      <c r="M53" s="595"/>
      <c r="N53" s="123"/>
    </row>
    <row r="54" spans="1:14" s="632" customFormat="1" ht="15.9" thickBot="1" x14ac:dyDescent="0.65">
      <c r="A54" s="634" t="s">
        <v>1207</v>
      </c>
      <c r="B54" s="1309" t="s">
        <v>804</v>
      </c>
      <c r="C54" s="635"/>
      <c r="D54" s="767"/>
      <c r="E54" s="767" t="s">
        <v>769</v>
      </c>
      <c r="F54" s="720">
        <f t="shared" si="1"/>
        <v>0</v>
      </c>
      <c r="G54" s="720">
        <f t="shared" si="0"/>
        <v>1</v>
      </c>
      <c r="H54" s="720">
        <f t="shared" si="2"/>
        <v>1</v>
      </c>
      <c r="I54" s="85"/>
      <c r="J54" s="85"/>
      <c r="L54" s="686"/>
      <c r="M54" s="595"/>
      <c r="N54" s="123"/>
    </row>
    <row r="55" spans="1:14" s="596" customFormat="1" ht="15.9" thickTop="1" x14ac:dyDescent="0.6">
      <c r="A55" s="1060" t="s">
        <v>12</v>
      </c>
      <c r="B55" s="723"/>
      <c r="C55" s="724"/>
      <c r="D55" s="768"/>
      <c r="E55" s="768"/>
      <c r="F55" s="720">
        <f t="shared" si="1"/>
        <v>0</v>
      </c>
      <c r="G55" s="720">
        <f t="shared" si="0"/>
        <v>0</v>
      </c>
      <c r="H55" s="720">
        <f t="shared" si="2"/>
        <v>0</v>
      </c>
      <c r="I55" s="85"/>
      <c r="J55" s="85"/>
      <c r="L55" s="686"/>
      <c r="M55" s="599"/>
      <c r="N55" s="123"/>
    </row>
    <row r="56" spans="1:14" s="85" customFormat="1" ht="15.9" thickBot="1" x14ac:dyDescent="0.65">
      <c r="A56" s="99"/>
      <c r="B56" s="124"/>
      <c r="C56" s="136"/>
      <c r="D56" s="767"/>
      <c r="E56" s="767"/>
      <c r="F56" s="720">
        <f t="shared" si="1"/>
        <v>0</v>
      </c>
      <c r="G56" s="720">
        <f t="shared" si="0"/>
        <v>0</v>
      </c>
      <c r="H56" s="720">
        <f t="shared" si="2"/>
        <v>0</v>
      </c>
      <c r="L56" s="686"/>
      <c r="M56" s="595"/>
      <c r="N56" s="123"/>
    </row>
    <row r="57" spans="1:14" s="596" customFormat="1" ht="15.9" thickTop="1" x14ac:dyDescent="0.6">
      <c r="A57" s="1060" t="s">
        <v>13</v>
      </c>
      <c r="B57" s="723">
        <f>B59</f>
        <v>17220037</v>
      </c>
      <c r="C57" s="724"/>
      <c r="D57" s="768"/>
      <c r="E57" s="768"/>
      <c r="F57" s="720">
        <f t="shared" si="1"/>
        <v>0</v>
      </c>
      <c r="G57" s="720">
        <f t="shared" si="0"/>
        <v>0</v>
      </c>
      <c r="H57" s="720">
        <f t="shared" si="2"/>
        <v>0</v>
      </c>
      <c r="I57" s="85"/>
      <c r="J57" s="85"/>
      <c r="L57" s="686"/>
      <c r="M57" s="599"/>
      <c r="N57" s="123"/>
    </row>
    <row r="58" spans="1:14" s="123" customFormat="1" x14ac:dyDescent="0.6">
      <c r="A58" s="599" t="s">
        <v>1209</v>
      </c>
      <c r="B58" s="686" t="s">
        <v>804</v>
      </c>
      <c r="C58" s="130"/>
      <c r="D58" s="1173"/>
      <c r="E58" s="1173"/>
      <c r="F58" s="720"/>
      <c r="G58" s="720"/>
      <c r="H58" s="720"/>
      <c r="I58" s="85"/>
      <c r="J58" s="85"/>
      <c r="L58" s="686" t="s">
        <v>769</v>
      </c>
      <c r="M58" s="599"/>
    </row>
    <row r="59" spans="1:14" s="85" customFormat="1" ht="15.9" thickBot="1" x14ac:dyDescent="0.65">
      <c r="A59" s="99" t="s">
        <v>721</v>
      </c>
      <c r="B59" s="124">
        <v>17220037</v>
      </c>
      <c r="C59" s="136"/>
      <c r="D59" s="767" t="s">
        <v>769</v>
      </c>
      <c r="E59" s="767" t="s">
        <v>769</v>
      </c>
      <c r="F59" s="720">
        <f t="shared" si="1"/>
        <v>1</v>
      </c>
      <c r="G59" s="720">
        <f t="shared" si="0"/>
        <v>1</v>
      </c>
      <c r="H59" s="720">
        <f t="shared" si="2"/>
        <v>0</v>
      </c>
      <c r="L59" s="686" t="s">
        <v>769</v>
      </c>
      <c r="M59" s="599"/>
      <c r="N59" s="123"/>
    </row>
    <row r="60" spans="1:14" s="596" customFormat="1" ht="15.9" thickTop="1" x14ac:dyDescent="0.6">
      <c r="A60" s="1060" t="s">
        <v>14</v>
      </c>
      <c r="B60" s="723"/>
      <c r="C60" s="724"/>
      <c r="D60" s="768"/>
      <c r="E60" s="768"/>
      <c r="F60" s="720">
        <f t="shared" si="1"/>
        <v>0</v>
      </c>
      <c r="G60" s="720">
        <f t="shared" si="0"/>
        <v>0</v>
      </c>
      <c r="H60" s="720">
        <f t="shared" si="2"/>
        <v>0</v>
      </c>
      <c r="I60" s="85"/>
      <c r="J60" s="85"/>
      <c r="L60" s="686"/>
      <c r="M60" s="599"/>
      <c r="N60" s="123"/>
    </row>
    <row r="61" spans="1:14" s="85" customFormat="1" ht="15.9" thickBot="1" x14ac:dyDescent="0.65">
      <c r="A61" s="99"/>
      <c r="B61" s="124"/>
      <c r="C61" s="136"/>
      <c r="D61" s="767"/>
      <c r="E61" s="767"/>
      <c r="F61" s="720">
        <f t="shared" si="1"/>
        <v>0</v>
      </c>
      <c r="G61" s="720">
        <f t="shared" si="0"/>
        <v>0</v>
      </c>
      <c r="H61" s="720">
        <f t="shared" si="2"/>
        <v>0</v>
      </c>
      <c r="L61" s="686"/>
      <c r="M61" s="595"/>
      <c r="N61" s="123"/>
    </row>
    <row r="62" spans="1:14" s="192" customFormat="1" ht="15.9" thickTop="1" x14ac:dyDescent="0.6">
      <c r="A62" s="78" t="s">
        <v>15</v>
      </c>
      <c r="B62" s="723">
        <f>SUM(B63:B66)</f>
        <v>19618993</v>
      </c>
      <c r="C62" s="724">
        <f>SUM(C63:C66)</f>
        <v>0</v>
      </c>
      <c r="D62" s="768"/>
      <c r="E62" s="768"/>
      <c r="F62" s="720">
        <f t="shared" si="1"/>
        <v>0</v>
      </c>
      <c r="G62" s="720">
        <f t="shared" si="0"/>
        <v>0</v>
      </c>
      <c r="H62" s="720">
        <f t="shared" si="2"/>
        <v>0</v>
      </c>
      <c r="I62" s="85"/>
      <c r="J62" s="85"/>
      <c r="L62" s="686"/>
      <c r="M62" s="599"/>
      <c r="N62" s="123"/>
    </row>
    <row r="63" spans="1:14" s="85" customFormat="1" x14ac:dyDescent="0.6">
      <c r="A63" s="85" t="s">
        <v>338</v>
      </c>
      <c r="B63" s="123">
        <v>13769314</v>
      </c>
      <c r="C63" s="130"/>
      <c r="D63" s="766" t="s">
        <v>769</v>
      </c>
      <c r="E63" s="766" t="s">
        <v>769</v>
      </c>
      <c r="F63" s="720">
        <f t="shared" si="1"/>
        <v>1</v>
      </c>
      <c r="G63" s="720">
        <f t="shared" si="0"/>
        <v>1</v>
      </c>
      <c r="H63" s="720">
        <f t="shared" si="2"/>
        <v>0</v>
      </c>
      <c r="L63" s="686" t="s">
        <v>769</v>
      </c>
      <c r="M63" s="595"/>
      <c r="N63" s="123"/>
    </row>
    <row r="64" spans="1:14" s="85" customFormat="1" x14ac:dyDescent="0.6">
      <c r="A64" s="85" t="s">
        <v>1210</v>
      </c>
      <c r="B64" s="123">
        <v>5849679</v>
      </c>
      <c r="C64" s="130"/>
      <c r="D64" s="766"/>
      <c r="E64" s="766"/>
      <c r="F64" s="720"/>
      <c r="G64" s="720"/>
      <c r="H64" s="720"/>
      <c r="L64" s="686" t="s">
        <v>769</v>
      </c>
      <c r="M64" s="599"/>
      <c r="N64" s="123"/>
    </row>
    <row r="65" spans="1:14" s="85" customFormat="1" x14ac:dyDescent="0.6">
      <c r="A65" s="85" t="s">
        <v>340</v>
      </c>
      <c r="B65" s="772" t="s">
        <v>804</v>
      </c>
      <c r="C65" s="130"/>
      <c r="D65" s="766" t="s">
        <v>769</v>
      </c>
      <c r="E65" s="766" t="s">
        <v>769</v>
      </c>
      <c r="F65" s="720">
        <f t="shared" si="1"/>
        <v>1</v>
      </c>
      <c r="G65" s="720">
        <f t="shared" si="0"/>
        <v>1</v>
      </c>
      <c r="H65" s="720">
        <f t="shared" si="2"/>
        <v>1</v>
      </c>
      <c r="L65" s="686" t="s">
        <v>769</v>
      </c>
      <c r="M65" s="595"/>
      <c r="N65" s="123"/>
    </row>
    <row r="66" spans="1:14" s="85" customFormat="1" ht="15.9" thickBot="1" x14ac:dyDescent="0.65">
      <c r="A66" s="99" t="s">
        <v>1211</v>
      </c>
      <c r="B66" s="598" t="s">
        <v>804</v>
      </c>
      <c r="C66" s="131"/>
      <c r="D66" s="767" t="s">
        <v>769</v>
      </c>
      <c r="E66" s="767" t="s">
        <v>769</v>
      </c>
      <c r="F66" s="720">
        <f t="shared" si="1"/>
        <v>1</v>
      </c>
      <c r="G66" s="720">
        <f t="shared" si="0"/>
        <v>1</v>
      </c>
      <c r="H66" s="720">
        <f t="shared" si="2"/>
        <v>1</v>
      </c>
      <c r="L66" s="686" t="s">
        <v>769</v>
      </c>
      <c r="M66" s="599"/>
      <c r="N66" s="123"/>
    </row>
    <row r="67" spans="1:14" s="192" customFormat="1" ht="15.9" thickTop="1" x14ac:dyDescent="0.6">
      <c r="A67" s="78" t="s">
        <v>16</v>
      </c>
      <c r="B67" s="723">
        <f>SUM(B68:B68)</f>
        <v>319517</v>
      </c>
      <c r="C67" s="724">
        <f>SUM(C68:C68)</f>
        <v>0</v>
      </c>
      <c r="D67" s="768"/>
      <c r="E67" s="768"/>
      <c r="F67" s="720">
        <f t="shared" si="1"/>
        <v>0</v>
      </c>
      <c r="G67" s="720">
        <f t="shared" si="0"/>
        <v>0</v>
      </c>
      <c r="H67" s="720">
        <f t="shared" si="2"/>
        <v>0</v>
      </c>
      <c r="I67" s="85"/>
      <c r="J67" s="85"/>
      <c r="L67" s="686"/>
      <c r="M67" s="595"/>
      <c r="N67" s="123"/>
    </row>
    <row r="68" spans="1:14" s="85" customFormat="1" ht="15.9" thickBot="1" x14ac:dyDescent="0.65">
      <c r="A68" s="99" t="s">
        <v>342</v>
      </c>
      <c r="B68" s="124">
        <v>319517</v>
      </c>
      <c r="C68" s="136"/>
      <c r="D68" s="767" t="s">
        <v>769</v>
      </c>
      <c r="E68" s="767" t="s">
        <v>769</v>
      </c>
      <c r="F68" s="720">
        <f t="shared" si="1"/>
        <v>1</v>
      </c>
      <c r="G68" s="720">
        <f t="shared" si="0"/>
        <v>1</v>
      </c>
      <c r="H68" s="720">
        <f t="shared" si="2"/>
        <v>0</v>
      </c>
      <c r="L68" s="686" t="s">
        <v>769</v>
      </c>
      <c r="M68" s="599"/>
      <c r="N68" s="123"/>
    </row>
    <row r="69" spans="1:14" s="596" customFormat="1" ht="15.9" thickTop="1" x14ac:dyDescent="0.6">
      <c r="A69" s="1060" t="s">
        <v>17</v>
      </c>
      <c r="B69" s="723"/>
      <c r="C69" s="724"/>
      <c r="D69" s="768"/>
      <c r="E69" s="768"/>
      <c r="F69" s="720">
        <f t="shared" si="1"/>
        <v>0</v>
      </c>
      <c r="G69" s="720">
        <f t="shared" si="0"/>
        <v>0</v>
      </c>
      <c r="H69" s="720">
        <f t="shared" si="2"/>
        <v>0</v>
      </c>
      <c r="I69" s="85"/>
      <c r="J69" s="85"/>
      <c r="L69" s="686"/>
      <c r="M69" s="595"/>
      <c r="N69" s="123"/>
    </row>
    <row r="70" spans="1:14" s="85" customFormat="1" ht="15.9" thickBot="1" x14ac:dyDescent="0.65">
      <c r="A70" s="99"/>
      <c r="B70" s="124"/>
      <c r="C70" s="136"/>
      <c r="D70" s="767"/>
      <c r="E70" s="767"/>
      <c r="F70" s="720">
        <f t="shared" si="1"/>
        <v>0</v>
      </c>
      <c r="G70" s="720">
        <f t="shared" si="0"/>
        <v>0</v>
      </c>
      <c r="H70" s="720">
        <f t="shared" si="2"/>
        <v>0</v>
      </c>
      <c r="L70" s="686"/>
      <c r="M70" s="599"/>
      <c r="N70" s="123"/>
    </row>
    <row r="71" spans="1:14" s="192" customFormat="1" ht="15.9" thickTop="1" x14ac:dyDescent="0.6">
      <c r="A71" s="78" t="s">
        <v>18</v>
      </c>
      <c r="B71" s="723">
        <f>SUM(B72:B77)</f>
        <v>23334572</v>
      </c>
      <c r="C71" s="724">
        <f>SUM(C72:C77)</f>
        <v>0</v>
      </c>
      <c r="D71" s="768"/>
      <c r="E71" s="768"/>
      <c r="F71" s="720">
        <f t="shared" si="1"/>
        <v>0</v>
      </c>
      <c r="G71" s="720">
        <f t="shared" si="0"/>
        <v>0</v>
      </c>
      <c r="H71" s="720">
        <f t="shared" si="2"/>
        <v>0</v>
      </c>
      <c r="I71" s="85"/>
      <c r="J71" s="85"/>
      <c r="L71" s="686"/>
      <c r="M71" s="595"/>
      <c r="N71" s="123"/>
    </row>
    <row r="72" spans="1:14" s="85" customFormat="1" x14ac:dyDescent="0.6">
      <c r="A72" s="85" t="s">
        <v>299</v>
      </c>
      <c r="B72" s="123">
        <v>21025641</v>
      </c>
      <c r="C72" s="130"/>
      <c r="D72" s="766" t="s">
        <v>769</v>
      </c>
      <c r="E72" s="766" t="s">
        <v>769</v>
      </c>
      <c r="F72" s="720">
        <f t="shared" si="1"/>
        <v>1</v>
      </c>
      <c r="G72" s="720">
        <f t="shared" si="0"/>
        <v>1</v>
      </c>
      <c r="H72" s="720">
        <f t="shared" si="2"/>
        <v>0</v>
      </c>
      <c r="L72" s="686" t="s">
        <v>769</v>
      </c>
      <c r="M72" s="599"/>
      <c r="N72" s="123"/>
    </row>
    <row r="73" spans="1:14" s="85" customFormat="1" x14ac:dyDescent="0.6">
      <c r="A73" s="85" t="s">
        <v>300</v>
      </c>
      <c r="B73" s="123">
        <v>27675</v>
      </c>
      <c r="C73" s="130"/>
      <c r="D73" s="766" t="s">
        <v>769</v>
      </c>
      <c r="E73" s="766" t="s">
        <v>769</v>
      </c>
      <c r="F73" s="720">
        <f t="shared" si="1"/>
        <v>1</v>
      </c>
      <c r="G73" s="720">
        <f t="shared" si="0"/>
        <v>1</v>
      </c>
      <c r="H73" s="720">
        <f t="shared" si="2"/>
        <v>0</v>
      </c>
      <c r="L73" s="686" t="s">
        <v>769</v>
      </c>
      <c r="M73" s="595"/>
      <c r="N73" s="123"/>
    </row>
    <row r="74" spans="1:14" s="85" customFormat="1" x14ac:dyDescent="0.6">
      <c r="A74" s="85" t="s">
        <v>1212</v>
      </c>
      <c r="B74" s="772" t="s">
        <v>804</v>
      </c>
      <c r="C74" s="130"/>
      <c r="D74" s="766"/>
      <c r="E74" s="766"/>
      <c r="F74" s="720"/>
      <c r="G74" s="720"/>
      <c r="H74" s="720"/>
      <c r="L74" s="686" t="s">
        <v>769</v>
      </c>
      <c r="M74" s="599"/>
      <c r="N74" s="123"/>
    </row>
    <row r="75" spans="1:14" s="85" customFormat="1" x14ac:dyDescent="0.6">
      <c r="A75" s="85" t="s">
        <v>1029</v>
      </c>
      <c r="B75" s="772" t="s">
        <v>804</v>
      </c>
      <c r="C75" s="130"/>
      <c r="D75" s="766"/>
      <c r="E75" s="766"/>
      <c r="F75" s="720"/>
      <c r="G75" s="720"/>
      <c r="H75" s="720"/>
      <c r="L75" s="686" t="s">
        <v>769</v>
      </c>
      <c r="M75" s="599"/>
      <c r="N75" s="123"/>
    </row>
    <row r="76" spans="1:14" s="85" customFormat="1" x14ac:dyDescent="0.6">
      <c r="A76" s="85" t="s">
        <v>302</v>
      </c>
      <c r="B76" s="123">
        <v>1682845</v>
      </c>
      <c r="C76" s="130"/>
      <c r="D76" s="766" t="s">
        <v>769</v>
      </c>
      <c r="E76" s="766" t="s">
        <v>769</v>
      </c>
      <c r="F76" s="720">
        <f t="shared" si="1"/>
        <v>1</v>
      </c>
      <c r="G76" s="720">
        <f t="shared" si="0"/>
        <v>1</v>
      </c>
      <c r="H76" s="720">
        <f t="shared" si="2"/>
        <v>0</v>
      </c>
      <c r="L76" s="686" t="s">
        <v>769</v>
      </c>
      <c r="M76" s="595"/>
      <c r="N76" s="123"/>
    </row>
    <row r="77" spans="1:14" s="85" customFormat="1" ht="15.9" thickBot="1" x14ac:dyDescent="0.65">
      <c r="A77" s="99" t="s">
        <v>303</v>
      </c>
      <c r="B77" s="124">
        <v>598411</v>
      </c>
      <c r="C77" s="136"/>
      <c r="D77" s="767" t="s">
        <v>769</v>
      </c>
      <c r="E77" s="767" t="s">
        <v>769</v>
      </c>
      <c r="F77" s="720">
        <f t="shared" si="1"/>
        <v>1</v>
      </c>
      <c r="G77" s="720">
        <f t="shared" si="0"/>
        <v>1</v>
      </c>
      <c r="H77" s="720">
        <f t="shared" si="2"/>
        <v>0</v>
      </c>
      <c r="L77" s="686" t="s">
        <v>769</v>
      </c>
      <c r="M77" s="599"/>
      <c r="N77" s="123"/>
    </row>
    <row r="78" spans="1:14" s="192" customFormat="1" ht="15.9" thickTop="1" x14ac:dyDescent="0.6">
      <c r="A78" s="78" t="s">
        <v>19</v>
      </c>
      <c r="B78" s="751">
        <f>SUM(B79:B87)</f>
        <v>412450978</v>
      </c>
      <c r="C78" s="752">
        <f>SUM(C79:C86)</f>
        <v>0</v>
      </c>
      <c r="D78" s="768"/>
      <c r="E78" s="768"/>
      <c r="F78" s="720">
        <f t="shared" si="1"/>
        <v>0</v>
      </c>
      <c r="G78" s="720">
        <f t="shared" si="0"/>
        <v>0</v>
      </c>
      <c r="H78" s="720">
        <f t="shared" si="2"/>
        <v>0</v>
      </c>
      <c r="I78" s="85"/>
      <c r="J78" s="85"/>
      <c r="L78" s="686"/>
      <c r="M78" s="595"/>
      <c r="N78" s="123"/>
    </row>
    <row r="79" spans="1:14" s="85" customFormat="1" x14ac:dyDescent="0.6">
      <c r="A79" s="85" t="s">
        <v>345</v>
      </c>
      <c r="B79" s="137">
        <v>187964680</v>
      </c>
      <c r="C79" s="138"/>
      <c r="D79" s="766" t="s">
        <v>769</v>
      </c>
      <c r="E79" s="766" t="s">
        <v>769</v>
      </c>
      <c r="F79" s="720">
        <f t="shared" si="1"/>
        <v>1</v>
      </c>
      <c r="G79" s="720">
        <f t="shared" si="0"/>
        <v>1</v>
      </c>
      <c r="H79" s="720">
        <f t="shared" si="2"/>
        <v>0</v>
      </c>
      <c r="L79" s="686" t="s">
        <v>769</v>
      </c>
      <c r="M79" s="599"/>
      <c r="N79" s="123"/>
    </row>
    <row r="80" spans="1:14" s="85" customFormat="1" x14ac:dyDescent="0.6">
      <c r="A80" s="85" t="s">
        <v>346</v>
      </c>
      <c r="B80" s="137">
        <v>24143306</v>
      </c>
      <c r="C80" s="138"/>
      <c r="D80" s="766" t="s">
        <v>769</v>
      </c>
      <c r="E80" s="766" t="s">
        <v>769</v>
      </c>
      <c r="F80" s="720">
        <f t="shared" si="1"/>
        <v>1</v>
      </c>
      <c r="G80" s="720">
        <f t="shared" si="0"/>
        <v>1</v>
      </c>
      <c r="H80" s="720">
        <f t="shared" si="2"/>
        <v>0</v>
      </c>
      <c r="L80" s="686" t="s">
        <v>769</v>
      </c>
      <c r="M80" s="595"/>
      <c r="N80" s="123"/>
    </row>
    <row r="81" spans="1:14" s="85" customFormat="1" x14ac:dyDescent="0.6">
      <c r="A81" s="85" t="s">
        <v>350</v>
      </c>
      <c r="B81" s="1081" t="s">
        <v>804</v>
      </c>
      <c r="C81" s="138"/>
      <c r="D81" s="766" t="s">
        <v>769</v>
      </c>
      <c r="E81" s="766" t="s">
        <v>769</v>
      </c>
      <c r="F81" s="720">
        <f t="shared" si="1"/>
        <v>1</v>
      </c>
      <c r="G81" s="720">
        <f t="shared" si="0"/>
        <v>1</v>
      </c>
      <c r="H81" s="720">
        <f t="shared" si="2"/>
        <v>1</v>
      </c>
      <c r="L81" s="686" t="s">
        <v>769</v>
      </c>
      <c r="M81" s="599"/>
      <c r="N81" s="123"/>
    </row>
    <row r="82" spans="1:14" s="85" customFormat="1" x14ac:dyDescent="0.6">
      <c r="A82" s="85" t="s">
        <v>351</v>
      </c>
      <c r="B82" s="1081" t="s">
        <v>804</v>
      </c>
      <c r="C82" s="138"/>
      <c r="D82" s="766"/>
      <c r="E82" s="766"/>
      <c r="F82" s="720"/>
      <c r="G82" s="720"/>
      <c r="H82" s="720"/>
      <c r="L82" s="686" t="s">
        <v>769</v>
      </c>
      <c r="M82" s="595"/>
      <c r="N82" s="123"/>
    </row>
    <row r="83" spans="1:14" s="85" customFormat="1" x14ac:dyDescent="0.6">
      <c r="A83" s="85" t="s">
        <v>1032</v>
      </c>
      <c r="B83" s="1081" t="s">
        <v>804</v>
      </c>
      <c r="C83" s="138"/>
      <c r="D83" s="766"/>
      <c r="E83" s="766"/>
      <c r="F83" s="720"/>
      <c r="G83" s="720"/>
      <c r="H83" s="720"/>
      <c r="L83" s="686" t="s">
        <v>769</v>
      </c>
      <c r="M83" s="599"/>
      <c r="N83" s="123"/>
    </row>
    <row r="84" spans="1:14" s="85" customFormat="1" x14ac:dyDescent="0.6">
      <c r="A84" s="85" t="s">
        <v>354</v>
      </c>
      <c r="B84" s="137">
        <v>170342992</v>
      </c>
      <c r="C84" s="138"/>
      <c r="D84" s="766" t="s">
        <v>769</v>
      </c>
      <c r="E84" s="766" t="s">
        <v>769</v>
      </c>
      <c r="F84" s="720">
        <f t="shared" si="1"/>
        <v>1</v>
      </c>
      <c r="G84" s="720">
        <f t="shared" si="0"/>
        <v>1</v>
      </c>
      <c r="H84" s="720">
        <f t="shared" si="2"/>
        <v>0</v>
      </c>
      <c r="L84" s="838" t="s">
        <v>769</v>
      </c>
      <c r="M84" s="1565"/>
      <c r="N84" s="1"/>
    </row>
    <row r="85" spans="1:14" s="85" customFormat="1" x14ac:dyDescent="0.6">
      <c r="A85" s="85" t="s">
        <v>1036</v>
      </c>
      <c r="B85" s="1081" t="s">
        <v>804</v>
      </c>
      <c r="C85" s="138"/>
      <c r="D85" s="766" t="s">
        <v>769</v>
      </c>
      <c r="E85" s="766" t="s">
        <v>769</v>
      </c>
      <c r="F85" s="720">
        <f t="shared" si="1"/>
        <v>1</v>
      </c>
      <c r="G85" s="720">
        <f t="shared" si="0"/>
        <v>1</v>
      </c>
      <c r="H85" s="720">
        <f t="shared" si="2"/>
        <v>1</v>
      </c>
      <c r="L85" s="838" t="s">
        <v>769</v>
      </c>
      <c r="M85" s="593"/>
      <c r="N85" s="1"/>
    </row>
    <row r="86" spans="1:14" s="104" customFormat="1" x14ac:dyDescent="0.6">
      <c r="A86" s="104" t="s">
        <v>1213</v>
      </c>
      <c r="B86" s="1081" t="s">
        <v>804</v>
      </c>
      <c r="C86" s="138"/>
      <c r="D86" s="766" t="s">
        <v>769</v>
      </c>
      <c r="E86" s="766" t="s">
        <v>769</v>
      </c>
      <c r="F86" s="720">
        <f t="shared" si="1"/>
        <v>1</v>
      </c>
      <c r="G86" s="720">
        <f t="shared" si="0"/>
        <v>1</v>
      </c>
      <c r="H86" s="720">
        <f t="shared" si="2"/>
        <v>1</v>
      </c>
      <c r="I86" s="85"/>
      <c r="J86" s="85"/>
      <c r="L86" s="838" t="s">
        <v>769</v>
      </c>
      <c r="M86" s="593"/>
      <c r="N86" s="1"/>
    </row>
    <row r="87" spans="1:14" ht="15.9" thickBot="1" x14ac:dyDescent="0.65">
      <c r="A87" s="99" t="s">
        <v>408</v>
      </c>
      <c r="B87" s="1310">
        <v>30000000</v>
      </c>
      <c r="C87" s="136"/>
      <c r="D87" s="767" t="s">
        <v>769</v>
      </c>
      <c r="E87" s="767" t="s">
        <v>769</v>
      </c>
      <c r="F87" s="720">
        <f t="shared" si="1"/>
        <v>1</v>
      </c>
      <c r="G87" s="720">
        <f t="shared" si="0"/>
        <v>1</v>
      </c>
      <c r="H87" s="720">
        <f t="shared" si="2"/>
        <v>0</v>
      </c>
      <c r="L87" s="838" t="s">
        <v>769</v>
      </c>
      <c r="M87" s="593"/>
    </row>
    <row r="88" spans="1:14" s="209" customFormat="1" ht="15.9" thickTop="1" x14ac:dyDescent="0.6">
      <c r="A88" s="1084" t="s">
        <v>20</v>
      </c>
      <c r="B88" s="753">
        <f>SUM(B89:B89)</f>
        <v>0</v>
      </c>
      <c r="C88" s="754">
        <f>SUM(C89:C89)</f>
        <v>0</v>
      </c>
      <c r="D88" s="768"/>
      <c r="E88" s="768"/>
      <c r="F88" s="720">
        <f t="shared" si="1"/>
        <v>0</v>
      </c>
      <c r="G88" s="720">
        <f t="shared" si="0"/>
        <v>0</v>
      </c>
      <c r="H88" s="720">
        <f t="shared" si="2"/>
        <v>0</v>
      </c>
      <c r="I88" s="85"/>
      <c r="J88" s="85"/>
      <c r="L88" s="838"/>
      <c r="M88" s="593"/>
      <c r="N88" s="1"/>
    </row>
    <row r="89" spans="1:14" s="637" customFormat="1" ht="15.9" thickBot="1" x14ac:dyDescent="0.65">
      <c r="A89" s="639" t="s">
        <v>1214</v>
      </c>
      <c r="B89" s="1082" t="s">
        <v>804</v>
      </c>
      <c r="C89" s="640"/>
      <c r="D89" s="767"/>
      <c r="E89" s="767"/>
      <c r="F89" s="720">
        <f t="shared" si="1"/>
        <v>0</v>
      </c>
      <c r="G89" s="720">
        <f t="shared" ref="G89:G128" si="3">IF(E89="x",1,0)</f>
        <v>0</v>
      </c>
      <c r="H89" s="720">
        <f t="shared" si="2"/>
        <v>1</v>
      </c>
      <c r="I89" s="85"/>
      <c r="J89" s="85"/>
      <c r="L89" s="838" t="s">
        <v>769</v>
      </c>
      <c r="M89" s="593"/>
      <c r="N89" s="1"/>
    </row>
    <row r="90" spans="1:14" s="192" customFormat="1" ht="15.9" thickTop="1" x14ac:dyDescent="0.6">
      <c r="A90" s="78" t="s">
        <v>38</v>
      </c>
      <c r="B90" s="755">
        <f>SUM(B91:B94)</f>
        <v>12405668</v>
      </c>
      <c r="C90" s="756">
        <f>SUM(C93:C94)</f>
        <v>0</v>
      </c>
      <c r="D90" s="768"/>
      <c r="E90" s="768"/>
      <c r="F90" s="720">
        <f t="shared" si="1"/>
        <v>0</v>
      </c>
      <c r="G90" s="720">
        <f t="shared" si="3"/>
        <v>0</v>
      </c>
      <c r="H90" s="720">
        <f t="shared" ref="H90:H128" si="4">IF(B90="ND",1,0)</f>
        <v>0</v>
      </c>
      <c r="I90" s="85"/>
      <c r="J90" s="85"/>
      <c r="L90" s="838"/>
      <c r="M90" s="593"/>
      <c r="N90" s="1"/>
    </row>
    <row r="91" spans="1:14" s="85" customFormat="1" x14ac:dyDescent="0.6">
      <c r="A91" s="85" t="s">
        <v>1215</v>
      </c>
      <c r="B91" s="662">
        <v>2397959</v>
      </c>
      <c r="C91" s="142"/>
      <c r="D91" s="1173"/>
      <c r="E91" s="1173"/>
      <c r="F91" s="720"/>
      <c r="G91" s="720"/>
      <c r="H91" s="720"/>
      <c r="L91" s="838" t="s">
        <v>769</v>
      </c>
      <c r="M91" s="593"/>
      <c r="N91" s="1"/>
    </row>
    <row r="92" spans="1:14" s="85" customFormat="1" x14ac:dyDescent="0.6">
      <c r="A92" s="85" t="s">
        <v>1216</v>
      </c>
      <c r="B92" s="1202" t="s">
        <v>804</v>
      </c>
      <c r="C92" s="142"/>
      <c r="D92" s="1173"/>
      <c r="E92" s="1173"/>
      <c r="F92" s="720"/>
      <c r="G92" s="720"/>
      <c r="H92" s="720"/>
      <c r="L92" s="838" t="s">
        <v>769</v>
      </c>
      <c r="M92" s="593"/>
      <c r="N92" s="1"/>
    </row>
    <row r="93" spans="1:14" s="85" customFormat="1" x14ac:dyDescent="0.6">
      <c r="A93" s="85" t="s">
        <v>275</v>
      </c>
      <c r="B93" s="1085">
        <v>10007709</v>
      </c>
      <c r="C93" s="142"/>
      <c r="D93" s="766" t="s">
        <v>769</v>
      </c>
      <c r="E93" s="766" t="s">
        <v>769</v>
      </c>
      <c r="F93" s="720">
        <f t="shared" ref="F93:F128" si="5">IF(D93="x",1,0)</f>
        <v>1</v>
      </c>
      <c r="G93" s="720">
        <f t="shared" si="3"/>
        <v>1</v>
      </c>
      <c r="H93" s="720">
        <f t="shared" si="4"/>
        <v>0</v>
      </c>
      <c r="L93" s="838" t="s">
        <v>769</v>
      </c>
      <c r="M93" s="593"/>
      <c r="N93" s="1"/>
    </row>
    <row r="94" spans="1:14" s="85" customFormat="1" ht="15.9" thickBot="1" x14ac:dyDescent="0.65">
      <c r="A94" s="99" t="s">
        <v>747</v>
      </c>
      <c r="B94" s="653" t="s">
        <v>804</v>
      </c>
      <c r="C94" s="144"/>
      <c r="D94" s="767" t="s">
        <v>769</v>
      </c>
      <c r="E94" s="767" t="s">
        <v>769</v>
      </c>
      <c r="F94" s="720">
        <f t="shared" si="5"/>
        <v>1</v>
      </c>
      <c r="G94" s="720">
        <f t="shared" si="3"/>
        <v>1</v>
      </c>
      <c r="H94" s="720">
        <f t="shared" si="4"/>
        <v>1</v>
      </c>
      <c r="L94" s="838" t="s">
        <v>769</v>
      </c>
      <c r="M94" s="593"/>
      <c r="N94" s="1"/>
    </row>
    <row r="95" spans="1:14" s="192" customFormat="1" ht="15.9" thickTop="1" x14ac:dyDescent="0.6">
      <c r="A95" s="78" t="s">
        <v>39</v>
      </c>
      <c r="B95" s="729">
        <f>SUM(B96:B107)</f>
        <v>293983723</v>
      </c>
      <c r="C95" s="757">
        <f>SUM(C96:C107)</f>
        <v>0</v>
      </c>
      <c r="D95" s="768"/>
      <c r="E95" s="768"/>
      <c r="F95" s="720">
        <f t="shared" si="5"/>
        <v>0</v>
      </c>
      <c r="G95" s="720">
        <f t="shared" si="3"/>
        <v>0</v>
      </c>
      <c r="H95" s="720">
        <f t="shared" si="4"/>
        <v>0</v>
      </c>
      <c r="I95" s="85"/>
      <c r="J95" s="85"/>
      <c r="L95" s="838"/>
      <c r="M95" s="593"/>
      <c r="N95" s="1"/>
    </row>
    <row r="96" spans="1:14" s="85" customFormat="1" x14ac:dyDescent="0.6">
      <c r="A96" s="85" t="s">
        <v>1217</v>
      </c>
      <c r="B96" s="1040" t="s">
        <v>804</v>
      </c>
      <c r="C96" s="146"/>
      <c r="D96" s="766" t="s">
        <v>769</v>
      </c>
      <c r="E96" s="766" t="s">
        <v>769</v>
      </c>
      <c r="F96" s="720">
        <f t="shared" si="5"/>
        <v>1</v>
      </c>
      <c r="G96" s="720">
        <f t="shared" si="3"/>
        <v>1</v>
      </c>
      <c r="H96" s="720">
        <f t="shared" si="4"/>
        <v>1</v>
      </c>
      <c r="L96" s="838" t="s">
        <v>769</v>
      </c>
      <c r="M96" s="593"/>
      <c r="N96" s="1"/>
    </row>
    <row r="97" spans="1:14" s="85" customFormat="1" x14ac:dyDescent="0.6">
      <c r="A97" s="85" t="s">
        <v>1218</v>
      </c>
      <c r="B97" s="145">
        <v>3763654</v>
      </c>
      <c r="C97" s="146"/>
      <c r="D97" s="766"/>
      <c r="E97" s="766"/>
      <c r="F97" s="720"/>
      <c r="G97" s="720"/>
      <c r="H97" s="720"/>
      <c r="L97" s="838" t="s">
        <v>769</v>
      </c>
      <c r="M97" s="593"/>
      <c r="N97" s="1"/>
    </row>
    <row r="98" spans="1:14" s="85" customFormat="1" x14ac:dyDescent="0.6">
      <c r="A98" s="85" t="s">
        <v>336</v>
      </c>
      <c r="B98" s="145">
        <v>11375585</v>
      </c>
      <c r="C98" s="146"/>
      <c r="D98" s="766"/>
      <c r="E98" s="766"/>
      <c r="F98" s="720"/>
      <c r="G98" s="720"/>
      <c r="H98" s="720"/>
      <c r="L98" s="1063" t="s">
        <v>769</v>
      </c>
      <c r="M98" s="1062"/>
      <c r="N98" s="123"/>
    </row>
    <row r="99" spans="1:14" s="85" customFormat="1" x14ac:dyDescent="0.6">
      <c r="A99" s="85" t="s">
        <v>1219</v>
      </c>
      <c r="B99" s="1040" t="s">
        <v>804</v>
      </c>
      <c r="C99" s="146"/>
      <c r="D99" s="766"/>
      <c r="E99" s="766"/>
      <c r="F99" s="720"/>
      <c r="G99" s="720"/>
      <c r="H99" s="720"/>
      <c r="L99" s="686" t="s">
        <v>769</v>
      </c>
      <c r="M99" s="595"/>
      <c r="N99" s="123"/>
    </row>
    <row r="100" spans="1:14" s="85" customFormat="1" x14ac:dyDescent="0.6">
      <c r="A100" s="85" t="s">
        <v>1048</v>
      </c>
      <c r="B100" s="145">
        <v>5018205</v>
      </c>
      <c r="C100" s="146"/>
      <c r="D100" s="766"/>
      <c r="E100" s="766"/>
      <c r="F100" s="720"/>
      <c r="G100" s="720"/>
      <c r="H100" s="720"/>
      <c r="L100" s="1063" t="s">
        <v>769</v>
      </c>
      <c r="M100" s="600"/>
      <c r="N100" s="145"/>
    </row>
    <row r="101" spans="1:14" s="85" customFormat="1" x14ac:dyDescent="0.6">
      <c r="A101" s="85" t="s">
        <v>1049</v>
      </c>
      <c r="B101" s="1040" t="s">
        <v>804</v>
      </c>
      <c r="C101" s="146"/>
      <c r="D101" s="766"/>
      <c r="E101" s="766"/>
      <c r="F101" s="720"/>
      <c r="G101" s="720"/>
      <c r="H101" s="720"/>
      <c r="L101" s="1406" t="s">
        <v>769</v>
      </c>
      <c r="M101" s="1566"/>
      <c r="N101" s="123"/>
    </row>
    <row r="102" spans="1:14" s="85" customFormat="1" x14ac:dyDescent="0.6">
      <c r="A102" s="85" t="s">
        <v>922</v>
      </c>
      <c r="B102" s="145">
        <v>260795969</v>
      </c>
      <c r="C102" s="146"/>
      <c r="D102" s="766"/>
      <c r="E102" s="766"/>
      <c r="F102" s="720"/>
      <c r="G102" s="720"/>
      <c r="H102" s="720"/>
      <c r="L102" s="1406" t="s">
        <v>769</v>
      </c>
      <c r="M102" s="601"/>
      <c r="N102" s="123"/>
    </row>
    <row r="103" spans="1:14" s="85" customFormat="1" x14ac:dyDescent="0.6">
      <c r="A103" s="85" t="s">
        <v>1052</v>
      </c>
      <c r="B103" s="145">
        <v>9565954</v>
      </c>
      <c r="C103" s="146"/>
      <c r="D103" s="766"/>
      <c r="E103" s="766"/>
      <c r="F103" s="720"/>
      <c r="G103" s="720"/>
      <c r="H103" s="720"/>
      <c r="L103" s="1406" t="s">
        <v>769</v>
      </c>
      <c r="M103" s="601"/>
      <c r="N103" s="123"/>
    </row>
    <row r="104" spans="1:14" s="85" customFormat="1" x14ac:dyDescent="0.6">
      <c r="A104" s="85" t="s">
        <v>1053</v>
      </c>
      <c r="B104" s="1040" t="s">
        <v>804</v>
      </c>
      <c r="C104" s="146"/>
      <c r="D104" s="766"/>
      <c r="E104" s="766"/>
      <c r="F104" s="720"/>
      <c r="G104" s="720"/>
      <c r="H104" s="720"/>
      <c r="L104" s="1406" t="s">
        <v>769</v>
      </c>
      <c r="M104" s="601"/>
      <c r="N104" s="123"/>
    </row>
    <row r="105" spans="1:14" s="85" customFormat="1" x14ac:dyDescent="0.6">
      <c r="A105" s="85" t="s">
        <v>1054</v>
      </c>
      <c r="B105" s="1040" t="s">
        <v>804</v>
      </c>
      <c r="C105" s="146"/>
      <c r="D105" s="766"/>
      <c r="E105" s="766"/>
      <c r="F105" s="720"/>
      <c r="G105" s="720"/>
      <c r="H105" s="720"/>
      <c r="L105" s="1406" t="s">
        <v>769</v>
      </c>
      <c r="M105" s="601"/>
      <c r="N105" s="123"/>
    </row>
    <row r="106" spans="1:14" s="85" customFormat="1" x14ac:dyDescent="0.6">
      <c r="A106" s="85" t="s">
        <v>1055</v>
      </c>
      <c r="B106" s="1040" t="s">
        <v>804</v>
      </c>
      <c r="C106" s="146"/>
      <c r="D106" s="766"/>
      <c r="E106" s="766"/>
      <c r="F106" s="720"/>
      <c r="G106" s="720"/>
      <c r="H106" s="720"/>
      <c r="L106" s="1406" t="s">
        <v>769</v>
      </c>
      <c r="M106" s="601"/>
      <c r="N106" s="123"/>
    </row>
    <row r="107" spans="1:14" s="85" customFormat="1" ht="15.9" thickBot="1" x14ac:dyDescent="0.65">
      <c r="A107" s="99" t="s">
        <v>1056</v>
      </c>
      <c r="B107" s="147">
        <v>3464356</v>
      </c>
      <c r="C107" s="148"/>
      <c r="D107" s="767" t="s">
        <v>769</v>
      </c>
      <c r="E107" s="767" t="s">
        <v>769</v>
      </c>
      <c r="F107" s="720">
        <f t="shared" si="5"/>
        <v>1</v>
      </c>
      <c r="G107" s="720">
        <f t="shared" si="3"/>
        <v>1</v>
      </c>
      <c r="H107" s="720">
        <f t="shared" si="4"/>
        <v>0</v>
      </c>
      <c r="L107" s="1406"/>
      <c r="M107" s="601"/>
      <c r="N107" s="123"/>
    </row>
    <row r="108" spans="1:14" s="646" customFormat="1" ht="15.9" thickTop="1" x14ac:dyDescent="0.6">
      <c r="A108" s="1088" t="s">
        <v>40</v>
      </c>
      <c r="B108" s="758">
        <f>SUM(B109:B109)</f>
        <v>0</v>
      </c>
      <c r="C108" s="759">
        <f>SUM(C109:C109)</f>
        <v>0</v>
      </c>
      <c r="D108" s="768"/>
      <c r="E108" s="768"/>
      <c r="F108" s="720">
        <f t="shared" si="5"/>
        <v>0</v>
      </c>
      <c r="G108" s="720">
        <f t="shared" si="3"/>
        <v>0</v>
      </c>
      <c r="H108" s="720">
        <f t="shared" si="4"/>
        <v>0</v>
      </c>
      <c r="I108" s="85"/>
      <c r="J108" s="85"/>
      <c r="L108" s="1406"/>
      <c r="M108" s="601"/>
      <c r="N108" s="123"/>
    </row>
    <row r="109" spans="1:14" s="647" customFormat="1" ht="15.9" thickBot="1" x14ac:dyDescent="0.65">
      <c r="A109" s="649"/>
      <c r="B109" s="649"/>
      <c r="C109" s="650"/>
      <c r="D109" s="767" t="s">
        <v>769</v>
      </c>
      <c r="E109" s="767" t="s">
        <v>769</v>
      </c>
      <c r="F109" s="720">
        <f t="shared" si="5"/>
        <v>1</v>
      </c>
      <c r="G109" s="720">
        <f t="shared" si="3"/>
        <v>1</v>
      </c>
      <c r="H109" s="720">
        <f t="shared" si="4"/>
        <v>0</v>
      </c>
      <c r="I109" s="85"/>
      <c r="J109" s="85"/>
      <c r="L109" s="1572"/>
      <c r="M109" s="1567"/>
      <c r="N109" s="123"/>
    </row>
    <row r="110" spans="1:14" s="596" customFormat="1" ht="15.9" thickTop="1" x14ac:dyDescent="0.6">
      <c r="A110" s="1060" t="s">
        <v>31</v>
      </c>
      <c r="B110" s="723"/>
      <c r="C110" s="724"/>
      <c r="D110" s="768"/>
      <c r="E110" s="768"/>
      <c r="F110" s="720">
        <f t="shared" si="5"/>
        <v>0</v>
      </c>
      <c r="G110" s="720">
        <f t="shared" si="3"/>
        <v>0</v>
      </c>
      <c r="H110" s="720">
        <f t="shared" si="4"/>
        <v>0</v>
      </c>
      <c r="I110" s="85"/>
      <c r="J110" s="85"/>
      <c r="L110" s="1065"/>
      <c r="M110" s="694"/>
      <c r="N110" s="123"/>
    </row>
    <row r="111" spans="1:14" s="85" customFormat="1" ht="15.9" thickBot="1" x14ac:dyDescent="0.65">
      <c r="A111" s="99"/>
      <c r="B111" s="124"/>
      <c r="C111" s="136"/>
      <c r="D111" s="767"/>
      <c r="E111" s="767"/>
      <c r="F111" s="720">
        <f t="shared" si="5"/>
        <v>0</v>
      </c>
      <c r="G111" s="720">
        <f t="shared" si="3"/>
        <v>0</v>
      </c>
      <c r="H111" s="720">
        <f t="shared" si="4"/>
        <v>0</v>
      </c>
      <c r="L111" s="1065"/>
      <c r="M111" s="694"/>
      <c r="N111" s="123"/>
    </row>
    <row r="112" spans="1:14" s="641" customFormat="1" ht="15.9" thickTop="1" x14ac:dyDescent="0.6">
      <c r="A112" s="1091" t="s">
        <v>47</v>
      </c>
      <c r="B112" s="732">
        <f>B113+B114</f>
        <v>5090000000</v>
      </c>
      <c r="C112" s="733">
        <f>C113+C114</f>
        <v>0</v>
      </c>
      <c r="D112" s="768"/>
      <c r="E112" s="768"/>
      <c r="F112" s="720">
        <f t="shared" si="5"/>
        <v>0</v>
      </c>
      <c r="G112" s="720">
        <f t="shared" si="3"/>
        <v>0</v>
      </c>
      <c r="H112" s="720">
        <f t="shared" si="4"/>
        <v>0</v>
      </c>
      <c r="I112" s="85"/>
      <c r="J112" s="85"/>
      <c r="L112" s="1065"/>
      <c r="M112" s="694"/>
      <c r="N112" s="123"/>
    </row>
    <row r="113" spans="1:14" s="642" customFormat="1" x14ac:dyDescent="0.6">
      <c r="A113" s="605" t="s">
        <v>748</v>
      </c>
      <c r="B113" s="605">
        <v>2790000000</v>
      </c>
      <c r="C113" s="606"/>
      <c r="D113" s="766" t="s">
        <v>769</v>
      </c>
      <c r="E113" s="766" t="s">
        <v>769</v>
      </c>
      <c r="F113" s="720">
        <f t="shared" si="5"/>
        <v>1</v>
      </c>
      <c r="G113" s="720">
        <f t="shared" si="3"/>
        <v>1</v>
      </c>
      <c r="H113" s="720">
        <f t="shared" si="4"/>
        <v>0</v>
      </c>
      <c r="I113" s="85"/>
      <c r="J113" s="85"/>
      <c r="L113" s="1065" t="s">
        <v>769</v>
      </c>
      <c r="M113" s="694"/>
      <c r="N113" s="123"/>
    </row>
    <row r="114" spans="1:14" s="642" customFormat="1" ht="15.9" thickBot="1" x14ac:dyDescent="0.65">
      <c r="A114" s="625" t="s">
        <v>705</v>
      </c>
      <c r="B114" s="625">
        <v>2300000000</v>
      </c>
      <c r="C114" s="626"/>
      <c r="D114" s="767" t="s">
        <v>769</v>
      </c>
      <c r="E114" s="767" t="s">
        <v>769</v>
      </c>
      <c r="F114" s="720">
        <f t="shared" si="5"/>
        <v>1</v>
      </c>
      <c r="G114" s="720">
        <f t="shared" si="3"/>
        <v>1</v>
      </c>
      <c r="H114" s="720">
        <f t="shared" si="4"/>
        <v>0</v>
      </c>
      <c r="I114" s="85"/>
      <c r="J114" s="85"/>
      <c r="L114" s="1065" t="s">
        <v>769</v>
      </c>
      <c r="M114" s="694"/>
      <c r="N114" s="123"/>
    </row>
    <row r="115" spans="1:14" s="17" customFormat="1" ht="15.9" thickTop="1" x14ac:dyDescent="0.6">
      <c r="A115" s="1092" t="s">
        <v>32</v>
      </c>
      <c r="B115" s="727"/>
      <c r="C115" s="728">
        <f>C116</f>
        <v>0</v>
      </c>
      <c r="D115" s="768"/>
      <c r="E115" s="768"/>
      <c r="F115" s="720">
        <f t="shared" si="5"/>
        <v>0</v>
      </c>
      <c r="G115" s="720">
        <f t="shared" si="3"/>
        <v>0</v>
      </c>
      <c r="H115" s="720">
        <f t="shared" si="4"/>
        <v>0</v>
      </c>
      <c r="I115" s="123"/>
      <c r="J115" s="123"/>
      <c r="L115" s="1065"/>
      <c r="M115" s="694"/>
      <c r="N115" s="123"/>
    </row>
    <row r="116" spans="1:14" s="70" customFormat="1" ht="15.9" thickBot="1" x14ac:dyDescent="0.65">
      <c r="A116" s="108" t="s">
        <v>1220</v>
      </c>
      <c r="B116" s="594" t="s">
        <v>804</v>
      </c>
      <c r="C116" s="624"/>
      <c r="D116" s="767"/>
      <c r="E116" s="767"/>
      <c r="F116" s="720">
        <f t="shared" si="5"/>
        <v>0</v>
      </c>
      <c r="G116" s="720">
        <f t="shared" si="3"/>
        <v>0</v>
      </c>
      <c r="H116" s="720">
        <f t="shared" si="4"/>
        <v>1</v>
      </c>
      <c r="I116" s="123"/>
      <c r="J116" s="123"/>
      <c r="L116" s="1090" t="s">
        <v>769</v>
      </c>
      <c r="M116" s="1568"/>
      <c r="N116" s="123"/>
    </row>
    <row r="117" spans="1:14" s="596" customFormat="1" ht="15.9" thickTop="1" x14ac:dyDescent="0.6">
      <c r="A117" s="1060" t="s">
        <v>33</v>
      </c>
      <c r="B117" s="723"/>
      <c r="C117" s="724"/>
      <c r="D117" s="768"/>
      <c r="E117" s="768"/>
      <c r="F117" s="720">
        <f t="shared" si="5"/>
        <v>0</v>
      </c>
      <c r="G117" s="720">
        <f t="shared" si="3"/>
        <v>0</v>
      </c>
      <c r="H117" s="720">
        <f t="shared" si="4"/>
        <v>0</v>
      </c>
      <c r="I117" s="123"/>
      <c r="J117" s="123"/>
      <c r="L117" s="1090"/>
      <c r="M117" s="605"/>
      <c r="N117" s="123"/>
    </row>
    <row r="118" spans="1:14" s="85" customFormat="1" ht="15.9" thickBot="1" x14ac:dyDescent="0.65">
      <c r="A118" s="99"/>
      <c r="B118" s="124"/>
      <c r="C118" s="136"/>
      <c r="D118" s="767"/>
      <c r="E118" s="767"/>
      <c r="F118" s="720">
        <f t="shared" si="5"/>
        <v>0</v>
      </c>
      <c r="G118" s="720">
        <f t="shared" si="3"/>
        <v>0</v>
      </c>
      <c r="H118" s="720">
        <f t="shared" si="4"/>
        <v>0</v>
      </c>
      <c r="I118" s="123"/>
      <c r="J118" s="123"/>
      <c r="L118" s="1612"/>
      <c r="M118" s="625"/>
      <c r="N118" s="124"/>
    </row>
    <row r="119" spans="1:14" s="217" customFormat="1" ht="15.9" thickTop="1" x14ac:dyDescent="0.6">
      <c r="A119" s="1093" t="s">
        <v>46</v>
      </c>
      <c r="B119" s="734"/>
      <c r="C119" s="735">
        <f>C120+C122</f>
        <v>0</v>
      </c>
      <c r="D119" s="768"/>
      <c r="E119" s="768"/>
      <c r="F119" s="720">
        <f t="shared" si="5"/>
        <v>0</v>
      </c>
      <c r="G119" s="720">
        <f t="shared" si="3"/>
        <v>0</v>
      </c>
      <c r="H119" s="720">
        <f t="shared" si="4"/>
        <v>0</v>
      </c>
      <c r="I119" s="123"/>
      <c r="J119" s="123"/>
      <c r="L119" s="686"/>
    </row>
    <row r="120" spans="1:14" s="643" customFormat="1" x14ac:dyDescent="0.6">
      <c r="A120" s="608" t="s">
        <v>749</v>
      </c>
      <c r="B120" s="774" t="s">
        <v>804</v>
      </c>
      <c r="C120" s="609"/>
      <c r="D120" s="996"/>
      <c r="E120" s="996" t="s">
        <v>769</v>
      </c>
      <c r="F120" s="720">
        <f t="shared" si="5"/>
        <v>0</v>
      </c>
      <c r="G120" s="720">
        <f t="shared" si="3"/>
        <v>1</v>
      </c>
      <c r="H120" s="720">
        <f t="shared" si="4"/>
        <v>1</v>
      </c>
      <c r="I120" s="123"/>
      <c r="J120" s="123"/>
      <c r="L120" s="686"/>
      <c r="M120" s="1594" t="s">
        <v>78</v>
      </c>
      <c r="N120" s="69"/>
    </row>
    <row r="121" spans="1:14" s="643" customFormat="1" x14ac:dyDescent="0.6">
      <c r="A121" s="608" t="s">
        <v>946</v>
      </c>
      <c r="B121" s="774" t="s">
        <v>804</v>
      </c>
      <c r="C121" s="609"/>
      <c r="D121" s="766"/>
      <c r="E121" s="766"/>
      <c r="F121" s="720"/>
      <c r="G121" s="720"/>
      <c r="H121" s="720"/>
      <c r="I121" s="123"/>
      <c r="J121" s="123"/>
      <c r="L121" s="686"/>
      <c r="M121" s="593" t="s">
        <v>42</v>
      </c>
      <c r="N121" s="1">
        <v>5</v>
      </c>
    </row>
    <row r="122" spans="1:14" s="643" customFormat="1" ht="15.9" thickBot="1" x14ac:dyDescent="0.65">
      <c r="A122" s="627" t="s">
        <v>716</v>
      </c>
      <c r="B122" s="773" t="s">
        <v>804</v>
      </c>
      <c r="C122" s="610"/>
      <c r="D122" s="767"/>
      <c r="E122" s="767" t="s">
        <v>769</v>
      </c>
      <c r="F122" s="720">
        <f t="shared" si="5"/>
        <v>0</v>
      </c>
      <c r="G122" s="720">
        <f t="shared" si="3"/>
        <v>1</v>
      </c>
      <c r="H122" s="720">
        <f t="shared" si="4"/>
        <v>1</v>
      </c>
      <c r="I122" s="123"/>
      <c r="J122" s="123"/>
      <c r="L122" s="686"/>
      <c r="M122" s="593" t="s">
        <v>802</v>
      </c>
      <c r="N122" s="1">
        <v>4</v>
      </c>
    </row>
    <row r="123" spans="1:14" s="644" customFormat="1" ht="15.9" thickTop="1" x14ac:dyDescent="0.6">
      <c r="A123" s="1094" t="s">
        <v>49</v>
      </c>
      <c r="B123" s="737">
        <f>B124</f>
        <v>0</v>
      </c>
      <c r="C123" s="738">
        <f>C124</f>
        <v>0</v>
      </c>
      <c r="D123" s="768"/>
      <c r="E123" s="768"/>
      <c r="F123" s="720">
        <f t="shared" si="5"/>
        <v>0</v>
      </c>
      <c r="G123" s="720">
        <f t="shared" si="3"/>
        <v>0</v>
      </c>
      <c r="H123" s="720">
        <f t="shared" si="4"/>
        <v>0</v>
      </c>
      <c r="I123" s="123"/>
      <c r="J123" s="123"/>
      <c r="L123" s="686"/>
      <c r="M123" s="593" t="s">
        <v>1732</v>
      </c>
      <c r="N123" s="1">
        <v>0</v>
      </c>
    </row>
    <row r="124" spans="1:14" s="645" customFormat="1" ht="15.9" thickBot="1" x14ac:dyDescent="0.65">
      <c r="A124" s="629"/>
      <c r="B124" s="629"/>
      <c r="C124" s="613"/>
      <c r="D124" s="767"/>
      <c r="E124" s="767"/>
      <c r="F124" s="720">
        <f t="shared" si="5"/>
        <v>0</v>
      </c>
      <c r="G124" s="720">
        <f t="shared" si="3"/>
        <v>0</v>
      </c>
      <c r="H124" s="720">
        <f t="shared" si="4"/>
        <v>0</v>
      </c>
      <c r="I124" s="123"/>
      <c r="J124" s="123"/>
      <c r="L124" s="686"/>
      <c r="M124" s="593" t="s">
        <v>239</v>
      </c>
      <c r="N124" s="1"/>
    </row>
    <row r="125" spans="1:14" s="192" customFormat="1" ht="15.9" thickTop="1" x14ac:dyDescent="0.6">
      <c r="A125" s="78" t="s">
        <v>50</v>
      </c>
      <c r="B125" s="739">
        <f>SUM(B126:B126)</f>
        <v>50560494</v>
      </c>
      <c r="C125" s="740">
        <f>SUM(C126:C126)</f>
        <v>0</v>
      </c>
      <c r="D125" s="768"/>
      <c r="E125" s="768"/>
      <c r="F125" s="720">
        <f t="shared" si="5"/>
        <v>0</v>
      </c>
      <c r="G125" s="720">
        <f t="shared" si="3"/>
        <v>0</v>
      </c>
      <c r="H125" s="720">
        <f t="shared" si="4"/>
        <v>0</v>
      </c>
      <c r="I125" s="123"/>
      <c r="J125" s="123"/>
      <c r="L125" s="686"/>
      <c r="M125" s="599"/>
      <c r="N125" s="123"/>
    </row>
    <row r="126" spans="1:14" s="85" customFormat="1" ht="15.9" thickBot="1" x14ac:dyDescent="0.65">
      <c r="A126" s="99" t="s">
        <v>391</v>
      </c>
      <c r="B126" s="151">
        <v>50560494</v>
      </c>
      <c r="C126" s="152"/>
      <c r="D126" s="767" t="s">
        <v>769</v>
      </c>
      <c r="E126" s="767" t="s">
        <v>769</v>
      </c>
      <c r="F126" s="720">
        <f t="shared" si="5"/>
        <v>1</v>
      </c>
      <c r="G126" s="720">
        <f t="shared" si="3"/>
        <v>1</v>
      </c>
      <c r="H126" s="720">
        <f t="shared" si="4"/>
        <v>0</v>
      </c>
      <c r="I126" s="123"/>
      <c r="J126" s="123"/>
      <c r="L126" s="686"/>
      <c r="M126" s="599"/>
      <c r="N126" s="123"/>
    </row>
    <row r="127" spans="1:14" s="596" customFormat="1" ht="15.9" thickTop="1" x14ac:dyDescent="0.6">
      <c r="A127" s="1060" t="s">
        <v>51</v>
      </c>
      <c r="B127" s="723"/>
      <c r="C127" s="724"/>
      <c r="D127" s="768"/>
      <c r="E127" s="768"/>
      <c r="F127" s="720">
        <f t="shared" si="5"/>
        <v>0</v>
      </c>
      <c r="G127" s="720">
        <f t="shared" si="3"/>
        <v>0</v>
      </c>
      <c r="H127" s="720">
        <f t="shared" si="4"/>
        <v>0</v>
      </c>
      <c r="I127" s="123"/>
      <c r="J127" s="123"/>
      <c r="L127" s="686"/>
      <c r="M127" s="599"/>
      <c r="N127" s="123"/>
    </row>
    <row r="128" spans="1:14" s="85" customFormat="1" ht="15.9" thickBot="1" x14ac:dyDescent="0.65">
      <c r="A128" s="99" t="s">
        <v>1070</v>
      </c>
      <c r="B128" s="598" t="s">
        <v>804</v>
      </c>
      <c r="C128" s="136"/>
      <c r="D128" s="767"/>
      <c r="E128" s="767"/>
      <c r="F128" s="720">
        <f t="shared" si="5"/>
        <v>0</v>
      </c>
      <c r="G128" s="720">
        <f t="shared" si="3"/>
        <v>0</v>
      </c>
      <c r="H128" s="720">
        <f t="shared" si="4"/>
        <v>1</v>
      </c>
      <c r="I128" s="123"/>
      <c r="J128" s="123"/>
      <c r="L128" s="686"/>
      <c r="M128" s="599"/>
      <c r="N128" s="123"/>
    </row>
    <row r="129" spans="1:14" ht="15.9" thickTop="1" x14ac:dyDescent="0.6">
      <c r="F129" s="720"/>
      <c r="G129" s="720"/>
      <c r="H129" s="720"/>
      <c r="I129" s="123"/>
      <c r="J129" s="123"/>
      <c r="L129" s="838"/>
      <c r="M129" s="1565"/>
      <c r="N129" s="123"/>
    </row>
    <row r="130" spans="1:14" x14ac:dyDescent="0.6">
      <c r="A130" s="1370" t="s">
        <v>1451</v>
      </c>
      <c r="B130" s="13">
        <f>COUNTIF(B2:B128,"=ND")</f>
        <v>32</v>
      </c>
      <c r="F130" s="720"/>
      <c r="G130" s="720"/>
      <c r="H130" s="720"/>
      <c r="I130" s="123"/>
      <c r="J130" s="123"/>
      <c r="L130" s="838"/>
      <c r="M130" s="593"/>
      <c r="N130" s="123"/>
    </row>
    <row r="131" spans="1:14" x14ac:dyDescent="0.6">
      <c r="A131" s="1370" t="s">
        <v>1454</v>
      </c>
      <c r="B131" s="13">
        <f>COUNT(B2:B128)</f>
        <v>77</v>
      </c>
      <c r="F131" s="720"/>
      <c r="G131" s="720"/>
      <c r="H131" s="720"/>
      <c r="I131" s="123"/>
      <c r="J131" s="123"/>
      <c r="L131" s="774"/>
      <c r="M131" s="1569"/>
      <c r="N131" s="123"/>
    </row>
    <row r="132" spans="1:14" x14ac:dyDescent="0.6">
      <c r="A132" s="1370" t="s">
        <v>1452</v>
      </c>
      <c r="B132" s="13">
        <f>COUNTBLANK(B2:B128)</f>
        <v>18</v>
      </c>
      <c r="F132" s="720"/>
      <c r="G132" s="720"/>
      <c r="H132" s="720"/>
      <c r="I132" s="123"/>
      <c r="J132" s="123"/>
      <c r="L132" s="774"/>
      <c r="M132" s="608"/>
      <c r="N132" s="123"/>
    </row>
    <row r="133" spans="1:14" x14ac:dyDescent="0.6">
      <c r="A133" s="1370" t="s">
        <v>1453</v>
      </c>
      <c r="B133" s="13">
        <v>29</v>
      </c>
      <c r="F133" s="720"/>
      <c r="G133" s="720"/>
      <c r="H133" s="720"/>
      <c r="I133" s="123"/>
      <c r="J133" s="123"/>
      <c r="L133" s="774"/>
      <c r="M133" s="608"/>
      <c r="N133" s="123"/>
    </row>
    <row r="134" spans="1:14" x14ac:dyDescent="0.6">
      <c r="A134" s="1370" t="s">
        <v>42</v>
      </c>
      <c r="B134" s="13">
        <f>SUM(B130:B132)</f>
        <v>127</v>
      </c>
      <c r="F134" s="720"/>
      <c r="G134" s="720"/>
      <c r="H134" s="720"/>
      <c r="I134" s="123"/>
      <c r="J134" s="123"/>
      <c r="L134" s="774"/>
      <c r="M134" s="608"/>
      <c r="N134" s="145"/>
    </row>
    <row r="135" spans="1:14" x14ac:dyDescent="0.6">
      <c r="A135" s="1370" t="s">
        <v>1456</v>
      </c>
      <c r="B135" s="13">
        <v>127</v>
      </c>
      <c r="F135" s="720"/>
      <c r="G135" s="720"/>
      <c r="H135" s="720"/>
      <c r="I135" s="123"/>
      <c r="J135" s="123"/>
      <c r="L135" s="614"/>
      <c r="M135" s="1570"/>
      <c r="N135" s="123"/>
    </row>
    <row r="136" spans="1:14" x14ac:dyDescent="0.6">
      <c r="A136" s="1370"/>
      <c r="B136" s="13"/>
      <c r="F136" s="720"/>
      <c r="G136" s="720"/>
      <c r="H136" s="720"/>
      <c r="I136" s="123"/>
      <c r="J136" s="123"/>
      <c r="L136" s="614"/>
      <c r="M136" s="611"/>
      <c r="N136" s="145"/>
    </row>
    <row r="137" spans="1:14" x14ac:dyDescent="0.6">
      <c r="A137" s="1370" t="s">
        <v>1455</v>
      </c>
      <c r="B137" s="13">
        <f>B131-B132</f>
        <v>59</v>
      </c>
      <c r="F137" s="720"/>
      <c r="G137" s="720"/>
      <c r="H137" s="720"/>
      <c r="I137" s="123"/>
      <c r="J137" s="123"/>
      <c r="L137" s="1326"/>
      <c r="M137" s="1571"/>
      <c r="N137" s="123"/>
    </row>
    <row r="138" spans="1:14" x14ac:dyDescent="0.6">
      <c r="A138" s="826" t="s">
        <v>804</v>
      </c>
      <c r="B138" s="13">
        <f>B130</f>
        <v>32</v>
      </c>
      <c r="F138" s="720"/>
      <c r="G138" s="720"/>
      <c r="H138" s="720"/>
      <c r="I138" s="123"/>
      <c r="J138" s="123"/>
      <c r="L138" s="1326"/>
      <c r="M138" s="615"/>
      <c r="N138" s="123"/>
    </row>
    <row r="139" spans="1:14" x14ac:dyDescent="0.6">
      <c r="A139" s="826" t="s">
        <v>42</v>
      </c>
      <c r="B139" s="13">
        <f>B138+B137</f>
        <v>91</v>
      </c>
      <c r="F139" s="720"/>
      <c r="G139" s="720"/>
      <c r="H139" s="720"/>
      <c r="I139" s="123"/>
      <c r="J139" s="123"/>
      <c r="L139" s="1326"/>
      <c r="M139" s="615"/>
      <c r="N139" s="123"/>
    </row>
    <row r="140" spans="1:14" x14ac:dyDescent="0.6">
      <c r="A140" s="826"/>
      <c r="B140" s="13"/>
      <c r="F140" s="720"/>
      <c r="G140" s="720"/>
      <c r="H140" s="720"/>
      <c r="I140" s="123"/>
      <c r="J140" s="123"/>
      <c r="L140" s="686"/>
      <c r="M140" s="595"/>
      <c r="N140" s="123"/>
    </row>
    <row r="141" spans="1:14" x14ac:dyDescent="0.6">
      <c r="A141" s="826" t="s">
        <v>1456</v>
      </c>
      <c r="B141" s="13">
        <f>B130+B131-B132</f>
        <v>91</v>
      </c>
      <c r="F141" s="720"/>
      <c r="G141" s="720"/>
      <c r="H141" s="720"/>
      <c r="I141" s="123"/>
      <c r="J141" s="123"/>
      <c r="L141" s="686"/>
      <c r="M141" s="599"/>
      <c r="N141" s="123"/>
    </row>
    <row r="142" spans="1:14" x14ac:dyDescent="0.6">
      <c r="F142" s="720"/>
      <c r="G142" s="720"/>
      <c r="H142" s="720"/>
      <c r="I142" s="123"/>
      <c r="J142" s="123"/>
      <c r="L142" s="686"/>
      <c r="M142" s="599"/>
      <c r="N142" s="123"/>
    </row>
    <row r="143" spans="1:14" x14ac:dyDescent="0.6">
      <c r="F143" s="720"/>
      <c r="G143" s="720"/>
      <c r="H143" s="720"/>
      <c r="I143" s="123"/>
      <c r="J143" s="123"/>
      <c r="L143" s="60"/>
      <c r="M143" s="85"/>
    </row>
    <row r="144" spans="1:14" x14ac:dyDescent="0.6">
      <c r="F144" s="720"/>
      <c r="G144" s="720"/>
      <c r="H144" s="720"/>
      <c r="I144" s="123"/>
      <c r="J144" s="123"/>
    </row>
    <row r="145" spans="6:13" x14ac:dyDescent="0.6">
      <c r="F145" s="720"/>
      <c r="G145" s="720"/>
      <c r="H145" s="720"/>
      <c r="I145" s="123"/>
      <c r="J145" s="123"/>
    </row>
    <row r="146" spans="6:13" x14ac:dyDescent="0.6">
      <c r="F146" s="720"/>
      <c r="G146" s="720"/>
      <c r="H146" s="720"/>
      <c r="I146" s="123"/>
      <c r="J146" s="123"/>
    </row>
    <row r="147" spans="6:13" x14ac:dyDescent="0.6">
      <c r="F147" s="720"/>
      <c r="G147" s="720"/>
      <c r="H147" s="720"/>
      <c r="I147" s="123"/>
      <c r="J147" s="123"/>
      <c r="L147" s="60"/>
      <c r="M147" s="1"/>
    </row>
    <row r="148" spans="6:13" x14ac:dyDescent="0.6">
      <c r="F148" s="720"/>
      <c r="G148" s="720"/>
      <c r="H148" s="720"/>
      <c r="I148" s="123"/>
      <c r="J148" s="123"/>
      <c r="L148" s="60"/>
      <c r="M148" s="1"/>
    </row>
    <row r="149" spans="6:13" x14ac:dyDescent="0.6">
      <c r="F149" s="720"/>
      <c r="G149" s="720"/>
      <c r="H149" s="720"/>
      <c r="I149" s="123"/>
      <c r="J149" s="123"/>
      <c r="L149" s="60"/>
      <c r="M149" s="1"/>
    </row>
    <row r="150" spans="6:13" x14ac:dyDescent="0.6">
      <c r="F150" s="720"/>
      <c r="G150" s="720"/>
      <c r="H150" s="720"/>
      <c r="I150" s="123"/>
      <c r="J150" s="123"/>
      <c r="L150" s="60"/>
      <c r="M150" s="1"/>
    </row>
    <row r="151" spans="6:13" x14ac:dyDescent="0.6">
      <c r="F151" s="720"/>
      <c r="G151" s="720"/>
      <c r="H151" s="720"/>
      <c r="I151" s="123"/>
      <c r="J151" s="123"/>
      <c r="L151" s="60"/>
      <c r="M151" s="1"/>
    </row>
    <row r="152" spans="6:13" x14ac:dyDescent="0.6">
      <c r="F152" s="720"/>
      <c r="G152" s="720"/>
      <c r="H152" s="720"/>
      <c r="I152" s="123"/>
      <c r="J152" s="123"/>
      <c r="L152" s="60"/>
      <c r="M152" s="1"/>
    </row>
    <row r="153" spans="6:13" x14ac:dyDescent="0.6">
      <c r="F153" s="720"/>
      <c r="G153" s="720"/>
      <c r="H153" s="720"/>
      <c r="I153" s="123"/>
      <c r="J153" s="123"/>
      <c r="L153" s="60"/>
      <c r="M153" s="1"/>
    </row>
    <row r="154" spans="6:13" x14ac:dyDescent="0.6">
      <c r="F154" s="720"/>
      <c r="G154" s="720"/>
      <c r="H154" s="720"/>
      <c r="I154" s="123"/>
      <c r="J154" s="123"/>
      <c r="L154" s="60"/>
      <c r="M154" s="1"/>
    </row>
    <row r="155" spans="6:13" x14ac:dyDescent="0.6">
      <c r="F155" s="720"/>
      <c r="G155" s="720"/>
      <c r="H155" s="720"/>
      <c r="I155" s="123"/>
      <c r="J155" s="123"/>
      <c r="L155" s="60"/>
      <c r="M155" s="1"/>
    </row>
    <row r="156" spans="6:13" x14ac:dyDescent="0.6">
      <c r="F156" s="720"/>
      <c r="G156" s="720"/>
      <c r="H156" s="720"/>
      <c r="I156" s="123"/>
      <c r="J156" s="123"/>
      <c r="L156" s="60"/>
      <c r="M156" s="1"/>
    </row>
    <row r="157" spans="6:13" x14ac:dyDescent="0.6">
      <c r="F157" s="720"/>
      <c r="G157" s="720"/>
      <c r="H157" s="720"/>
      <c r="I157" s="123"/>
      <c r="J157" s="123"/>
      <c r="L157" s="60"/>
      <c r="M157" s="1"/>
    </row>
    <row r="158" spans="6:13" x14ac:dyDescent="0.6">
      <c r="F158" s="720"/>
      <c r="G158" s="720"/>
      <c r="H158" s="720"/>
      <c r="I158" s="123"/>
      <c r="J158" s="123"/>
      <c r="L158" s="60"/>
      <c r="M158" s="1"/>
    </row>
    <row r="159" spans="6:13" x14ac:dyDescent="0.6">
      <c r="F159" s="720"/>
      <c r="G159" s="720"/>
      <c r="H159" s="720"/>
      <c r="I159" s="123"/>
      <c r="J159" s="123"/>
      <c r="L159" s="60"/>
      <c r="M159" s="1"/>
    </row>
    <row r="160" spans="6:13" x14ac:dyDescent="0.6">
      <c r="F160" s="720"/>
      <c r="G160" s="720"/>
      <c r="H160" s="720"/>
      <c r="I160" s="123"/>
      <c r="J160" s="123"/>
      <c r="L160" s="60"/>
      <c r="M160" s="1"/>
    </row>
    <row r="161" spans="6:13" x14ac:dyDescent="0.6">
      <c r="F161" s="720"/>
      <c r="G161" s="720"/>
      <c r="H161" s="720"/>
      <c r="I161" s="123"/>
      <c r="J161" s="123"/>
      <c r="L161" s="60"/>
      <c r="M161" s="1"/>
    </row>
    <row r="162" spans="6:13" x14ac:dyDescent="0.6">
      <c r="F162" s="720"/>
      <c r="G162" s="720"/>
      <c r="H162" s="720"/>
      <c r="I162" s="123"/>
      <c r="J162" s="123"/>
      <c r="L162" s="60"/>
      <c r="M162" s="1"/>
    </row>
    <row r="163" spans="6:13" x14ac:dyDescent="0.6">
      <c r="F163" s="720"/>
      <c r="G163" s="720"/>
      <c r="H163" s="720"/>
      <c r="I163" s="123"/>
      <c r="J163" s="123"/>
      <c r="L163" s="60"/>
      <c r="M163" s="1"/>
    </row>
    <row r="164" spans="6:13" x14ac:dyDescent="0.6">
      <c r="F164" s="720"/>
      <c r="G164" s="720"/>
      <c r="H164" s="720"/>
      <c r="I164" s="123"/>
      <c r="J164" s="123"/>
      <c r="L164" s="60"/>
      <c r="M164" s="1"/>
    </row>
    <row r="165" spans="6:13" x14ac:dyDescent="0.6">
      <c r="F165" s="720"/>
      <c r="G165" s="720"/>
      <c r="H165" s="720"/>
      <c r="I165" s="123"/>
      <c r="J165" s="123"/>
      <c r="L165" s="60"/>
      <c r="M165" s="1"/>
    </row>
    <row r="166" spans="6:13" x14ac:dyDescent="0.6">
      <c r="F166" s="720"/>
      <c r="G166" s="720"/>
      <c r="H166" s="720"/>
      <c r="I166" s="123"/>
      <c r="J166" s="123"/>
      <c r="L166" s="60"/>
      <c r="M166" s="1"/>
    </row>
    <row r="167" spans="6:13" x14ac:dyDescent="0.6">
      <c r="F167" s="720"/>
      <c r="G167" s="720"/>
      <c r="H167" s="720"/>
      <c r="I167" s="123"/>
      <c r="J167" s="123"/>
      <c r="L167" s="60"/>
      <c r="M167" s="1"/>
    </row>
    <row r="168" spans="6:13" x14ac:dyDescent="0.6">
      <c r="F168" s="720"/>
      <c r="G168" s="720"/>
      <c r="H168" s="720"/>
      <c r="I168" s="123"/>
      <c r="J168" s="123"/>
      <c r="L168" s="60"/>
      <c r="M168" s="1"/>
    </row>
    <row r="169" spans="6:13" x14ac:dyDescent="0.6">
      <c r="F169" s="720"/>
      <c r="G169" s="720"/>
      <c r="H169" s="720"/>
      <c r="I169" s="123"/>
      <c r="L169" s="60"/>
      <c r="M169" s="1"/>
    </row>
    <row r="170" spans="6:13" x14ac:dyDescent="0.6">
      <c r="F170" s="720"/>
      <c r="G170" s="720"/>
      <c r="H170" s="720"/>
      <c r="I170" s="123"/>
      <c r="L170" s="60"/>
      <c r="M170" s="1"/>
    </row>
    <row r="171" spans="6:13" x14ac:dyDescent="0.6">
      <c r="F171" s="720"/>
      <c r="G171" s="720"/>
      <c r="H171" s="720"/>
      <c r="I171" s="123"/>
      <c r="L171" s="60"/>
      <c r="M171" s="1"/>
    </row>
    <row r="172" spans="6:13" x14ac:dyDescent="0.6">
      <c r="F172" s="720"/>
      <c r="G172" s="720"/>
      <c r="H172" s="720"/>
      <c r="I172" s="123"/>
      <c r="L172" s="60"/>
      <c r="M172" s="1"/>
    </row>
    <row r="173" spans="6:13" x14ac:dyDescent="0.6">
      <c r="F173" s="720"/>
      <c r="G173" s="720"/>
      <c r="H173" s="720"/>
      <c r="I173" s="123"/>
      <c r="L173" s="60"/>
      <c r="M173" s="1"/>
    </row>
    <row r="174" spans="6:13" x14ac:dyDescent="0.6">
      <c r="F174" s="720"/>
      <c r="G174" s="720"/>
      <c r="H174" s="720"/>
      <c r="I174" s="123"/>
      <c r="L174" s="60"/>
      <c r="M174" s="1"/>
    </row>
    <row r="175" spans="6:13" x14ac:dyDescent="0.6">
      <c r="F175" s="720"/>
      <c r="G175" s="720"/>
      <c r="H175" s="720"/>
      <c r="I175" s="123"/>
      <c r="L175" s="60"/>
      <c r="M175" s="1"/>
    </row>
    <row r="176" spans="6:13" x14ac:dyDescent="0.6">
      <c r="F176" s="720"/>
      <c r="G176" s="720"/>
      <c r="H176" s="720"/>
      <c r="I176" s="123"/>
      <c r="L176" s="60"/>
      <c r="M176" s="1"/>
    </row>
    <row r="177" spans="6:13" x14ac:dyDescent="0.6">
      <c r="F177" s="720"/>
      <c r="G177" s="720"/>
      <c r="H177" s="720"/>
      <c r="I177" s="123"/>
      <c r="L177" s="60"/>
      <c r="M177" s="1"/>
    </row>
    <row r="178" spans="6:13" x14ac:dyDescent="0.6">
      <c r="F178" s="720"/>
      <c r="G178" s="720"/>
      <c r="H178" s="720"/>
      <c r="I178" s="123"/>
      <c r="L178" s="60"/>
      <c r="M178" s="1"/>
    </row>
    <row r="179" spans="6:13" x14ac:dyDescent="0.6">
      <c r="F179" s="720"/>
      <c r="G179" s="720"/>
      <c r="H179" s="720"/>
      <c r="I179" s="123"/>
      <c r="L179" s="60"/>
      <c r="M179" s="1"/>
    </row>
    <row r="180" spans="6:13" x14ac:dyDescent="0.6">
      <c r="F180" s="720"/>
      <c r="G180" s="720"/>
      <c r="H180" s="720"/>
      <c r="I180" s="123"/>
      <c r="L180" s="60"/>
      <c r="M180" s="1"/>
    </row>
    <row r="181" spans="6:13" x14ac:dyDescent="0.6">
      <c r="F181" s="720"/>
      <c r="G181" s="720"/>
      <c r="H181" s="720"/>
      <c r="I181" s="123"/>
      <c r="L181" s="60"/>
      <c r="M181" s="1"/>
    </row>
    <row r="182" spans="6:13" x14ac:dyDescent="0.6">
      <c r="F182" s="720"/>
      <c r="G182" s="720"/>
      <c r="H182" s="720"/>
      <c r="I182" s="123"/>
      <c r="L182" s="60"/>
      <c r="M182" s="1"/>
    </row>
    <row r="183" spans="6:13" x14ac:dyDescent="0.6">
      <c r="F183" s="720"/>
      <c r="G183" s="720"/>
      <c r="H183" s="720"/>
      <c r="I183" s="123"/>
      <c r="L183" s="60"/>
      <c r="M183" s="1"/>
    </row>
    <row r="184" spans="6:13" x14ac:dyDescent="0.6">
      <c r="F184" s="720"/>
      <c r="G184" s="720"/>
      <c r="H184" s="720"/>
      <c r="I184" s="123"/>
      <c r="L184" s="60"/>
      <c r="M184" s="1"/>
    </row>
    <row r="185" spans="6:13" x14ac:dyDescent="0.6">
      <c r="F185" s="720"/>
      <c r="G185" s="720"/>
      <c r="H185" s="720"/>
      <c r="I185" s="123"/>
      <c r="L185" s="60"/>
      <c r="M185" s="1"/>
    </row>
    <row r="186" spans="6:13" x14ac:dyDescent="0.6">
      <c r="F186" s="720"/>
      <c r="G186" s="720"/>
      <c r="H186" s="720"/>
      <c r="I186" s="123"/>
      <c r="L186" s="60"/>
      <c r="M186" s="1"/>
    </row>
    <row r="187" spans="6:13" x14ac:dyDescent="0.6">
      <c r="F187" s="720"/>
      <c r="G187" s="720"/>
      <c r="H187" s="720"/>
      <c r="I187" s="123"/>
      <c r="L187" s="60"/>
      <c r="M187" s="1"/>
    </row>
    <row r="188" spans="6:13" x14ac:dyDescent="0.6">
      <c r="F188" s="720"/>
      <c r="G188" s="720"/>
      <c r="H188" s="720"/>
      <c r="I188" s="123"/>
      <c r="L188" s="60"/>
      <c r="M188" s="1"/>
    </row>
    <row r="189" spans="6:13" x14ac:dyDescent="0.6">
      <c r="F189" s="720"/>
      <c r="G189" s="720"/>
      <c r="H189" s="720"/>
      <c r="I189" s="123"/>
      <c r="L189" s="60"/>
      <c r="M189" s="1"/>
    </row>
    <row r="190" spans="6:13" x14ac:dyDescent="0.6">
      <c r="F190" s="720"/>
      <c r="G190" s="720"/>
      <c r="H190" s="720"/>
      <c r="I190" s="123"/>
      <c r="L190" s="60"/>
      <c r="M190" s="1"/>
    </row>
    <row r="191" spans="6:13" x14ac:dyDescent="0.6">
      <c r="F191" s="720"/>
      <c r="G191" s="720"/>
      <c r="H191" s="720"/>
      <c r="I191" s="123"/>
      <c r="L191" s="60"/>
      <c r="M191" s="1"/>
    </row>
    <row r="192" spans="6:13" x14ac:dyDescent="0.6">
      <c r="F192" s="720"/>
      <c r="G192" s="720"/>
      <c r="H192" s="720"/>
      <c r="I192" s="123"/>
      <c r="L192" s="60"/>
      <c r="M192" s="1"/>
    </row>
    <row r="193" spans="6:13" x14ac:dyDescent="0.6">
      <c r="F193" s="720"/>
      <c r="G193" s="720"/>
      <c r="H193" s="720"/>
      <c r="I193" s="123"/>
      <c r="L193" s="60"/>
      <c r="M193" s="1"/>
    </row>
    <row r="194" spans="6:13" x14ac:dyDescent="0.6">
      <c r="F194" s="720"/>
      <c r="G194" s="720"/>
      <c r="H194" s="720"/>
      <c r="I194" s="123"/>
      <c r="L194" s="60"/>
      <c r="M194" s="1"/>
    </row>
    <row r="195" spans="6:13" x14ac:dyDescent="0.6">
      <c r="F195" s="720"/>
      <c r="G195" s="720"/>
      <c r="H195" s="720"/>
      <c r="I195" s="123"/>
      <c r="L195" s="60"/>
      <c r="M195" s="1"/>
    </row>
    <row r="196" spans="6:13" x14ac:dyDescent="0.6">
      <c r="F196" s="720"/>
      <c r="G196" s="720"/>
      <c r="H196" s="720"/>
      <c r="I196" s="123"/>
      <c r="L196" s="60"/>
      <c r="M196" s="1"/>
    </row>
    <row r="197" spans="6:13" x14ac:dyDescent="0.6">
      <c r="F197" s="720"/>
      <c r="G197" s="720"/>
      <c r="H197" s="720"/>
      <c r="I197" s="123"/>
      <c r="L197" s="60"/>
      <c r="M197" s="1"/>
    </row>
    <row r="198" spans="6:13" x14ac:dyDescent="0.6">
      <c r="F198" s="720"/>
      <c r="G198" s="720"/>
      <c r="H198" s="720"/>
      <c r="I198" s="123"/>
      <c r="J198" s="123"/>
      <c r="L198" s="60"/>
      <c r="M198" s="1"/>
    </row>
    <row r="199" spans="6:13" x14ac:dyDescent="0.6">
      <c r="F199" s="720"/>
      <c r="G199" s="720"/>
      <c r="H199" s="720"/>
      <c r="I199" s="123"/>
      <c r="J199" s="123"/>
      <c r="L199" s="60"/>
      <c r="M199" s="1"/>
    </row>
    <row r="200" spans="6:13" x14ac:dyDescent="0.6">
      <c r="F200" s="720"/>
      <c r="G200" s="720"/>
      <c r="H200" s="720"/>
      <c r="I200" s="123"/>
      <c r="J200" s="123"/>
      <c r="L200" s="60"/>
      <c r="M200" s="1"/>
    </row>
    <row r="201" spans="6:13" x14ac:dyDescent="0.6">
      <c r="F201" s="720"/>
      <c r="G201" s="720"/>
      <c r="H201" s="720"/>
      <c r="I201" s="123"/>
      <c r="J201" s="123"/>
      <c r="L201" s="60"/>
      <c r="M201" s="1"/>
    </row>
    <row r="202" spans="6:13" x14ac:dyDescent="0.6">
      <c r="F202" s="720"/>
      <c r="G202" s="720"/>
      <c r="H202" s="720"/>
      <c r="I202" s="123"/>
      <c r="J202" s="145"/>
      <c r="L202" s="60"/>
      <c r="M202" s="1"/>
    </row>
    <row r="203" spans="6:13" x14ac:dyDescent="0.6">
      <c r="F203" s="720"/>
      <c r="G203" s="720"/>
      <c r="H203" s="720"/>
      <c r="I203" s="123"/>
      <c r="J203" s="123"/>
      <c r="L203" s="60"/>
      <c r="M203" s="1"/>
    </row>
    <row r="204" spans="6:13" x14ac:dyDescent="0.6">
      <c r="F204" s="720"/>
      <c r="G204" s="720"/>
      <c r="H204" s="720"/>
      <c r="I204" s="123"/>
      <c r="J204" s="123"/>
      <c r="L204" s="60"/>
      <c r="M204" s="1"/>
    </row>
    <row r="205" spans="6:13" x14ac:dyDescent="0.6">
      <c r="F205" s="720"/>
      <c r="G205" s="720"/>
      <c r="H205" s="720"/>
      <c r="I205" s="123"/>
      <c r="J205" s="123"/>
      <c r="L205" s="60"/>
      <c r="M205" s="1"/>
    </row>
    <row r="206" spans="6:13" x14ac:dyDescent="0.6">
      <c r="F206" s="720"/>
      <c r="G206" s="720"/>
      <c r="H206" s="720"/>
      <c r="I206" s="697"/>
      <c r="J206" s="697"/>
      <c r="L206" s="60"/>
      <c r="M206" s="1"/>
    </row>
    <row r="207" spans="6:13" x14ac:dyDescent="0.6">
      <c r="F207" s="720"/>
      <c r="G207" s="720"/>
      <c r="H207" s="720"/>
      <c r="I207" s="697"/>
      <c r="J207" s="697"/>
      <c r="L207" s="60"/>
      <c r="M207" s="1"/>
    </row>
    <row r="208" spans="6:13" x14ac:dyDescent="0.6">
      <c r="F208" s="720"/>
      <c r="G208" s="720"/>
      <c r="H208" s="720"/>
      <c r="I208" s="697"/>
      <c r="J208" s="697"/>
      <c r="L208" s="60"/>
      <c r="M208" s="1"/>
    </row>
    <row r="209" spans="6:13" x14ac:dyDescent="0.6">
      <c r="F209" s="720"/>
      <c r="G209" s="720"/>
      <c r="H209" s="720"/>
      <c r="I209" s="697"/>
      <c r="J209" s="697"/>
      <c r="L209" s="60"/>
      <c r="M209" s="1"/>
    </row>
    <row r="210" spans="6:13" x14ac:dyDescent="0.6">
      <c r="F210" s="720"/>
      <c r="G210" s="720"/>
      <c r="H210" s="720"/>
      <c r="I210" s="697"/>
      <c r="J210" s="697"/>
      <c r="L210" s="60"/>
      <c r="M210" s="1"/>
    </row>
    <row r="211" spans="6:13" x14ac:dyDescent="0.6">
      <c r="F211" s="720"/>
      <c r="G211" s="720"/>
      <c r="H211" s="720"/>
      <c r="I211" s="697"/>
      <c r="J211" s="697"/>
      <c r="L211" s="60"/>
      <c r="M211" s="1"/>
    </row>
    <row r="212" spans="6:13" x14ac:dyDescent="0.6">
      <c r="F212" s="720"/>
      <c r="G212" s="720"/>
      <c r="H212" s="720"/>
      <c r="I212" s="697"/>
      <c r="J212" s="697"/>
      <c r="L212" s="60"/>
      <c r="M212" s="1"/>
    </row>
    <row r="213" spans="6:13" x14ac:dyDescent="0.6">
      <c r="F213" s="720"/>
      <c r="G213" s="720"/>
      <c r="H213" s="720"/>
      <c r="I213" s="697"/>
      <c r="J213" s="697"/>
      <c r="L213" s="60"/>
      <c r="M213" s="1"/>
    </row>
    <row r="214" spans="6:13" x14ac:dyDescent="0.6">
      <c r="F214" s="720"/>
      <c r="G214" s="720"/>
      <c r="H214" s="720"/>
      <c r="I214" s="697"/>
      <c r="J214" s="697"/>
      <c r="L214" s="60"/>
      <c r="M214" s="1"/>
    </row>
    <row r="215" spans="6:13" x14ac:dyDescent="0.6">
      <c r="F215" s="720"/>
      <c r="G215" s="720"/>
      <c r="H215" s="720"/>
      <c r="I215" s="123"/>
      <c r="J215" s="123"/>
      <c r="L215" s="60"/>
      <c r="M215" s="1"/>
    </row>
    <row r="216" spans="6:13" x14ac:dyDescent="0.6">
      <c r="F216" s="720"/>
      <c r="G216" s="720"/>
      <c r="H216" s="720"/>
      <c r="I216" s="123"/>
      <c r="J216" s="123"/>
      <c r="L216" s="60"/>
      <c r="M216" s="1"/>
    </row>
    <row r="217" spans="6:13" x14ac:dyDescent="0.6">
      <c r="F217" s="720"/>
      <c r="G217" s="720"/>
      <c r="H217" s="720"/>
      <c r="I217" s="70"/>
      <c r="J217" s="70"/>
      <c r="L217" s="60"/>
      <c r="M217" s="1"/>
    </row>
    <row r="218" spans="6:13" x14ac:dyDescent="0.6">
      <c r="F218" s="720"/>
      <c r="G218" s="720"/>
      <c r="H218" s="720"/>
      <c r="I218" s="704"/>
      <c r="J218" s="704"/>
      <c r="L218" s="60"/>
      <c r="M218" s="1"/>
    </row>
    <row r="219" spans="6:13" x14ac:dyDescent="0.6">
      <c r="F219" s="720"/>
      <c r="G219" s="720"/>
      <c r="H219" s="720"/>
      <c r="I219" s="704"/>
      <c r="J219" s="704"/>
      <c r="L219" s="60"/>
      <c r="M219" s="1"/>
    </row>
    <row r="220" spans="6:13" x14ac:dyDescent="0.6">
      <c r="F220" s="720"/>
      <c r="G220" s="720"/>
      <c r="H220" s="720"/>
      <c r="I220" s="704"/>
      <c r="J220" s="704"/>
      <c r="L220" s="60"/>
      <c r="M220" s="1"/>
    </row>
    <row r="221" spans="6:13" x14ac:dyDescent="0.6">
      <c r="F221" s="720"/>
      <c r="G221" s="720"/>
      <c r="H221" s="720"/>
      <c r="I221" s="704"/>
      <c r="J221" s="704"/>
      <c r="L221" s="60"/>
      <c r="M221" s="1"/>
    </row>
    <row r="222" spans="6:13" x14ac:dyDescent="0.6">
      <c r="F222" s="720"/>
      <c r="G222" s="720"/>
      <c r="H222" s="720"/>
      <c r="I222" s="704"/>
      <c r="J222" s="704"/>
      <c r="L222" s="60"/>
      <c r="M222" s="1"/>
    </row>
    <row r="223" spans="6:13" x14ac:dyDescent="0.6">
      <c r="F223" s="720"/>
      <c r="G223" s="720"/>
      <c r="H223" s="720"/>
      <c r="I223" s="704"/>
      <c r="J223" s="704"/>
      <c r="L223" s="60"/>
      <c r="M223" s="1"/>
    </row>
    <row r="224" spans="6:13" x14ac:dyDescent="0.6">
      <c r="F224" s="720"/>
      <c r="G224" s="720"/>
      <c r="H224" s="720"/>
      <c r="I224" s="704"/>
      <c r="J224" s="704"/>
      <c r="L224" s="60"/>
      <c r="M224" s="1"/>
    </row>
    <row r="225" spans="6:13" x14ac:dyDescent="0.6">
      <c r="F225" s="720"/>
      <c r="G225" s="720"/>
      <c r="H225" s="720"/>
      <c r="I225" s="704"/>
      <c r="J225" s="704"/>
      <c r="L225" s="60"/>
      <c r="M225" s="1"/>
    </row>
    <row r="226" spans="6:13" x14ac:dyDescent="0.6">
      <c r="F226" s="720"/>
      <c r="G226" s="720"/>
      <c r="H226" s="720"/>
      <c r="I226" s="123"/>
      <c r="J226" s="123"/>
      <c r="L226" s="60"/>
      <c r="M226" s="1"/>
    </row>
    <row r="227" spans="6:13" x14ac:dyDescent="0.6">
      <c r="F227" s="720"/>
      <c r="G227" s="720"/>
      <c r="H227" s="720"/>
      <c r="I227" s="123"/>
      <c r="J227" s="123"/>
      <c r="L227" s="60"/>
      <c r="M227" s="1"/>
    </row>
    <row r="228" spans="6:13" x14ac:dyDescent="0.6">
      <c r="F228" s="720"/>
      <c r="G228" s="720"/>
      <c r="H228" s="720"/>
      <c r="I228" s="123"/>
      <c r="J228" s="123"/>
    </row>
    <row r="229" spans="6:13" x14ac:dyDescent="0.6">
      <c r="F229" s="720"/>
      <c r="G229" s="720"/>
      <c r="H229" s="720"/>
      <c r="I229" s="123"/>
      <c r="J229" s="123"/>
    </row>
    <row r="230" spans="6:13" x14ac:dyDescent="0.6">
      <c r="F230" s="720"/>
      <c r="G230" s="720"/>
      <c r="H230" s="720"/>
      <c r="I230" s="123"/>
      <c r="J230" s="123"/>
    </row>
    <row r="231" spans="6:13" x14ac:dyDescent="0.6">
      <c r="F231" s="720"/>
      <c r="G231" s="720"/>
      <c r="H231" s="720"/>
      <c r="I231" s="123"/>
      <c r="J231" s="123"/>
    </row>
    <row r="232" spans="6:13" x14ac:dyDescent="0.6">
      <c r="F232" s="720"/>
      <c r="G232" s="720"/>
      <c r="H232" s="720"/>
      <c r="I232" s="123"/>
      <c r="J232" s="123"/>
    </row>
    <row r="233" spans="6:13" x14ac:dyDescent="0.6">
      <c r="F233" s="720"/>
      <c r="G233" s="720"/>
      <c r="H233" s="720"/>
      <c r="I233" s="123"/>
      <c r="J233" s="123"/>
    </row>
    <row r="234" spans="6:13" x14ac:dyDescent="0.6">
      <c r="F234" s="720"/>
      <c r="G234" s="720"/>
      <c r="H234" s="720"/>
      <c r="I234" s="123"/>
      <c r="J234" s="123"/>
    </row>
    <row r="235" spans="6:13" x14ac:dyDescent="0.6">
      <c r="F235" s="720"/>
      <c r="G235" s="720"/>
      <c r="H235" s="720"/>
      <c r="I235" s="123"/>
      <c r="J235" s="123"/>
    </row>
    <row r="236" spans="6:13" x14ac:dyDescent="0.6">
      <c r="F236" s="720"/>
      <c r="G236" s="720"/>
      <c r="H236" s="720"/>
      <c r="I236" s="123"/>
      <c r="J236" s="123"/>
    </row>
    <row r="237" spans="6:13" x14ac:dyDescent="0.6">
      <c r="F237" s="720"/>
      <c r="G237" s="720"/>
      <c r="H237" s="720"/>
      <c r="I237" s="123"/>
      <c r="J237" s="123"/>
    </row>
    <row r="238" spans="6:13" x14ac:dyDescent="0.6">
      <c r="F238" s="720"/>
      <c r="G238" s="720"/>
      <c r="H238" s="720"/>
      <c r="I238" s="123"/>
      <c r="J238" s="123"/>
    </row>
    <row r="239" spans="6:13" x14ac:dyDescent="0.6">
      <c r="F239" s="720"/>
      <c r="G239" s="720"/>
      <c r="H239" s="720"/>
      <c r="I239" s="123"/>
      <c r="J239" s="123"/>
    </row>
    <row r="240" spans="6:13" x14ac:dyDescent="0.6">
      <c r="F240" s="720"/>
      <c r="G240" s="720"/>
      <c r="H240" s="720"/>
      <c r="I240" s="145"/>
      <c r="J240" s="145"/>
    </row>
    <row r="241" spans="6:10" x14ac:dyDescent="0.6">
      <c r="F241" s="720"/>
      <c r="G241" s="720"/>
      <c r="H241" s="720"/>
      <c r="I241" s="123"/>
      <c r="J241" s="123"/>
    </row>
    <row r="242" spans="6:10" x14ac:dyDescent="0.6">
      <c r="F242" s="720"/>
      <c r="G242" s="720"/>
      <c r="H242" s="720"/>
      <c r="I242" s="123"/>
      <c r="J242" s="123"/>
    </row>
    <row r="243" spans="6:10" x14ac:dyDescent="0.6">
      <c r="F243" s="720"/>
      <c r="G243" s="720"/>
      <c r="H243" s="720"/>
      <c r="I243" s="123"/>
      <c r="J243" s="123"/>
    </row>
    <row r="244" spans="6:10" x14ac:dyDescent="0.6">
      <c r="F244" s="720"/>
      <c r="G244" s="720"/>
      <c r="H244" s="720"/>
      <c r="I244" s="123"/>
      <c r="J244" s="123"/>
    </row>
    <row r="245" spans="6:10" x14ac:dyDescent="0.6">
      <c r="F245" s="720"/>
      <c r="G245" s="720"/>
      <c r="H245" s="720"/>
      <c r="I245" s="145"/>
      <c r="J245" s="145"/>
    </row>
    <row r="246" spans="6:10" x14ac:dyDescent="0.6">
      <c r="F246" s="720"/>
      <c r="G246" s="720"/>
      <c r="H246" s="720"/>
      <c r="I246" s="123"/>
      <c r="J246" s="123"/>
    </row>
    <row r="247" spans="6:10" x14ac:dyDescent="0.6">
      <c r="F247" s="720"/>
      <c r="G247" s="720"/>
      <c r="H247" s="720"/>
      <c r="I247" s="123"/>
      <c r="J247" s="123"/>
    </row>
    <row r="248" spans="6:10" x14ac:dyDescent="0.6">
      <c r="F248" s="720"/>
      <c r="G248" s="720"/>
      <c r="H248" s="720"/>
      <c r="I248" s="123"/>
      <c r="J248" s="123"/>
    </row>
    <row r="249" spans="6:10" x14ac:dyDescent="0.6">
      <c r="F249" s="720"/>
      <c r="G249" s="720"/>
      <c r="H249" s="720"/>
      <c r="I249" s="123"/>
      <c r="J249" s="123"/>
    </row>
    <row r="250" spans="6:10" x14ac:dyDescent="0.6">
      <c r="F250" s="720"/>
      <c r="G250" s="720"/>
      <c r="H250" s="720"/>
      <c r="I250" s="123"/>
      <c r="J250" s="123"/>
    </row>
    <row r="251" spans="6:10" x14ac:dyDescent="0.6">
      <c r="F251" s="720"/>
      <c r="G251" s="720"/>
      <c r="H251" s="720"/>
      <c r="I251" s="123"/>
      <c r="J251" s="123"/>
    </row>
    <row r="252" spans="6:10" x14ac:dyDescent="0.6">
      <c r="F252" s="720"/>
      <c r="G252" s="720"/>
      <c r="H252" s="720"/>
      <c r="I252" s="123"/>
      <c r="J252" s="123"/>
    </row>
    <row r="253" spans="6:10" x14ac:dyDescent="0.6">
      <c r="F253" s="720"/>
      <c r="G253" s="720"/>
      <c r="H253" s="720"/>
      <c r="I253" s="710"/>
      <c r="J253" s="710"/>
    </row>
    <row r="254" spans="6:10" x14ac:dyDescent="0.6">
      <c r="F254" s="720"/>
      <c r="G254" s="720"/>
      <c r="H254" s="720"/>
      <c r="I254" s="710"/>
      <c r="J254" s="710"/>
    </row>
    <row r="255" spans="6:10" x14ac:dyDescent="0.6">
      <c r="F255" s="720"/>
      <c r="G255" s="720"/>
      <c r="H255" s="720"/>
      <c r="I255" s="710"/>
      <c r="J255" s="710"/>
    </row>
    <row r="256" spans="6:10" x14ac:dyDescent="0.6">
      <c r="F256" s="720"/>
      <c r="G256" s="720"/>
      <c r="H256" s="720"/>
      <c r="I256" s="710"/>
      <c r="J256" s="710"/>
    </row>
    <row r="257" spans="6:10" x14ac:dyDescent="0.6">
      <c r="F257" s="720"/>
      <c r="G257" s="720"/>
      <c r="H257" s="720"/>
      <c r="I257" s="710"/>
      <c r="J257" s="710"/>
    </row>
    <row r="258" spans="6:10" x14ac:dyDescent="0.6">
      <c r="F258" s="720"/>
      <c r="G258" s="720"/>
      <c r="H258" s="720"/>
      <c r="I258" s="710"/>
      <c r="J258" s="710"/>
    </row>
    <row r="259" spans="6:10" x14ac:dyDescent="0.6">
      <c r="F259" s="720"/>
      <c r="G259" s="720"/>
      <c r="H259" s="720"/>
      <c r="I259" s="710"/>
      <c r="J259" s="710"/>
    </row>
    <row r="260" spans="6:10" x14ac:dyDescent="0.6">
      <c r="F260" s="720"/>
      <c r="G260" s="720"/>
      <c r="H260" s="720"/>
      <c r="I260" s="710"/>
      <c r="J260" s="710"/>
    </row>
    <row r="261" spans="6:10" x14ac:dyDescent="0.6">
      <c r="F261" s="720"/>
      <c r="G261" s="720"/>
      <c r="H261" s="720"/>
      <c r="I261" s="710"/>
      <c r="J261" s="710"/>
    </row>
    <row r="262" spans="6:10" x14ac:dyDescent="0.6">
      <c r="F262" s="720"/>
      <c r="G262" s="720"/>
      <c r="H262" s="720"/>
      <c r="I262" s="710"/>
      <c r="J262" s="710"/>
    </row>
    <row r="263" spans="6:10" x14ac:dyDescent="0.6">
      <c r="F263" s="720"/>
      <c r="G263" s="720"/>
      <c r="H263" s="720"/>
      <c r="I263" s="710"/>
      <c r="J263" s="710"/>
    </row>
    <row r="264" spans="6:10" x14ac:dyDescent="0.6">
      <c r="F264" s="720"/>
      <c r="G264" s="720"/>
      <c r="H264" s="720"/>
      <c r="I264" s="710"/>
      <c r="J264" s="710"/>
    </row>
    <row r="265" spans="6:10" x14ac:dyDescent="0.6">
      <c r="F265" s="720"/>
      <c r="G265" s="720"/>
      <c r="H265" s="720"/>
      <c r="I265" s="711"/>
      <c r="J265" s="711"/>
    </row>
    <row r="266" spans="6:10" x14ac:dyDescent="0.6">
      <c r="F266" s="720"/>
      <c r="G266" s="720"/>
      <c r="H266" s="720"/>
      <c r="I266" s="711"/>
      <c r="J266" s="711"/>
    </row>
    <row r="267" spans="6:10" x14ac:dyDescent="0.6">
      <c r="F267" s="720"/>
      <c r="G267" s="720"/>
      <c r="H267" s="720"/>
      <c r="I267" s="711"/>
      <c r="J267" s="711"/>
    </row>
    <row r="268" spans="6:10" x14ac:dyDescent="0.6">
      <c r="F268" s="720"/>
      <c r="G268" s="720"/>
      <c r="H268" s="720"/>
      <c r="I268" s="711"/>
      <c r="J268" s="711"/>
    </row>
    <row r="269" spans="6:10" x14ac:dyDescent="0.6">
      <c r="F269" s="720"/>
      <c r="G269" s="720"/>
      <c r="H269" s="720"/>
      <c r="I269" s="711"/>
      <c r="J269" s="711"/>
    </row>
    <row r="270" spans="6:10" x14ac:dyDescent="0.6">
      <c r="F270" s="720"/>
      <c r="G270" s="720"/>
      <c r="H270" s="720"/>
      <c r="I270" s="711"/>
      <c r="J270" s="711"/>
    </row>
    <row r="271" spans="6:10" x14ac:dyDescent="0.6">
      <c r="I271" s="710"/>
      <c r="J271" s="710"/>
    </row>
    <row r="272" spans="6:10" x14ac:dyDescent="0.6">
      <c r="I272" s="710"/>
      <c r="J272" s="710"/>
    </row>
    <row r="273" spans="9:10" x14ac:dyDescent="0.6">
      <c r="I273" s="710"/>
      <c r="J273" s="710"/>
    </row>
    <row r="274" spans="9:10" x14ac:dyDescent="0.6">
      <c r="I274" s="710"/>
      <c r="J274" s="710"/>
    </row>
    <row r="275" spans="9:10" x14ac:dyDescent="0.6">
      <c r="I275" s="710"/>
      <c r="J275" s="710"/>
    </row>
    <row r="276" spans="9:10" x14ac:dyDescent="0.6">
      <c r="I276" s="710"/>
      <c r="J276" s="710"/>
    </row>
    <row r="277" spans="9:10" x14ac:dyDescent="0.6">
      <c r="I277" s="710"/>
      <c r="J277" s="710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227"/>
  <sheetViews>
    <sheetView showGridLines="0" showZeros="0" zoomScale="115" zoomScaleNormal="115" zoomScalePageLayoutView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" defaultRowHeight="15.6" x14ac:dyDescent="0.6"/>
  <cols>
    <col min="1" max="1" width="90.5" style="1320" customWidth="1"/>
    <col min="2" max="2" width="17" bestFit="1" customWidth="1"/>
    <col min="3" max="3" width="16.09765625" customWidth="1"/>
    <col min="4" max="4" width="8.09765625" style="114" bestFit="1" customWidth="1"/>
    <col min="5" max="5" width="15" style="70" customWidth="1"/>
    <col min="6" max="6" width="10.84765625" style="1"/>
  </cols>
  <sheetData>
    <row r="1" spans="1:6" s="1" customFormat="1" x14ac:dyDescent="0.6">
      <c r="A1" s="78" t="s">
        <v>765</v>
      </c>
      <c r="B1" s="109" t="s">
        <v>237</v>
      </c>
      <c r="C1" s="165" t="s">
        <v>239</v>
      </c>
      <c r="D1" s="114"/>
      <c r="E1" s="70"/>
    </row>
    <row r="2" spans="1:6" s="192" customFormat="1" x14ac:dyDescent="0.6">
      <c r="A2" s="78" t="s">
        <v>37</v>
      </c>
      <c r="B2" s="742">
        <f>SUM(B3:B7)</f>
        <v>7877691</v>
      </c>
      <c r="C2" s="743">
        <f>SUM(C3:C7)</f>
        <v>0</v>
      </c>
      <c r="D2" s="838" t="s">
        <v>1731</v>
      </c>
      <c r="E2" s="1477"/>
      <c r="F2" s="1"/>
    </row>
    <row r="3" spans="1:6" s="1" customFormat="1" x14ac:dyDescent="0.6">
      <c r="A3" s="1" t="s">
        <v>245</v>
      </c>
      <c r="B3" s="70">
        <v>7714956</v>
      </c>
      <c r="C3" s="607"/>
      <c r="D3" s="838"/>
      <c r="E3" s="1594" t="s">
        <v>37</v>
      </c>
    </row>
    <row r="4" spans="1:6" s="1" customFormat="1" x14ac:dyDescent="0.6">
      <c r="A4" s="1" t="s">
        <v>1153</v>
      </c>
      <c r="B4" s="70">
        <v>15035</v>
      </c>
      <c r="C4" s="607"/>
      <c r="D4" s="838" t="s">
        <v>769</v>
      </c>
      <c r="E4" s="593" t="s">
        <v>42</v>
      </c>
      <c r="F4" s="1">
        <f>7-2</f>
        <v>5</v>
      </c>
    </row>
    <row r="5" spans="1:6" s="1" customFormat="1" x14ac:dyDescent="0.6">
      <c r="A5" s="1" t="s">
        <v>1238</v>
      </c>
      <c r="B5" s="114" t="s">
        <v>804</v>
      </c>
      <c r="C5" s="607"/>
      <c r="D5" s="838" t="s">
        <v>769</v>
      </c>
      <c r="E5" s="593" t="s">
        <v>802</v>
      </c>
      <c r="F5" s="1">
        <v>2</v>
      </c>
    </row>
    <row r="6" spans="1:6" s="1" customFormat="1" x14ac:dyDescent="0.6">
      <c r="A6" s="1" t="s">
        <v>1239</v>
      </c>
      <c r="B6" s="114" t="s">
        <v>804</v>
      </c>
      <c r="C6" s="607"/>
      <c r="D6" s="838" t="s">
        <v>769</v>
      </c>
      <c r="E6" s="593" t="s">
        <v>1732</v>
      </c>
      <c r="F6" s="1">
        <f>COUNTIF(D3:D8,"x")</f>
        <v>4</v>
      </c>
    </row>
    <row r="7" spans="1:6" s="1" customFormat="1" ht="15.9" thickBot="1" x14ac:dyDescent="0.65">
      <c r="A7" s="16" t="s">
        <v>1227</v>
      </c>
      <c r="B7" s="594">
        <v>147700</v>
      </c>
      <c r="C7" s="651"/>
      <c r="D7" s="1593" t="s">
        <v>769</v>
      </c>
      <c r="E7" s="108" t="s">
        <v>239</v>
      </c>
      <c r="F7" s="16">
        <f>COUNT(C3:C7)</f>
        <v>0</v>
      </c>
    </row>
    <row r="8" spans="1:6" s="1" customFormat="1" ht="15.9" thickTop="1" x14ac:dyDescent="0.6">
      <c r="A8" s="78" t="s">
        <v>0</v>
      </c>
      <c r="B8" s="723">
        <f>SUM(B9:B9)</f>
        <v>0</v>
      </c>
      <c r="C8" s="724">
        <f>SUM(C9:C9)</f>
        <v>0</v>
      </c>
      <c r="D8" s="838"/>
    </row>
    <row r="9" spans="1:6" s="85" customFormat="1" ht="15.9" thickBot="1" x14ac:dyDescent="0.65">
      <c r="A9" s="16" t="s">
        <v>704</v>
      </c>
      <c r="B9" s="598" t="s">
        <v>804</v>
      </c>
      <c r="C9" s="131"/>
      <c r="D9" s="838" t="s">
        <v>769</v>
      </c>
      <c r="E9" s="1594" t="s">
        <v>1739</v>
      </c>
      <c r="F9" s="69"/>
    </row>
    <row r="10" spans="1:6" s="1" customFormat="1" ht="15.9" thickTop="1" x14ac:dyDescent="0.6">
      <c r="A10" s="78" t="s">
        <v>1</v>
      </c>
      <c r="B10" s="744">
        <f>SUM(B11:B11)</f>
        <v>0</v>
      </c>
      <c r="C10" s="745">
        <f>SUM(C11:C11)</f>
        <v>0</v>
      </c>
      <c r="D10" s="838"/>
      <c r="E10" s="593" t="s">
        <v>42</v>
      </c>
      <c r="F10" s="1">
        <v>79</v>
      </c>
    </row>
    <row r="11" spans="1:6" s="85" customFormat="1" ht="15.9" thickBot="1" x14ac:dyDescent="0.65">
      <c r="A11" s="16"/>
      <c r="B11" s="126"/>
      <c r="C11" s="133"/>
      <c r="D11" s="838"/>
      <c r="E11" s="593" t="s">
        <v>802</v>
      </c>
      <c r="F11" s="1">
        <f>COUNTIF(B8:B124,"ND")</f>
        <v>30</v>
      </c>
    </row>
    <row r="12" spans="1:6" s="192" customFormat="1" ht="15.9" thickTop="1" x14ac:dyDescent="0.6">
      <c r="A12" s="78" t="s">
        <v>2</v>
      </c>
      <c r="B12" s="746">
        <f>SUM(B13:B14)</f>
        <v>0</v>
      </c>
      <c r="C12" s="747">
        <f>SUM(C13:C14)</f>
        <v>0</v>
      </c>
      <c r="D12" s="838"/>
      <c r="E12" s="593" t="s">
        <v>1732</v>
      </c>
      <c r="F12" s="1">
        <f>COUNTIF(D9:D124,"x")</f>
        <v>55</v>
      </c>
    </row>
    <row r="13" spans="1:6" s="85" customFormat="1" x14ac:dyDescent="0.6">
      <c r="A13" s="1" t="s">
        <v>292</v>
      </c>
      <c r="B13" s="770" t="s">
        <v>804</v>
      </c>
      <c r="C13" s="134"/>
      <c r="D13" s="838" t="s">
        <v>769</v>
      </c>
      <c r="E13" s="593" t="s">
        <v>239</v>
      </c>
      <c r="F13" s="1"/>
    </row>
    <row r="14" spans="1:6" s="85" customFormat="1" ht="15.9" thickBot="1" x14ac:dyDescent="0.65">
      <c r="A14" s="16" t="s">
        <v>730</v>
      </c>
      <c r="B14" s="771" t="s">
        <v>804</v>
      </c>
      <c r="C14" s="135"/>
      <c r="D14" s="838" t="s">
        <v>769</v>
      </c>
    </row>
    <row r="15" spans="1:6" s="763" customFormat="1" ht="15.9" thickTop="1" x14ac:dyDescent="0.6">
      <c r="A15" s="78" t="s">
        <v>3</v>
      </c>
      <c r="B15" s="761">
        <f>SUM(B16:B21)</f>
        <v>344168376</v>
      </c>
      <c r="C15" s="762">
        <f>SUM(C16:C21)</f>
        <v>0</v>
      </c>
      <c r="D15" s="838"/>
      <c r="E15" s="593"/>
      <c r="F15" s="1"/>
    </row>
    <row r="16" spans="1:6" s="167" customFormat="1" x14ac:dyDescent="0.6">
      <c r="A16" s="1" t="s">
        <v>750</v>
      </c>
      <c r="B16" s="660">
        <v>34919042</v>
      </c>
      <c r="C16" s="166"/>
      <c r="D16" s="838" t="s">
        <v>769</v>
      </c>
      <c r="E16" s="593"/>
      <c r="F16" s="1"/>
    </row>
    <row r="17" spans="1:6" s="167" customFormat="1" x14ac:dyDescent="0.6">
      <c r="A17" s="1" t="s">
        <v>751</v>
      </c>
      <c r="B17" s="660">
        <v>69024018</v>
      </c>
      <c r="C17" s="166"/>
      <c r="D17" s="838" t="s">
        <v>769</v>
      </c>
      <c r="E17" s="593"/>
      <c r="F17" s="1"/>
    </row>
    <row r="18" spans="1:6" s="167" customFormat="1" x14ac:dyDescent="0.6">
      <c r="A18" s="1" t="s">
        <v>752</v>
      </c>
      <c r="B18" s="660">
        <v>203375164</v>
      </c>
      <c r="C18" s="166"/>
      <c r="D18" s="838"/>
      <c r="E18" s="593"/>
      <c r="F18" s="1"/>
    </row>
    <row r="19" spans="1:6" s="167" customFormat="1" x14ac:dyDescent="0.6">
      <c r="A19" s="1" t="s">
        <v>753</v>
      </c>
      <c r="B19" s="660">
        <v>22727018</v>
      </c>
      <c r="C19" s="166"/>
      <c r="D19" s="838"/>
      <c r="E19" s="593"/>
      <c r="F19" s="1"/>
    </row>
    <row r="20" spans="1:6" s="167" customFormat="1" x14ac:dyDescent="0.6">
      <c r="A20" s="1" t="s">
        <v>754</v>
      </c>
      <c r="B20" s="686" t="s">
        <v>804</v>
      </c>
      <c r="C20" s="166"/>
      <c r="D20" s="838"/>
      <c r="E20" s="593"/>
      <c r="F20" s="1"/>
    </row>
    <row r="21" spans="1:6" s="85" customFormat="1" ht="15.9" thickBot="1" x14ac:dyDescent="0.65">
      <c r="A21" s="16" t="s">
        <v>755</v>
      </c>
      <c r="B21" s="124">
        <v>14123134</v>
      </c>
      <c r="C21" s="131"/>
      <c r="D21" s="838"/>
      <c r="E21" s="593"/>
      <c r="F21" s="1"/>
    </row>
    <row r="22" spans="1:6" s="192" customFormat="1" ht="15.9" thickTop="1" x14ac:dyDescent="0.6">
      <c r="A22" s="78" t="s">
        <v>4</v>
      </c>
      <c r="B22" s="723">
        <f>SUM(B24:B24)</f>
        <v>0</v>
      </c>
      <c r="C22" s="724">
        <f>SUM(C24:C24)</f>
        <v>0</v>
      </c>
      <c r="D22" s="838"/>
      <c r="E22" s="593"/>
      <c r="F22" s="1"/>
    </row>
    <row r="23" spans="1:6" s="85" customFormat="1" x14ac:dyDescent="0.6">
      <c r="A23" s="1" t="s">
        <v>1228</v>
      </c>
      <c r="B23" s="686" t="s">
        <v>804</v>
      </c>
      <c r="C23" s="130"/>
      <c r="D23" s="838" t="s">
        <v>769</v>
      </c>
      <c r="E23" s="593"/>
      <c r="F23" s="1"/>
    </row>
    <row r="24" spans="1:6" s="85" customFormat="1" ht="15.9" thickBot="1" x14ac:dyDescent="0.65">
      <c r="A24" s="16" t="s">
        <v>756</v>
      </c>
      <c r="B24" s="598" t="s">
        <v>804</v>
      </c>
      <c r="C24" s="131"/>
      <c r="D24" s="838" t="s">
        <v>769</v>
      </c>
      <c r="E24" s="593"/>
      <c r="F24" s="1"/>
    </row>
    <row r="25" spans="1:6" s="192" customFormat="1" ht="15.9" thickTop="1" x14ac:dyDescent="0.6">
      <c r="A25" s="78" t="s">
        <v>5</v>
      </c>
      <c r="B25" s="723">
        <f>SUM(B26:B26)</f>
        <v>178623</v>
      </c>
      <c r="C25" s="724">
        <f>SUM(C26:C26)</f>
        <v>0</v>
      </c>
      <c r="D25" s="838"/>
      <c r="E25" s="593"/>
      <c r="F25" s="1"/>
    </row>
    <row r="26" spans="1:6" s="85" customFormat="1" ht="15.9" thickBot="1" x14ac:dyDescent="0.65">
      <c r="A26" s="16" t="s">
        <v>757</v>
      </c>
      <c r="B26" s="1079">
        <v>178623</v>
      </c>
      <c r="C26" s="136"/>
      <c r="D26" s="838" t="s">
        <v>769</v>
      </c>
      <c r="E26" s="593"/>
      <c r="F26" s="1"/>
    </row>
    <row r="27" spans="1:6" s="748" customFormat="1" ht="15.9" thickTop="1" x14ac:dyDescent="0.6">
      <c r="A27" s="1060" t="s">
        <v>6</v>
      </c>
      <c r="B27" s="723"/>
      <c r="C27" s="724">
        <f>C29</f>
        <v>0</v>
      </c>
      <c r="D27" s="838"/>
      <c r="E27" s="593"/>
      <c r="F27" s="1"/>
    </row>
    <row r="28" spans="1:6" s="123" customFormat="1" x14ac:dyDescent="0.6">
      <c r="A28" s="1313" t="s">
        <v>719</v>
      </c>
      <c r="B28" s="686" t="s">
        <v>804</v>
      </c>
      <c r="C28" s="130"/>
      <c r="D28" s="686" t="s">
        <v>769</v>
      </c>
      <c r="E28" s="595"/>
      <c r="F28" s="596"/>
    </row>
    <row r="29" spans="1:6" s="85" customFormat="1" ht="15.9" thickBot="1" x14ac:dyDescent="0.65">
      <c r="A29" s="16" t="s">
        <v>1229</v>
      </c>
      <c r="B29" s="598" t="s">
        <v>804</v>
      </c>
      <c r="C29" s="136"/>
      <c r="D29" s="686"/>
      <c r="E29" s="599"/>
      <c r="F29" s="596"/>
    </row>
    <row r="30" spans="1:6" s="192" customFormat="1" ht="15.9" thickTop="1" x14ac:dyDescent="0.6">
      <c r="A30" s="78" t="s">
        <v>7</v>
      </c>
      <c r="B30" s="723">
        <f>SUM(B31:B46)</f>
        <v>117700681</v>
      </c>
      <c r="C30" s="724">
        <f>SUM(C32:C46)</f>
        <v>0</v>
      </c>
      <c r="D30" s="686"/>
      <c r="E30" s="595"/>
      <c r="F30" s="596"/>
    </row>
    <row r="31" spans="1:6" s="85" customFormat="1" x14ac:dyDescent="0.6">
      <c r="A31" s="85" t="s">
        <v>991</v>
      </c>
      <c r="B31" s="660">
        <v>397552</v>
      </c>
      <c r="C31" s="130"/>
      <c r="D31" s="686" t="s">
        <v>769</v>
      </c>
      <c r="E31" s="599"/>
      <c r="F31" s="596"/>
    </row>
    <row r="32" spans="1:6" s="85" customFormat="1" ht="15" customHeight="1" x14ac:dyDescent="0.6">
      <c r="A32" s="85" t="s">
        <v>991</v>
      </c>
      <c r="B32" s="599">
        <v>6073780</v>
      </c>
      <c r="C32" s="130"/>
      <c r="D32" s="686" t="s">
        <v>769</v>
      </c>
      <c r="E32" s="595"/>
      <c r="F32" s="596"/>
    </row>
    <row r="33" spans="1:6" s="85" customFormat="1" x14ac:dyDescent="0.6">
      <c r="A33" s="85" t="s">
        <v>991</v>
      </c>
      <c r="B33" s="599">
        <v>3694937</v>
      </c>
      <c r="C33" s="130"/>
      <c r="D33" s="686" t="s">
        <v>769</v>
      </c>
      <c r="E33" s="595"/>
      <c r="F33" s="596"/>
    </row>
    <row r="34" spans="1:6" s="85" customFormat="1" x14ac:dyDescent="0.6">
      <c r="A34" s="85" t="s">
        <v>991</v>
      </c>
      <c r="B34" s="599">
        <v>5397038</v>
      </c>
      <c r="C34" s="130"/>
      <c r="D34" s="686" t="s">
        <v>769</v>
      </c>
      <c r="E34" s="599"/>
      <c r="F34" s="596"/>
    </row>
    <row r="35" spans="1:6" s="85" customFormat="1" x14ac:dyDescent="0.6">
      <c r="A35" s="85" t="s">
        <v>992</v>
      </c>
      <c r="B35" s="599">
        <v>252987</v>
      </c>
      <c r="C35" s="130"/>
      <c r="D35" s="686" t="s">
        <v>769</v>
      </c>
      <c r="E35" s="595"/>
      <c r="F35" s="596"/>
    </row>
    <row r="36" spans="1:6" s="85" customFormat="1" x14ac:dyDescent="0.6">
      <c r="A36" s="85" t="s">
        <v>992</v>
      </c>
      <c r="B36" s="599">
        <v>3865133</v>
      </c>
      <c r="C36" s="130"/>
      <c r="D36" s="686" t="s">
        <v>769</v>
      </c>
      <c r="E36" s="599"/>
      <c r="F36" s="596"/>
    </row>
    <row r="37" spans="1:6" s="85" customFormat="1" x14ac:dyDescent="0.6">
      <c r="A37" s="85" t="s">
        <v>992</v>
      </c>
      <c r="B37" s="599">
        <v>2351324</v>
      </c>
      <c r="C37" s="130"/>
      <c r="D37" s="686" t="s">
        <v>769</v>
      </c>
      <c r="E37" s="595"/>
      <c r="F37" s="596"/>
    </row>
    <row r="38" spans="1:6" s="85" customFormat="1" x14ac:dyDescent="0.6">
      <c r="A38" s="85" t="s">
        <v>992</v>
      </c>
      <c r="B38" s="599">
        <v>3434479</v>
      </c>
      <c r="C38" s="130"/>
      <c r="D38" s="686" t="s">
        <v>769</v>
      </c>
      <c r="E38" s="599"/>
      <c r="F38" s="596"/>
    </row>
    <row r="39" spans="1:6" s="85" customFormat="1" x14ac:dyDescent="0.6">
      <c r="A39" s="85" t="s">
        <v>1230</v>
      </c>
      <c r="B39" s="686" t="s">
        <v>804</v>
      </c>
      <c r="C39" s="130"/>
      <c r="D39" s="686" t="s">
        <v>769</v>
      </c>
      <c r="E39" s="595"/>
      <c r="F39" s="596"/>
    </row>
    <row r="40" spans="1:6" s="85" customFormat="1" x14ac:dyDescent="0.6">
      <c r="A40" s="85" t="s">
        <v>1231</v>
      </c>
      <c r="B40" s="686" t="s">
        <v>804</v>
      </c>
      <c r="C40" s="130"/>
      <c r="D40" s="686" t="s">
        <v>769</v>
      </c>
      <c r="E40" s="595"/>
      <c r="F40" s="596"/>
    </row>
    <row r="41" spans="1:6" s="85" customFormat="1" x14ac:dyDescent="0.6">
      <c r="A41" s="85" t="s">
        <v>910</v>
      </c>
      <c r="B41" s="660">
        <v>698559</v>
      </c>
      <c r="C41" s="130"/>
      <c r="D41" s="686" t="s">
        <v>769</v>
      </c>
      <c r="E41" s="599"/>
      <c r="F41" s="596"/>
    </row>
    <row r="42" spans="1:6" s="85" customFormat="1" x14ac:dyDescent="0.6">
      <c r="A42" s="85" t="s">
        <v>1231</v>
      </c>
      <c r="B42" s="686" t="s">
        <v>804</v>
      </c>
      <c r="C42" s="130"/>
      <c r="D42" s="686" t="s">
        <v>769</v>
      </c>
      <c r="E42" s="595"/>
      <c r="F42" s="596"/>
    </row>
    <row r="43" spans="1:6" s="85" customFormat="1" x14ac:dyDescent="0.6">
      <c r="A43" s="85" t="s">
        <v>304</v>
      </c>
      <c r="B43" s="599">
        <v>66682</v>
      </c>
      <c r="C43" s="130"/>
      <c r="D43" s="686" t="s">
        <v>769</v>
      </c>
      <c r="E43" s="595"/>
      <c r="F43" s="596"/>
    </row>
    <row r="44" spans="1:6" s="85" customFormat="1" x14ac:dyDescent="0.6">
      <c r="A44" s="85" t="s">
        <v>307</v>
      </c>
      <c r="B44" s="599">
        <v>71802</v>
      </c>
      <c r="C44" s="130"/>
      <c r="D44" s="686" t="s">
        <v>769</v>
      </c>
      <c r="E44" s="599"/>
      <c r="F44" s="596"/>
    </row>
    <row r="45" spans="1:6" s="85" customFormat="1" x14ac:dyDescent="0.6">
      <c r="A45" s="85" t="s">
        <v>311</v>
      </c>
      <c r="B45" s="599">
        <v>69904311</v>
      </c>
      <c r="C45" s="130"/>
      <c r="D45" s="686" t="s">
        <v>769</v>
      </c>
      <c r="E45" s="595"/>
      <c r="F45" s="596"/>
    </row>
    <row r="46" spans="1:6" s="85" customFormat="1" ht="15.9" thickBot="1" x14ac:dyDescent="0.65">
      <c r="A46" s="99" t="s">
        <v>311</v>
      </c>
      <c r="B46" s="124">
        <v>21492097</v>
      </c>
      <c r="C46" s="136"/>
      <c r="D46" s="686" t="s">
        <v>769</v>
      </c>
      <c r="E46" s="599"/>
      <c r="F46" s="123"/>
    </row>
    <row r="47" spans="1:6" s="748" customFormat="1" ht="15.9" thickTop="1" x14ac:dyDescent="0.6">
      <c r="A47" s="1060" t="s">
        <v>8</v>
      </c>
      <c r="B47" s="723">
        <f>SUM(B48:B50)</f>
        <v>6212864</v>
      </c>
      <c r="C47" s="724"/>
      <c r="D47" s="686"/>
      <c r="E47" s="599"/>
      <c r="F47" s="123"/>
    </row>
    <row r="48" spans="1:6" s="123" customFormat="1" x14ac:dyDescent="0.6">
      <c r="A48" s="1313" t="s">
        <v>735</v>
      </c>
      <c r="B48" s="686" t="s">
        <v>804</v>
      </c>
      <c r="C48" s="130"/>
      <c r="D48" s="686" t="s">
        <v>769</v>
      </c>
      <c r="E48" s="599"/>
    </row>
    <row r="49" spans="1:6" s="123" customFormat="1" x14ac:dyDescent="0.6">
      <c r="A49" s="1313" t="s">
        <v>1158</v>
      </c>
      <c r="B49" s="686" t="s">
        <v>804</v>
      </c>
      <c r="C49" s="130"/>
      <c r="D49" s="686" t="s">
        <v>769</v>
      </c>
      <c r="E49" s="599"/>
    </row>
    <row r="50" spans="1:6" s="85" customFormat="1" ht="15.9" thickBot="1" x14ac:dyDescent="0.65">
      <c r="A50" s="16" t="s">
        <v>1233</v>
      </c>
      <c r="B50" s="124">
        <v>6212864</v>
      </c>
      <c r="C50" s="136"/>
      <c r="D50" s="686"/>
      <c r="E50" s="599"/>
      <c r="F50" s="123"/>
    </row>
    <row r="51" spans="1:6" s="192" customFormat="1" ht="15.9" thickTop="1" x14ac:dyDescent="0.6">
      <c r="A51" s="78" t="s">
        <v>9</v>
      </c>
      <c r="B51" s="723">
        <f>SUM(B52:B61)</f>
        <v>36175851</v>
      </c>
      <c r="C51" s="724">
        <f>SUM(C61:C61)</f>
        <v>0</v>
      </c>
      <c r="D51" s="686"/>
      <c r="E51" s="599"/>
      <c r="F51" s="123"/>
    </row>
    <row r="52" spans="1:6" s="85" customFormat="1" x14ac:dyDescent="0.6">
      <c r="A52" s="1" t="s">
        <v>1234</v>
      </c>
      <c r="B52" s="599">
        <v>14466507</v>
      </c>
      <c r="C52" s="130"/>
      <c r="D52" s="686"/>
      <c r="E52" s="599"/>
      <c r="F52" s="123"/>
    </row>
    <row r="53" spans="1:6" s="85" customFormat="1" x14ac:dyDescent="0.6">
      <c r="A53" s="1" t="s">
        <v>1234</v>
      </c>
      <c r="B53" s="599">
        <v>235942</v>
      </c>
      <c r="C53" s="130"/>
      <c r="D53" s="686"/>
      <c r="E53" s="595"/>
      <c r="F53" s="123"/>
    </row>
    <row r="54" spans="1:6" s="85" customFormat="1" x14ac:dyDescent="0.6">
      <c r="A54" s="1" t="s">
        <v>1234</v>
      </c>
      <c r="B54" s="599">
        <v>2350892</v>
      </c>
      <c r="C54" s="130"/>
      <c r="D54" s="686"/>
      <c r="E54" s="595"/>
      <c r="F54" s="123"/>
    </row>
    <row r="55" spans="1:6" s="85" customFormat="1" x14ac:dyDescent="0.6">
      <c r="A55" s="1" t="s">
        <v>1013</v>
      </c>
      <c r="B55" s="599">
        <v>14636047</v>
      </c>
      <c r="C55" s="130"/>
      <c r="D55" s="686"/>
      <c r="E55" s="599"/>
      <c r="F55" s="123"/>
    </row>
    <row r="56" spans="1:6" s="85" customFormat="1" x14ac:dyDescent="0.6">
      <c r="A56" s="1" t="s">
        <v>1013</v>
      </c>
      <c r="B56" s="599">
        <v>238707</v>
      </c>
      <c r="C56" s="130"/>
      <c r="D56" s="686"/>
      <c r="E56" s="595"/>
      <c r="F56" s="123"/>
    </row>
    <row r="57" spans="1:6" s="85" customFormat="1" x14ac:dyDescent="0.6">
      <c r="A57" s="1" t="s">
        <v>1013</v>
      </c>
      <c r="B57" s="599">
        <v>2378443</v>
      </c>
      <c r="C57" s="130"/>
      <c r="D57" s="686"/>
      <c r="E57" s="599"/>
      <c r="F57" s="123"/>
    </row>
    <row r="58" spans="1:6" s="85" customFormat="1" x14ac:dyDescent="0.6">
      <c r="A58" s="1" t="s">
        <v>1235</v>
      </c>
      <c r="B58" s="599">
        <v>1000000</v>
      </c>
      <c r="C58" s="130"/>
      <c r="D58" s="686" t="s">
        <v>769</v>
      </c>
      <c r="E58" s="599"/>
      <c r="F58" s="123"/>
    </row>
    <row r="59" spans="1:6" s="85" customFormat="1" x14ac:dyDescent="0.6">
      <c r="A59" s="1" t="s">
        <v>1236</v>
      </c>
      <c r="B59" s="599">
        <v>869313</v>
      </c>
      <c r="C59" s="130"/>
      <c r="D59" s="686" t="s">
        <v>769</v>
      </c>
      <c r="E59" s="599"/>
      <c r="F59" s="123"/>
    </row>
    <row r="60" spans="1:6" s="85" customFormat="1" x14ac:dyDescent="0.6">
      <c r="A60" s="1" t="s">
        <v>1237</v>
      </c>
      <c r="B60" s="686" t="s">
        <v>804</v>
      </c>
      <c r="C60" s="130"/>
      <c r="D60" s="686" t="s">
        <v>769</v>
      </c>
      <c r="E60" s="599"/>
      <c r="F60" s="123"/>
    </row>
    <row r="61" spans="1:6" s="85" customFormat="1" ht="15.9" thickBot="1" x14ac:dyDescent="0.65">
      <c r="A61" s="16" t="s">
        <v>914</v>
      </c>
      <c r="B61" s="598" t="s">
        <v>804</v>
      </c>
      <c r="C61" s="136"/>
      <c r="D61" s="686" t="s">
        <v>769</v>
      </c>
      <c r="E61" s="595"/>
      <c r="F61" s="123"/>
    </row>
    <row r="62" spans="1:6" s="192" customFormat="1" ht="15.9" thickTop="1" x14ac:dyDescent="0.6">
      <c r="A62" s="78" t="s">
        <v>10</v>
      </c>
      <c r="B62" s="723">
        <f>SUM(B63:B63)</f>
        <v>0</v>
      </c>
      <c r="C62" s="724">
        <f>SUM(C63:C63)</f>
        <v>0</v>
      </c>
      <c r="D62" s="686"/>
      <c r="E62" s="599"/>
      <c r="F62" s="123"/>
    </row>
    <row r="63" spans="1:6" s="85" customFormat="1" ht="15.9" thickBot="1" x14ac:dyDescent="0.65">
      <c r="A63" s="16"/>
      <c r="B63" s="124"/>
      <c r="C63" s="131"/>
      <c r="D63" s="686"/>
      <c r="E63" s="595"/>
      <c r="F63" s="123"/>
    </row>
    <row r="64" spans="1:6" s="630" customFormat="1" ht="15.9" thickTop="1" x14ac:dyDescent="0.6">
      <c r="A64" s="1080" t="s">
        <v>11</v>
      </c>
      <c r="B64" s="749">
        <f>SUM(B65:B71)</f>
        <v>8824285020</v>
      </c>
      <c r="C64" s="750">
        <f>SUM(C65:C71)</f>
        <v>0</v>
      </c>
      <c r="D64" s="686"/>
      <c r="E64" s="599"/>
      <c r="F64" s="123"/>
    </row>
    <row r="65" spans="1:6" s="632" customFormat="1" x14ac:dyDescent="0.6">
      <c r="A65" s="631" t="s">
        <v>317</v>
      </c>
      <c r="B65" s="661">
        <v>1066157669</v>
      </c>
      <c r="C65" s="633"/>
      <c r="D65" s="686" t="s">
        <v>769</v>
      </c>
      <c r="E65" s="595"/>
      <c r="F65" s="123"/>
    </row>
    <row r="66" spans="1:6" s="632" customFormat="1" x14ac:dyDescent="0.6">
      <c r="A66" s="631" t="s">
        <v>317</v>
      </c>
      <c r="B66" s="661">
        <v>2403205963</v>
      </c>
      <c r="C66" s="633"/>
      <c r="D66" s="686" t="s">
        <v>769</v>
      </c>
      <c r="E66" s="599"/>
      <c r="F66" s="123"/>
    </row>
    <row r="67" spans="1:6" s="632" customFormat="1" x14ac:dyDescent="0.6">
      <c r="A67" s="631" t="s">
        <v>1207</v>
      </c>
      <c r="B67" s="1312" t="s">
        <v>804</v>
      </c>
      <c r="C67" s="633"/>
      <c r="D67" s="686"/>
      <c r="E67" s="595"/>
      <c r="F67" s="123"/>
    </row>
    <row r="68" spans="1:6" s="632" customFormat="1" x14ac:dyDescent="0.6">
      <c r="A68" s="631" t="s">
        <v>1207</v>
      </c>
      <c r="B68" s="1312" t="s">
        <v>804</v>
      </c>
      <c r="C68" s="633"/>
      <c r="D68" s="686"/>
      <c r="E68" s="599"/>
      <c r="F68" s="123"/>
    </row>
    <row r="69" spans="1:6" s="632" customFormat="1" x14ac:dyDescent="0.6">
      <c r="A69" s="631" t="s">
        <v>1229</v>
      </c>
      <c r="B69" s="661">
        <v>18000445</v>
      </c>
      <c r="C69" s="633"/>
      <c r="D69" s="686"/>
      <c r="E69" s="595"/>
      <c r="F69" s="123"/>
    </row>
    <row r="70" spans="1:6" s="632" customFormat="1" x14ac:dyDescent="0.6">
      <c r="A70" s="631" t="s">
        <v>1208</v>
      </c>
      <c r="B70" s="661">
        <v>1640069994</v>
      </c>
      <c r="C70" s="633"/>
      <c r="D70" s="686"/>
      <c r="E70" s="599"/>
      <c r="F70" s="123"/>
    </row>
    <row r="71" spans="1:6" s="632" customFormat="1" ht="15.9" thickBot="1" x14ac:dyDescent="0.65">
      <c r="A71" s="1314" t="s">
        <v>1208</v>
      </c>
      <c r="B71" s="634">
        <v>3696850949</v>
      </c>
      <c r="C71" s="635"/>
      <c r="D71" s="686"/>
      <c r="E71" s="595"/>
      <c r="F71" s="123"/>
    </row>
    <row r="72" spans="1:6" s="748" customFormat="1" ht="15.9" thickTop="1" x14ac:dyDescent="0.6">
      <c r="A72" s="1060" t="s">
        <v>12</v>
      </c>
      <c r="B72" s="723"/>
      <c r="C72" s="724"/>
      <c r="D72" s="686"/>
      <c r="E72" s="599"/>
      <c r="F72" s="123"/>
    </row>
    <row r="73" spans="1:6" s="85" customFormat="1" ht="15.9" thickBot="1" x14ac:dyDescent="0.65">
      <c r="A73" s="16"/>
      <c r="B73" s="598"/>
      <c r="C73" s="136"/>
      <c r="D73" s="686"/>
      <c r="E73" s="595"/>
      <c r="F73" s="123"/>
    </row>
    <row r="74" spans="1:6" s="748" customFormat="1" ht="15.9" thickTop="1" x14ac:dyDescent="0.6">
      <c r="A74" s="1060" t="s">
        <v>13</v>
      </c>
      <c r="B74" s="723">
        <f>SUM(B75:B76)</f>
        <v>4306080</v>
      </c>
      <c r="C74" s="724">
        <f>SUM(C75:C76)</f>
        <v>0</v>
      </c>
      <c r="D74" s="686"/>
      <c r="E74" s="599"/>
      <c r="F74" s="123"/>
    </row>
    <row r="75" spans="1:6" s="123" customFormat="1" x14ac:dyDescent="0.6">
      <c r="A75" s="1313" t="s">
        <v>721</v>
      </c>
      <c r="B75" s="599">
        <v>4306080</v>
      </c>
      <c r="C75" s="130"/>
      <c r="D75" s="686" t="s">
        <v>769</v>
      </c>
      <c r="E75" s="599"/>
    </row>
    <row r="76" spans="1:6" s="85" customFormat="1" ht="15.9" thickBot="1" x14ac:dyDescent="0.65">
      <c r="A76" s="16" t="s">
        <v>733</v>
      </c>
      <c r="B76" s="598" t="s">
        <v>804</v>
      </c>
      <c r="C76" s="136"/>
      <c r="D76" s="686" t="s">
        <v>769</v>
      </c>
      <c r="E76" s="595"/>
      <c r="F76" s="123"/>
    </row>
    <row r="77" spans="1:6" s="748" customFormat="1" ht="15.9" thickTop="1" x14ac:dyDescent="0.6">
      <c r="A77" s="1060" t="s">
        <v>14</v>
      </c>
      <c r="B77" s="777">
        <f>SUM(B78:B78)</f>
        <v>6919884</v>
      </c>
      <c r="C77" s="778"/>
      <c r="D77" s="686"/>
      <c r="E77" s="599"/>
      <c r="F77" s="123"/>
    </row>
    <row r="78" spans="1:6" s="85" customFormat="1" ht="15.9" thickBot="1" x14ac:dyDescent="0.65">
      <c r="A78" s="16" t="s">
        <v>823</v>
      </c>
      <c r="B78" s="781">
        <v>6919884</v>
      </c>
      <c r="C78" s="782"/>
      <c r="D78" s="686"/>
      <c r="E78" s="595"/>
      <c r="F78" s="123"/>
    </row>
    <row r="79" spans="1:6" s="192" customFormat="1" ht="15.9" thickTop="1" x14ac:dyDescent="0.6">
      <c r="A79" s="78" t="s">
        <v>15</v>
      </c>
      <c r="B79" s="723">
        <f>SUM(B80:B80)</f>
        <v>0</v>
      </c>
      <c r="C79" s="724">
        <f>SUM(C80:C80)</f>
        <v>0</v>
      </c>
      <c r="D79" s="686"/>
      <c r="E79" s="599"/>
      <c r="F79" s="123"/>
    </row>
    <row r="80" spans="1:6" s="85" customFormat="1" ht="15.9" thickBot="1" x14ac:dyDescent="0.65">
      <c r="A80" s="16"/>
      <c r="B80" s="124"/>
      <c r="C80" s="131"/>
      <c r="D80" s="686"/>
      <c r="E80" s="595"/>
      <c r="F80" s="123"/>
    </row>
    <row r="81" spans="1:6" s="192" customFormat="1" ht="15.9" thickTop="1" x14ac:dyDescent="0.6">
      <c r="A81" s="78" t="s">
        <v>16</v>
      </c>
      <c r="B81" s="723">
        <f>SUM(B82:B82)</f>
        <v>0</v>
      </c>
      <c r="C81" s="724">
        <f>SUM(C82:C82)</f>
        <v>0</v>
      </c>
      <c r="D81" s="686"/>
      <c r="E81" s="599"/>
      <c r="F81" s="123"/>
    </row>
    <row r="82" spans="1:6" s="85" customFormat="1" ht="15.9" thickBot="1" x14ac:dyDescent="0.65">
      <c r="A82" s="16"/>
      <c r="B82" s="124"/>
      <c r="C82" s="136"/>
      <c r="D82" s="686"/>
      <c r="E82" s="595"/>
      <c r="F82" s="123"/>
    </row>
    <row r="83" spans="1:6" s="748" customFormat="1" ht="15.9" thickTop="1" x14ac:dyDescent="0.6">
      <c r="A83" s="1060" t="s">
        <v>17</v>
      </c>
      <c r="B83" s="723"/>
      <c r="C83" s="724"/>
      <c r="D83" s="686"/>
      <c r="E83" s="599"/>
      <c r="F83" s="123"/>
    </row>
    <row r="84" spans="1:6" s="85" customFormat="1" ht="15.9" thickBot="1" x14ac:dyDescent="0.65">
      <c r="A84" s="16"/>
      <c r="B84" s="124"/>
      <c r="C84" s="136"/>
      <c r="D84" s="838"/>
      <c r="E84" s="1565"/>
      <c r="F84" s="1"/>
    </row>
    <row r="85" spans="1:6" s="192" customFormat="1" ht="15.9" thickTop="1" x14ac:dyDescent="0.6">
      <c r="A85" s="78" t="s">
        <v>18</v>
      </c>
      <c r="B85" s="723">
        <f>SUM(B86:B86)</f>
        <v>0</v>
      </c>
      <c r="C85" s="724">
        <f>SUM(C86:C86)</f>
        <v>0</v>
      </c>
      <c r="D85" s="838"/>
      <c r="E85" s="593"/>
      <c r="F85" s="1"/>
    </row>
    <row r="86" spans="1:6" s="85" customFormat="1" ht="15.9" thickBot="1" x14ac:dyDescent="0.65">
      <c r="A86" s="16"/>
      <c r="B86" s="124"/>
      <c r="C86" s="136"/>
      <c r="D86" s="838"/>
      <c r="E86" s="593"/>
      <c r="F86" s="1"/>
    </row>
    <row r="87" spans="1:6" s="192" customFormat="1" ht="15.9" thickTop="1" x14ac:dyDescent="0.6">
      <c r="A87" s="78" t="s">
        <v>19</v>
      </c>
      <c r="B87" s="751">
        <f>SUM(B88:B92)</f>
        <v>43915125</v>
      </c>
      <c r="C87" s="752">
        <f>SUM(C88:C92)</f>
        <v>0</v>
      </c>
      <c r="D87" s="838"/>
      <c r="E87" s="593"/>
      <c r="F87" s="1"/>
    </row>
    <row r="88" spans="1:6" s="85" customFormat="1" x14ac:dyDescent="0.6">
      <c r="A88" s="1" t="s">
        <v>346</v>
      </c>
      <c r="B88" s="139">
        <v>43915125</v>
      </c>
      <c r="C88" s="138"/>
      <c r="D88" s="838" t="s">
        <v>769</v>
      </c>
      <c r="E88" s="593"/>
      <c r="F88" s="1"/>
    </row>
    <row r="89" spans="1:6" s="85" customFormat="1" x14ac:dyDescent="0.6">
      <c r="A89" s="1" t="s">
        <v>350</v>
      </c>
      <c r="B89" s="1201" t="s">
        <v>804</v>
      </c>
      <c r="C89" s="138"/>
      <c r="D89" s="838" t="s">
        <v>769</v>
      </c>
      <c r="E89" s="593"/>
      <c r="F89" s="1"/>
    </row>
    <row r="90" spans="1:6" s="85" customFormat="1" x14ac:dyDescent="0.6">
      <c r="A90" s="1" t="s">
        <v>350</v>
      </c>
      <c r="B90" s="1201" t="s">
        <v>804</v>
      </c>
      <c r="C90" s="138"/>
      <c r="D90" s="838" t="s">
        <v>769</v>
      </c>
      <c r="E90" s="593"/>
      <c r="F90" s="1"/>
    </row>
    <row r="91" spans="1:6" s="85" customFormat="1" x14ac:dyDescent="0.6">
      <c r="A91" s="1" t="s">
        <v>1036</v>
      </c>
      <c r="B91" s="1201" t="s">
        <v>804</v>
      </c>
      <c r="C91" s="138"/>
      <c r="D91" s="838" t="s">
        <v>769</v>
      </c>
      <c r="E91" s="593"/>
      <c r="F91" s="1"/>
    </row>
    <row r="92" spans="1:6" s="85" customFormat="1" ht="15.9" thickBot="1" x14ac:dyDescent="0.65">
      <c r="A92" s="16" t="s">
        <v>1213</v>
      </c>
      <c r="B92" s="1081" t="s">
        <v>804</v>
      </c>
      <c r="C92" s="138"/>
      <c r="D92" s="838" t="s">
        <v>769</v>
      </c>
      <c r="E92" s="593"/>
      <c r="F92" s="1"/>
    </row>
    <row r="93" spans="1:6" s="636" customFormat="1" ht="15.9" thickTop="1" x14ac:dyDescent="0.6">
      <c r="A93" s="1084" t="s">
        <v>20</v>
      </c>
      <c r="B93" s="753">
        <f>SUM(B94:B94)</f>
        <v>0</v>
      </c>
      <c r="C93" s="754">
        <f>SUM(C94:C94)</f>
        <v>0</v>
      </c>
      <c r="D93" s="838"/>
      <c r="E93" s="593"/>
      <c r="F93" s="1"/>
    </row>
    <row r="94" spans="1:6" s="637" customFormat="1" ht="15.9" thickBot="1" x14ac:dyDescent="0.65">
      <c r="A94" s="1315"/>
      <c r="B94" s="639"/>
      <c r="C94" s="640"/>
      <c r="D94" s="838"/>
      <c r="E94" s="593"/>
      <c r="F94" s="1"/>
    </row>
    <row r="95" spans="1:6" s="192" customFormat="1" ht="15.9" thickTop="1" x14ac:dyDescent="0.6">
      <c r="A95" s="78" t="s">
        <v>38</v>
      </c>
      <c r="B95" s="755">
        <f>SUM(B96:B104)</f>
        <v>173333450</v>
      </c>
      <c r="C95" s="756">
        <f>SUM(C102:C104)</f>
        <v>0</v>
      </c>
      <c r="D95" s="838"/>
      <c r="E95" s="593"/>
      <c r="F95" s="1"/>
    </row>
    <row r="96" spans="1:6" s="192" customFormat="1" x14ac:dyDescent="0.6">
      <c r="A96" s="1" t="s">
        <v>1240</v>
      </c>
      <c r="B96" s="662">
        <v>266211</v>
      </c>
      <c r="C96" s="1321"/>
      <c r="D96" s="838"/>
      <c r="E96" s="593"/>
      <c r="F96" s="1"/>
    </row>
    <row r="97" spans="1:6" s="192" customFormat="1" x14ac:dyDescent="0.6">
      <c r="A97" s="1" t="s">
        <v>1242</v>
      </c>
      <c r="B97" s="1202" t="s">
        <v>804</v>
      </c>
      <c r="C97" s="1321"/>
      <c r="D97" s="838"/>
      <c r="E97" s="593"/>
      <c r="F97" s="1"/>
    </row>
    <row r="98" spans="1:6" s="192" customFormat="1" x14ac:dyDescent="0.6">
      <c r="A98" s="1" t="s">
        <v>1243</v>
      </c>
      <c r="B98" s="1202" t="s">
        <v>804</v>
      </c>
      <c r="C98" s="1321"/>
      <c r="D98" s="1063"/>
      <c r="E98" s="1062"/>
      <c r="F98" s="123"/>
    </row>
    <row r="99" spans="1:6" s="192" customFormat="1" x14ac:dyDescent="0.6">
      <c r="A99" s="1" t="s">
        <v>464</v>
      </c>
      <c r="B99" s="1322">
        <v>129997309</v>
      </c>
      <c r="C99" s="1321"/>
      <c r="D99" s="686"/>
      <c r="E99" s="595"/>
      <c r="F99" s="123"/>
    </row>
    <row r="100" spans="1:6" s="192" customFormat="1" x14ac:dyDescent="0.6">
      <c r="A100" s="1" t="s">
        <v>1245</v>
      </c>
      <c r="B100" s="1202" t="s">
        <v>804</v>
      </c>
      <c r="C100" s="1321"/>
      <c r="D100" s="1063"/>
      <c r="E100" s="600"/>
      <c r="F100" s="145"/>
    </row>
    <row r="101" spans="1:6" s="192" customFormat="1" x14ac:dyDescent="0.6">
      <c r="A101" s="1" t="s">
        <v>1241</v>
      </c>
      <c r="B101" s="1202" t="s">
        <v>804</v>
      </c>
      <c r="C101" s="1321"/>
      <c r="D101" s="1406"/>
      <c r="E101" s="1566"/>
      <c r="F101" s="123"/>
    </row>
    <row r="102" spans="1:6" s="85" customFormat="1" x14ac:dyDescent="0.6">
      <c r="A102" s="1" t="s">
        <v>277</v>
      </c>
      <c r="B102" s="662">
        <v>4615385</v>
      </c>
      <c r="C102" s="142"/>
      <c r="D102" s="1406" t="s">
        <v>769</v>
      </c>
      <c r="E102" s="601"/>
      <c r="F102" s="123"/>
    </row>
    <row r="103" spans="1:6" s="85" customFormat="1" x14ac:dyDescent="0.6">
      <c r="A103" s="1" t="s">
        <v>1244</v>
      </c>
      <c r="B103" s="662">
        <v>38454545</v>
      </c>
      <c r="C103" s="142"/>
      <c r="D103" s="1406" t="s">
        <v>769</v>
      </c>
      <c r="E103" s="601"/>
      <c r="F103" s="123"/>
    </row>
    <row r="104" spans="1:6" s="85" customFormat="1" ht="15.9" thickBot="1" x14ac:dyDescent="0.65">
      <c r="A104" s="16" t="s">
        <v>361</v>
      </c>
      <c r="B104" s="653" t="s">
        <v>804</v>
      </c>
      <c r="C104" s="144"/>
      <c r="D104" s="1406" t="s">
        <v>769</v>
      </c>
      <c r="E104" s="601"/>
      <c r="F104" s="123"/>
    </row>
    <row r="105" spans="1:6" s="192" customFormat="1" ht="15.9" thickTop="1" x14ac:dyDescent="0.6">
      <c r="A105" s="78" t="s">
        <v>39</v>
      </c>
      <c r="B105" s="729">
        <f>SUM(B106:B111)</f>
        <v>2597453</v>
      </c>
      <c r="C105" s="757">
        <f>SUM(C111:C111)</f>
        <v>0</v>
      </c>
      <c r="D105" s="1406"/>
      <c r="E105" s="601"/>
      <c r="F105" s="123"/>
    </row>
    <row r="106" spans="1:6" s="192" customFormat="1" x14ac:dyDescent="0.6">
      <c r="A106" s="1" t="s">
        <v>725</v>
      </c>
      <c r="B106" s="1063" t="s">
        <v>804</v>
      </c>
      <c r="C106" s="1323"/>
      <c r="D106" s="1406" t="s">
        <v>769</v>
      </c>
      <c r="E106" s="601"/>
      <c r="F106" s="123"/>
    </row>
    <row r="107" spans="1:6" s="192" customFormat="1" x14ac:dyDescent="0.6">
      <c r="A107" s="1" t="s">
        <v>725</v>
      </c>
      <c r="B107" s="1063" t="s">
        <v>804</v>
      </c>
      <c r="C107" s="1323"/>
      <c r="D107" s="1406" t="s">
        <v>769</v>
      </c>
      <c r="E107" s="601"/>
      <c r="F107" s="123"/>
    </row>
    <row r="108" spans="1:6" s="192" customFormat="1" x14ac:dyDescent="0.6">
      <c r="A108" s="1" t="s">
        <v>725</v>
      </c>
      <c r="B108" s="600">
        <v>941966</v>
      </c>
      <c r="C108" s="1323"/>
      <c r="D108" s="1406" t="s">
        <v>769</v>
      </c>
      <c r="E108" s="601"/>
      <c r="F108" s="123"/>
    </row>
    <row r="109" spans="1:6" s="192" customFormat="1" x14ac:dyDescent="0.6">
      <c r="A109" s="1" t="s">
        <v>775</v>
      </c>
      <c r="B109" s="1063" t="s">
        <v>804</v>
      </c>
      <c r="C109" s="1323"/>
      <c r="D109" s="1572" t="s">
        <v>769</v>
      </c>
      <c r="E109" s="1567"/>
      <c r="F109" s="123"/>
    </row>
    <row r="110" spans="1:6" s="192" customFormat="1" x14ac:dyDescent="0.6">
      <c r="A110" s="1" t="s">
        <v>738</v>
      </c>
      <c r="B110" s="600">
        <v>128222</v>
      </c>
      <c r="C110" s="1323"/>
      <c r="D110" s="1065" t="s">
        <v>769</v>
      </c>
      <c r="E110" s="694"/>
      <c r="F110" s="123"/>
    </row>
    <row r="111" spans="1:6" s="85" customFormat="1" ht="15.9" thickBot="1" x14ac:dyDescent="0.65">
      <c r="A111" s="16" t="s">
        <v>1162</v>
      </c>
      <c r="B111" s="147">
        <v>1527265</v>
      </c>
      <c r="C111" s="148"/>
      <c r="D111" s="1065" t="s">
        <v>769</v>
      </c>
      <c r="E111" s="694"/>
      <c r="F111" s="123"/>
    </row>
    <row r="112" spans="1:6" s="646" customFormat="1" ht="15.9" thickTop="1" x14ac:dyDescent="0.6">
      <c r="A112" s="1088" t="s">
        <v>40</v>
      </c>
      <c r="B112" s="758">
        <f>SUM(B113:B115)</f>
        <v>10356577</v>
      </c>
      <c r="C112" s="759">
        <f>SUM(C115:C115)</f>
        <v>0</v>
      </c>
      <c r="D112" s="1065"/>
      <c r="E112" s="694"/>
      <c r="F112" s="123"/>
    </row>
    <row r="113" spans="1:6" s="647" customFormat="1" x14ac:dyDescent="0.6">
      <c r="A113" s="647" t="s">
        <v>1118</v>
      </c>
      <c r="B113" s="1203">
        <v>9661517</v>
      </c>
      <c r="C113" s="648"/>
      <c r="D113" s="1065" t="s">
        <v>769</v>
      </c>
      <c r="E113" s="694"/>
      <c r="F113" s="123"/>
    </row>
    <row r="114" spans="1:6" s="647" customFormat="1" x14ac:dyDescent="0.6">
      <c r="A114" s="647" t="s">
        <v>1118</v>
      </c>
      <c r="B114" s="1203">
        <v>612975</v>
      </c>
      <c r="C114" s="648"/>
      <c r="D114" s="1065" t="s">
        <v>769</v>
      </c>
      <c r="E114" s="694"/>
      <c r="F114" s="123"/>
    </row>
    <row r="115" spans="1:6" s="647" customFormat="1" ht="15.9" thickBot="1" x14ac:dyDescent="0.65">
      <c r="A115" s="649" t="s">
        <v>1163</v>
      </c>
      <c r="B115" s="649">
        <v>82085</v>
      </c>
      <c r="C115" s="650"/>
      <c r="D115" s="1065" t="s">
        <v>769</v>
      </c>
      <c r="E115" s="694"/>
      <c r="F115" s="123"/>
    </row>
    <row r="116" spans="1:6" s="748" customFormat="1" ht="15.9" thickTop="1" x14ac:dyDescent="0.6">
      <c r="A116" s="1060" t="s">
        <v>31</v>
      </c>
      <c r="B116" s="723"/>
      <c r="C116" s="724"/>
      <c r="D116" s="1090"/>
      <c r="E116" s="1568"/>
      <c r="F116" s="123"/>
    </row>
    <row r="117" spans="1:6" s="85" customFormat="1" ht="15.9" thickBot="1" x14ac:dyDescent="0.65">
      <c r="A117" s="16"/>
      <c r="B117" s="124"/>
      <c r="C117" s="136"/>
      <c r="D117" s="1090"/>
      <c r="E117" s="605"/>
      <c r="F117" s="123"/>
    </row>
    <row r="118" spans="1:6" s="764" customFormat="1" ht="15.9" thickTop="1" x14ac:dyDescent="0.6">
      <c r="A118" s="1091" t="s">
        <v>47</v>
      </c>
      <c r="B118" s="732">
        <f>B119+B120</f>
        <v>1664000000</v>
      </c>
      <c r="C118" s="733">
        <f>C120</f>
        <v>0</v>
      </c>
      <c r="D118" s="1090"/>
      <c r="E118" s="605"/>
      <c r="F118" s="123"/>
    </row>
    <row r="119" spans="1:6" s="642" customFormat="1" x14ac:dyDescent="0.6">
      <c r="A119" s="1316" t="s">
        <v>758</v>
      </c>
      <c r="B119" s="605">
        <v>164000000</v>
      </c>
      <c r="C119" s="606"/>
      <c r="D119" s="686" t="s">
        <v>769</v>
      </c>
      <c r="E119" s="595"/>
      <c r="F119" s="123"/>
    </row>
    <row r="120" spans="1:6" s="642" customFormat="1" ht="15.9" thickBot="1" x14ac:dyDescent="0.65">
      <c r="A120" s="1317" t="s">
        <v>759</v>
      </c>
      <c r="B120" s="625">
        <v>1500000000</v>
      </c>
      <c r="C120" s="626"/>
      <c r="D120" s="686" t="s">
        <v>769</v>
      </c>
      <c r="E120" s="599"/>
      <c r="F120" s="123"/>
    </row>
    <row r="121" spans="1:6" s="120" customFormat="1" ht="15.9" thickTop="1" x14ac:dyDescent="0.6">
      <c r="A121" s="1092" t="s">
        <v>32</v>
      </c>
      <c r="B121" s="727">
        <f>SUM(B122:B122)</f>
        <v>22090145</v>
      </c>
      <c r="C121" s="728">
        <f>SUM(C122:C122)</f>
        <v>0</v>
      </c>
      <c r="D121" s="686"/>
      <c r="E121" s="599"/>
      <c r="F121" s="123"/>
    </row>
    <row r="122" spans="1:6" s="85" customFormat="1" ht="15.9" thickBot="1" x14ac:dyDescent="0.65">
      <c r="A122" s="16" t="s">
        <v>760</v>
      </c>
      <c r="B122" s="655">
        <v>22090145</v>
      </c>
      <c r="C122" s="144"/>
      <c r="D122" s="686" t="s">
        <v>769</v>
      </c>
      <c r="E122" s="599"/>
      <c r="F122" s="123"/>
    </row>
    <row r="123" spans="1:6" s="748" customFormat="1" ht="15.9" thickTop="1" x14ac:dyDescent="0.6">
      <c r="A123" s="1060" t="s">
        <v>33</v>
      </c>
      <c r="B123" s="723">
        <f>B124</f>
        <v>0</v>
      </c>
      <c r="C123" s="724"/>
      <c r="D123" s="686"/>
      <c r="E123" s="599"/>
      <c r="F123" s="123"/>
    </row>
    <row r="124" spans="1:6" s="85" customFormat="1" ht="15.9" thickBot="1" x14ac:dyDescent="0.65">
      <c r="A124" s="16"/>
      <c r="B124" s="655"/>
      <c r="C124" s="144"/>
      <c r="D124" s="1595"/>
      <c r="E124" s="124"/>
      <c r="F124" s="124"/>
    </row>
    <row r="125" spans="1:6" s="765" customFormat="1" ht="15.9" thickTop="1" x14ac:dyDescent="0.6">
      <c r="A125" s="1093" t="s">
        <v>46</v>
      </c>
      <c r="B125" s="734"/>
      <c r="C125" s="735">
        <f>C129</f>
        <v>0</v>
      </c>
      <c r="D125" s="686"/>
    </row>
    <row r="126" spans="1:6" s="765" customFormat="1" x14ac:dyDescent="0.6">
      <c r="A126" s="1318" t="s">
        <v>946</v>
      </c>
      <c r="B126" s="774" t="s">
        <v>804</v>
      </c>
      <c r="C126" s="1324"/>
      <c r="D126" s="686"/>
      <c r="E126" s="1594" t="s">
        <v>78</v>
      </c>
      <c r="F126" s="69"/>
    </row>
    <row r="127" spans="1:6" s="765" customFormat="1" x14ac:dyDescent="0.6">
      <c r="A127" s="1318" t="s">
        <v>946</v>
      </c>
      <c r="B127" s="774" t="s">
        <v>804</v>
      </c>
      <c r="C127" s="1324"/>
      <c r="D127" s="686"/>
      <c r="E127" s="593" t="s">
        <v>42</v>
      </c>
      <c r="F127" s="1">
        <v>11</v>
      </c>
    </row>
    <row r="128" spans="1:6" s="643" customFormat="1" x14ac:dyDescent="0.6">
      <c r="A128" s="1318" t="s">
        <v>484</v>
      </c>
      <c r="B128" s="774" t="s">
        <v>804</v>
      </c>
      <c r="C128" s="609"/>
      <c r="D128" s="686" t="s">
        <v>769</v>
      </c>
      <c r="E128" s="593" t="s">
        <v>802</v>
      </c>
      <c r="F128" s="1">
        <v>8</v>
      </c>
    </row>
    <row r="129" spans="1:6" s="643" customFormat="1" ht="15.9" thickBot="1" x14ac:dyDescent="0.65">
      <c r="A129" s="218" t="s">
        <v>485</v>
      </c>
      <c r="B129" s="773" t="s">
        <v>804</v>
      </c>
      <c r="C129" s="610"/>
      <c r="D129" s="838" t="s">
        <v>769</v>
      </c>
      <c r="E129" s="593" t="s">
        <v>1732</v>
      </c>
      <c r="F129" s="1">
        <v>6</v>
      </c>
    </row>
    <row r="130" spans="1:6" s="760" customFormat="1" ht="15.9" thickTop="1" x14ac:dyDescent="0.6">
      <c r="A130" s="1094" t="s">
        <v>49</v>
      </c>
      <c r="B130" s="737">
        <f>SUM(B131:B131)</f>
        <v>0</v>
      </c>
      <c r="C130" s="738">
        <f>SUM(C131:C131)</f>
        <v>0</v>
      </c>
      <c r="D130" s="838"/>
      <c r="E130" s="593" t="s">
        <v>239</v>
      </c>
      <c r="F130" s="1"/>
    </row>
    <row r="131" spans="1:6" s="645" customFormat="1" ht="15.9" thickBot="1" x14ac:dyDescent="0.65">
      <c r="A131" s="1319"/>
      <c r="B131" s="629"/>
      <c r="C131" s="613"/>
      <c r="D131" s="774"/>
      <c r="E131" s="1569"/>
      <c r="F131" s="123"/>
    </row>
    <row r="132" spans="1:6" s="192" customFormat="1" ht="15.9" thickTop="1" x14ac:dyDescent="0.6">
      <c r="A132" s="78" t="s">
        <v>50</v>
      </c>
      <c r="B132" s="739">
        <f>SUM(B135:B135)</f>
        <v>332654243</v>
      </c>
      <c r="C132" s="740">
        <f>SUM(C135:C135)</f>
        <v>0</v>
      </c>
      <c r="D132" s="774"/>
      <c r="E132" s="608"/>
      <c r="F132" s="123"/>
    </row>
    <row r="133" spans="1:6" s="192" customFormat="1" x14ac:dyDescent="0.6">
      <c r="A133" s="1" t="s">
        <v>1246</v>
      </c>
      <c r="B133" s="1326" t="s">
        <v>804</v>
      </c>
      <c r="C133" s="1325"/>
      <c r="D133" s="774" t="s">
        <v>769</v>
      </c>
      <c r="E133" s="608"/>
      <c r="F133" s="123"/>
    </row>
    <row r="134" spans="1:6" s="192" customFormat="1" x14ac:dyDescent="0.6">
      <c r="A134" s="1" t="s">
        <v>1246</v>
      </c>
      <c r="B134" s="1327">
        <v>619609815</v>
      </c>
      <c r="C134" s="1325"/>
      <c r="D134" s="774" t="s">
        <v>769</v>
      </c>
      <c r="E134" s="608"/>
      <c r="F134" s="145"/>
    </row>
    <row r="135" spans="1:6" s="85" customFormat="1" ht="15.9" thickBot="1" x14ac:dyDescent="0.65">
      <c r="A135" s="16" t="s">
        <v>1246</v>
      </c>
      <c r="B135" s="1328">
        <v>332654243</v>
      </c>
      <c r="C135" s="152"/>
      <c r="D135" s="614" t="s">
        <v>769</v>
      </c>
      <c r="E135" s="1570"/>
      <c r="F135" s="123"/>
    </row>
    <row r="136" spans="1:6" s="748" customFormat="1" ht="15.9" thickTop="1" x14ac:dyDescent="0.6">
      <c r="A136" s="1060" t="s">
        <v>51</v>
      </c>
      <c r="B136" s="1208">
        <f>SUM(B137:B140)</f>
        <v>23907331</v>
      </c>
      <c r="C136" s="1329"/>
      <c r="D136" s="614"/>
      <c r="E136" s="611"/>
      <c r="F136" s="145"/>
    </row>
    <row r="137" spans="1:6" s="123" customFormat="1" x14ac:dyDescent="0.6">
      <c r="A137" s="599" t="s">
        <v>1247</v>
      </c>
      <c r="B137" s="1204">
        <v>23907331</v>
      </c>
      <c r="C137" s="1330"/>
      <c r="D137" s="1326" t="s">
        <v>769</v>
      </c>
      <c r="E137" s="1571"/>
    </row>
    <row r="138" spans="1:6" s="123" customFormat="1" x14ac:dyDescent="0.6">
      <c r="A138" s="599" t="s">
        <v>1070</v>
      </c>
      <c r="B138" s="1332" t="s">
        <v>804</v>
      </c>
      <c r="C138" s="1330"/>
      <c r="D138" s="1326"/>
      <c r="E138" s="615"/>
    </row>
    <row r="139" spans="1:6" s="123" customFormat="1" x14ac:dyDescent="0.6">
      <c r="A139" s="599" t="s">
        <v>1070</v>
      </c>
      <c r="B139" s="1332" t="s">
        <v>804</v>
      </c>
      <c r="C139" s="1330"/>
      <c r="D139" s="1326"/>
      <c r="E139" s="615"/>
    </row>
    <row r="140" spans="1:6" s="85" customFormat="1" ht="15.9" thickBot="1" x14ac:dyDescent="0.65">
      <c r="A140" s="99" t="s">
        <v>1070</v>
      </c>
      <c r="B140" s="1333" t="s">
        <v>804</v>
      </c>
      <c r="C140" s="1331"/>
      <c r="D140" s="686"/>
      <c r="E140" s="595"/>
      <c r="F140" s="123"/>
    </row>
    <row r="141" spans="1:6" ht="15.9" thickTop="1" x14ac:dyDescent="0.6">
      <c r="D141" s="686"/>
      <c r="E141" s="599"/>
      <c r="F141" s="123"/>
    </row>
    <row r="142" spans="1:6" x14ac:dyDescent="0.6">
      <c r="A142" s="1370" t="s">
        <v>1451</v>
      </c>
      <c r="B142" s="13">
        <f>COUNTIF(B2:B140,"=ND")</f>
        <v>40</v>
      </c>
      <c r="D142" s="686"/>
      <c r="E142" s="599"/>
      <c r="F142" s="123"/>
    </row>
    <row r="143" spans="1:6" x14ac:dyDescent="0.6">
      <c r="A143" s="1370" t="s">
        <v>1454</v>
      </c>
      <c r="B143" s="13">
        <f>COUNT(B2:B140)</f>
        <v>83</v>
      </c>
      <c r="D143" s="60"/>
      <c r="E143" s="85"/>
    </row>
    <row r="144" spans="1:6" x14ac:dyDescent="0.6">
      <c r="A144" s="1370" t="s">
        <v>1452</v>
      </c>
      <c r="B144" s="13">
        <f>COUNTBLANK(B2:B140)</f>
        <v>16</v>
      </c>
    </row>
    <row r="145" spans="1:5" x14ac:dyDescent="0.6">
      <c r="A145" s="1370" t="s">
        <v>1453</v>
      </c>
      <c r="B145" s="13">
        <v>29</v>
      </c>
    </row>
    <row r="146" spans="1:5" x14ac:dyDescent="0.6">
      <c r="A146" s="1370" t="s">
        <v>42</v>
      </c>
      <c r="B146" s="13">
        <f>SUM(B142:B144)</f>
        <v>139</v>
      </c>
    </row>
    <row r="147" spans="1:5" x14ac:dyDescent="0.6">
      <c r="A147" s="1370" t="s">
        <v>1456</v>
      </c>
      <c r="B147" s="13">
        <v>139</v>
      </c>
      <c r="D147" s="60"/>
      <c r="E147" s="1"/>
    </row>
    <row r="148" spans="1:5" x14ac:dyDescent="0.6">
      <c r="A148" s="1370"/>
      <c r="B148" s="13"/>
      <c r="D148" s="60"/>
      <c r="E148" s="1"/>
    </row>
    <row r="149" spans="1:5" x14ac:dyDescent="0.6">
      <c r="A149" s="1370" t="s">
        <v>1455</v>
      </c>
      <c r="B149" s="13">
        <f>B143-B144</f>
        <v>67</v>
      </c>
      <c r="D149" s="60"/>
      <c r="E149" s="1"/>
    </row>
    <row r="150" spans="1:5" x14ac:dyDescent="0.6">
      <c r="A150" s="826" t="s">
        <v>804</v>
      </c>
      <c r="B150" s="13">
        <f>B142</f>
        <v>40</v>
      </c>
      <c r="D150" s="60"/>
      <c r="E150" s="1"/>
    </row>
    <row r="151" spans="1:5" x14ac:dyDescent="0.6">
      <c r="A151" s="826" t="s">
        <v>42</v>
      </c>
      <c r="B151" s="13">
        <f>B150+B149</f>
        <v>107</v>
      </c>
      <c r="D151" s="60"/>
      <c r="E151" s="1"/>
    </row>
    <row r="152" spans="1:5" x14ac:dyDescent="0.6">
      <c r="A152" s="826"/>
      <c r="B152" s="13"/>
      <c r="D152" s="60"/>
      <c r="E152" s="1"/>
    </row>
    <row r="153" spans="1:5" x14ac:dyDescent="0.6">
      <c r="A153" s="826" t="s">
        <v>1456</v>
      </c>
      <c r="B153" s="13">
        <f>B142+B143-B144</f>
        <v>107</v>
      </c>
      <c r="D153" s="60"/>
      <c r="E153" s="1"/>
    </row>
    <row r="154" spans="1:5" x14ac:dyDescent="0.6">
      <c r="D154" s="60"/>
      <c r="E154" s="1"/>
    </row>
    <row r="155" spans="1:5" x14ac:dyDescent="0.6">
      <c r="D155" s="60"/>
      <c r="E155" s="1"/>
    </row>
    <row r="156" spans="1:5" x14ac:dyDescent="0.6">
      <c r="D156" s="60"/>
      <c r="E156" s="1"/>
    </row>
    <row r="157" spans="1:5" x14ac:dyDescent="0.6">
      <c r="D157" s="60"/>
      <c r="E157" s="1"/>
    </row>
    <row r="158" spans="1:5" x14ac:dyDescent="0.6">
      <c r="D158" s="60"/>
      <c r="E158" s="1"/>
    </row>
    <row r="159" spans="1:5" x14ac:dyDescent="0.6">
      <c r="D159" s="60"/>
      <c r="E159" s="1"/>
    </row>
    <row r="160" spans="1:5" x14ac:dyDescent="0.6">
      <c r="D160" s="60"/>
      <c r="E160" s="1"/>
    </row>
    <row r="161" spans="4:5" x14ac:dyDescent="0.6">
      <c r="D161" s="60"/>
      <c r="E161" s="1"/>
    </row>
    <row r="162" spans="4:5" x14ac:dyDescent="0.6">
      <c r="D162" s="60"/>
      <c r="E162" s="1"/>
    </row>
    <row r="163" spans="4:5" x14ac:dyDescent="0.6">
      <c r="D163" s="60"/>
      <c r="E163" s="1"/>
    </row>
    <row r="164" spans="4:5" x14ac:dyDescent="0.6">
      <c r="D164" s="60"/>
      <c r="E164" s="1"/>
    </row>
    <row r="165" spans="4:5" x14ac:dyDescent="0.6">
      <c r="D165" s="60"/>
      <c r="E165" s="1"/>
    </row>
    <row r="166" spans="4:5" x14ac:dyDescent="0.6">
      <c r="D166" s="60"/>
      <c r="E166" s="1"/>
    </row>
    <row r="167" spans="4:5" x14ac:dyDescent="0.6">
      <c r="D167" s="60"/>
      <c r="E167" s="1"/>
    </row>
    <row r="168" spans="4:5" x14ac:dyDescent="0.6">
      <c r="D168" s="60"/>
      <c r="E168" s="1"/>
    </row>
    <row r="169" spans="4:5" x14ac:dyDescent="0.6">
      <c r="D169" s="60"/>
      <c r="E169" s="1"/>
    </row>
    <row r="170" spans="4:5" x14ac:dyDescent="0.6">
      <c r="D170" s="60"/>
      <c r="E170" s="1"/>
    </row>
    <row r="171" spans="4:5" x14ac:dyDescent="0.6">
      <c r="D171" s="60"/>
      <c r="E171" s="1"/>
    </row>
    <row r="172" spans="4:5" x14ac:dyDescent="0.6">
      <c r="D172" s="60"/>
      <c r="E172" s="1"/>
    </row>
    <row r="173" spans="4:5" x14ac:dyDescent="0.6">
      <c r="D173" s="60"/>
      <c r="E173" s="1"/>
    </row>
    <row r="174" spans="4:5" x14ac:dyDescent="0.6">
      <c r="D174" s="60"/>
      <c r="E174" s="1"/>
    </row>
    <row r="175" spans="4:5" x14ac:dyDescent="0.6">
      <c r="D175" s="60"/>
      <c r="E175" s="1"/>
    </row>
    <row r="176" spans="4:5" x14ac:dyDescent="0.6">
      <c r="D176" s="60"/>
      <c r="E176" s="1"/>
    </row>
    <row r="177" spans="4:5" x14ac:dyDescent="0.6">
      <c r="D177" s="60"/>
      <c r="E177" s="1"/>
    </row>
    <row r="178" spans="4:5" x14ac:dyDescent="0.6">
      <c r="D178" s="60"/>
      <c r="E178" s="1"/>
    </row>
    <row r="179" spans="4:5" x14ac:dyDescent="0.6">
      <c r="D179" s="60"/>
      <c r="E179" s="1"/>
    </row>
    <row r="180" spans="4:5" x14ac:dyDescent="0.6">
      <c r="D180" s="60"/>
      <c r="E180" s="1"/>
    </row>
    <row r="181" spans="4:5" x14ac:dyDescent="0.6">
      <c r="D181" s="60"/>
      <c r="E181" s="1"/>
    </row>
    <row r="182" spans="4:5" x14ac:dyDescent="0.6">
      <c r="D182" s="60"/>
      <c r="E182" s="1"/>
    </row>
    <row r="183" spans="4:5" x14ac:dyDescent="0.6">
      <c r="D183" s="60"/>
      <c r="E183" s="1"/>
    </row>
    <row r="184" spans="4:5" x14ac:dyDescent="0.6">
      <c r="D184" s="60"/>
      <c r="E184" s="1"/>
    </row>
    <row r="185" spans="4:5" x14ac:dyDescent="0.6">
      <c r="D185" s="60"/>
      <c r="E185" s="1"/>
    </row>
    <row r="186" spans="4:5" x14ac:dyDescent="0.6">
      <c r="D186" s="60"/>
      <c r="E186" s="1"/>
    </row>
    <row r="187" spans="4:5" x14ac:dyDescent="0.6">
      <c r="D187" s="60"/>
      <c r="E187" s="1"/>
    </row>
    <row r="188" spans="4:5" x14ac:dyDescent="0.6">
      <c r="D188" s="60"/>
      <c r="E188" s="1"/>
    </row>
    <row r="189" spans="4:5" x14ac:dyDescent="0.6">
      <c r="D189" s="60"/>
      <c r="E189" s="1"/>
    </row>
    <row r="190" spans="4:5" x14ac:dyDescent="0.6">
      <c r="D190" s="60"/>
      <c r="E190" s="1"/>
    </row>
    <row r="191" spans="4:5" x14ac:dyDescent="0.6">
      <c r="D191" s="60"/>
      <c r="E191" s="1"/>
    </row>
    <row r="192" spans="4:5" x14ac:dyDescent="0.6">
      <c r="D192" s="60"/>
      <c r="E192" s="1"/>
    </row>
    <row r="193" spans="4:5" x14ac:dyDescent="0.6">
      <c r="D193" s="60"/>
      <c r="E193" s="1"/>
    </row>
    <row r="194" spans="4:5" x14ac:dyDescent="0.6">
      <c r="D194" s="60"/>
      <c r="E194" s="1"/>
    </row>
    <row r="195" spans="4:5" x14ac:dyDescent="0.6">
      <c r="D195" s="60"/>
      <c r="E195" s="1"/>
    </row>
    <row r="196" spans="4:5" x14ac:dyDescent="0.6">
      <c r="D196" s="60"/>
      <c r="E196" s="1"/>
    </row>
    <row r="197" spans="4:5" x14ac:dyDescent="0.6">
      <c r="D197" s="60"/>
      <c r="E197" s="1"/>
    </row>
    <row r="198" spans="4:5" x14ac:dyDescent="0.6">
      <c r="D198" s="60"/>
      <c r="E198" s="1"/>
    </row>
    <row r="199" spans="4:5" x14ac:dyDescent="0.6">
      <c r="D199" s="60"/>
      <c r="E199" s="1"/>
    </row>
    <row r="200" spans="4:5" x14ac:dyDescent="0.6">
      <c r="D200" s="60"/>
      <c r="E200" s="1"/>
    </row>
    <row r="201" spans="4:5" x14ac:dyDescent="0.6">
      <c r="D201" s="60"/>
      <c r="E201" s="1"/>
    </row>
    <row r="202" spans="4:5" x14ac:dyDescent="0.6">
      <c r="D202" s="60"/>
      <c r="E202" s="1"/>
    </row>
    <row r="203" spans="4:5" x14ac:dyDescent="0.6">
      <c r="D203" s="60"/>
      <c r="E203" s="1"/>
    </row>
    <row r="204" spans="4:5" x14ac:dyDescent="0.6">
      <c r="D204" s="60"/>
      <c r="E204" s="1"/>
    </row>
    <row r="205" spans="4:5" x14ac:dyDescent="0.6">
      <c r="D205" s="60"/>
      <c r="E205" s="1"/>
    </row>
    <row r="206" spans="4:5" x14ac:dyDescent="0.6">
      <c r="D206" s="60"/>
      <c r="E206" s="1"/>
    </row>
    <row r="207" spans="4:5" x14ac:dyDescent="0.6">
      <c r="D207" s="60"/>
      <c r="E207" s="1"/>
    </row>
    <row r="208" spans="4:5" x14ac:dyDescent="0.6">
      <c r="D208" s="60"/>
      <c r="E208" s="1"/>
    </row>
    <row r="209" spans="4:5" x14ac:dyDescent="0.6">
      <c r="D209" s="60"/>
      <c r="E209" s="1"/>
    </row>
    <row r="210" spans="4:5" x14ac:dyDescent="0.6">
      <c r="D210" s="60"/>
      <c r="E210" s="1"/>
    </row>
    <row r="211" spans="4:5" x14ac:dyDescent="0.6">
      <c r="D211" s="60"/>
      <c r="E211" s="1"/>
    </row>
    <row r="212" spans="4:5" x14ac:dyDescent="0.6">
      <c r="D212" s="60"/>
      <c r="E212" s="1"/>
    </row>
    <row r="213" spans="4:5" x14ac:dyDescent="0.6">
      <c r="D213" s="60"/>
      <c r="E213" s="1"/>
    </row>
    <row r="214" spans="4:5" x14ac:dyDescent="0.6">
      <c r="D214" s="60"/>
      <c r="E214" s="1"/>
    </row>
    <row r="215" spans="4:5" x14ac:dyDescent="0.6">
      <c r="D215" s="60"/>
      <c r="E215" s="1"/>
    </row>
    <row r="216" spans="4:5" x14ac:dyDescent="0.6">
      <c r="D216" s="60"/>
      <c r="E216" s="1"/>
    </row>
    <row r="217" spans="4:5" x14ac:dyDescent="0.6">
      <c r="D217" s="60"/>
      <c r="E217" s="1"/>
    </row>
    <row r="218" spans="4:5" x14ac:dyDescent="0.6">
      <c r="D218" s="60"/>
      <c r="E218" s="1"/>
    </row>
    <row r="219" spans="4:5" x14ac:dyDescent="0.6">
      <c r="D219" s="60"/>
      <c r="E219" s="1"/>
    </row>
    <row r="220" spans="4:5" x14ac:dyDescent="0.6">
      <c r="D220" s="60"/>
      <c r="E220" s="1"/>
    </row>
    <row r="221" spans="4:5" x14ac:dyDescent="0.6">
      <c r="D221" s="60"/>
      <c r="E221" s="1"/>
    </row>
    <row r="222" spans="4:5" x14ac:dyDescent="0.6">
      <c r="D222" s="60"/>
      <c r="E222" s="1"/>
    </row>
    <row r="223" spans="4:5" x14ac:dyDescent="0.6">
      <c r="D223" s="60"/>
      <c r="E223" s="1"/>
    </row>
    <row r="224" spans="4:5" x14ac:dyDescent="0.6">
      <c r="D224" s="60"/>
      <c r="E224" s="1"/>
    </row>
    <row r="225" spans="4:5" x14ac:dyDescent="0.6">
      <c r="D225" s="60"/>
      <c r="E225" s="1"/>
    </row>
    <row r="226" spans="4:5" x14ac:dyDescent="0.6">
      <c r="D226" s="60"/>
      <c r="E226" s="1"/>
    </row>
    <row r="227" spans="4:5" x14ac:dyDescent="0.6">
      <c r="D227" s="60"/>
      <c r="E227" s="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G423"/>
  <sheetViews>
    <sheetView showGridLines="0" showZeros="0" zoomScale="115" zoomScaleNormal="115" zoomScalePage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69.59765625" style="85" customWidth="1"/>
    <col min="2" max="2" width="18" style="85" customWidth="1"/>
    <col min="3" max="3" width="18.5" style="244" bestFit="1" customWidth="1"/>
    <col min="4" max="4" width="15" style="70" bestFit="1" customWidth="1"/>
    <col min="5" max="5" width="8.09765625" style="114" bestFit="1" customWidth="1"/>
    <col min="6" max="6" width="15" style="70" customWidth="1"/>
    <col min="7" max="16384" width="10.84765625" style="1"/>
  </cols>
  <sheetData>
    <row r="1" spans="1:7" x14ac:dyDescent="0.6">
      <c r="A1" s="78" t="s">
        <v>761</v>
      </c>
      <c r="C1" s="1352"/>
    </row>
    <row r="2" spans="1:7" ht="15.9" thickBot="1" x14ac:dyDescent="0.65">
      <c r="A2" s="99"/>
      <c r="B2" s="99"/>
      <c r="C2" s="623" t="s">
        <v>237</v>
      </c>
      <c r="D2" s="623" t="s">
        <v>239</v>
      </c>
      <c r="E2" s="838" t="s">
        <v>1731</v>
      </c>
      <c r="F2" s="1477"/>
    </row>
    <row r="3" spans="1:7" s="192" customFormat="1" ht="15.9" thickTop="1" x14ac:dyDescent="0.6">
      <c r="A3" s="1371" t="s">
        <v>37</v>
      </c>
      <c r="B3" s="1372"/>
      <c r="C3" s="721">
        <f>SUM(C4:C93)</f>
        <v>3307442615</v>
      </c>
      <c r="D3" s="722">
        <f>SUM(D24:D93)</f>
        <v>0</v>
      </c>
      <c r="E3" s="838"/>
      <c r="F3" s="1564"/>
      <c r="G3" s="1"/>
    </row>
    <row r="4" spans="1:7" x14ac:dyDescent="0.6">
      <c r="A4" s="85" t="s">
        <v>230</v>
      </c>
      <c r="B4" s="86" t="s">
        <v>766</v>
      </c>
      <c r="C4" s="244">
        <v>233714</v>
      </c>
      <c r="D4" s="607"/>
      <c r="E4" s="838"/>
      <c r="F4" s="1594" t="s">
        <v>37</v>
      </c>
    </row>
    <row r="5" spans="1:7" x14ac:dyDescent="0.6">
      <c r="A5" s="85" t="s">
        <v>231</v>
      </c>
      <c r="B5" s="86"/>
      <c r="C5" s="244">
        <v>2299810</v>
      </c>
      <c r="D5" s="607"/>
      <c r="E5" s="838"/>
      <c r="F5" s="593" t="s">
        <v>42</v>
      </c>
      <c r="G5" s="1">
        <f>93-2</f>
        <v>91</v>
      </c>
    </row>
    <row r="6" spans="1:7" x14ac:dyDescent="0.6">
      <c r="A6" s="85" t="s">
        <v>232</v>
      </c>
      <c r="B6" s="86"/>
      <c r="C6" s="244">
        <v>1468616</v>
      </c>
      <c r="D6" s="607"/>
      <c r="E6" s="838" t="s">
        <v>769</v>
      </c>
      <c r="F6" s="593" t="s">
        <v>802</v>
      </c>
      <c r="G6" s="1">
        <f>COUNTIF(C4:C93,"ND")</f>
        <v>48</v>
      </c>
    </row>
    <row r="7" spans="1:7" x14ac:dyDescent="0.6">
      <c r="A7" s="85" t="s">
        <v>330</v>
      </c>
      <c r="B7" s="86"/>
      <c r="C7" s="244">
        <v>1956000</v>
      </c>
      <c r="D7" s="607"/>
      <c r="E7" s="838" t="s">
        <v>769</v>
      </c>
      <c r="F7" s="593" t="s">
        <v>1732</v>
      </c>
      <c r="G7" s="1">
        <f>COUNTIF(E4:E93,"x")</f>
        <v>51</v>
      </c>
    </row>
    <row r="8" spans="1:7" x14ac:dyDescent="0.6">
      <c r="A8" s="85" t="s">
        <v>1258</v>
      </c>
      <c r="B8" s="86"/>
      <c r="C8" s="244">
        <v>45615537</v>
      </c>
      <c r="D8" s="607"/>
      <c r="E8" s="838"/>
      <c r="F8" s="593" t="s">
        <v>239</v>
      </c>
      <c r="G8" s="1">
        <f>COUNT(D4:D93)</f>
        <v>0</v>
      </c>
    </row>
    <row r="9" spans="1:7" x14ac:dyDescent="0.6">
      <c r="A9" s="85" t="s">
        <v>234</v>
      </c>
      <c r="B9" s="86"/>
      <c r="C9" s="244">
        <v>13898280</v>
      </c>
      <c r="D9" s="607"/>
      <c r="E9" s="838"/>
      <c r="F9" s="593"/>
    </row>
    <row r="10" spans="1:7" x14ac:dyDescent="0.6">
      <c r="A10" s="85" t="s">
        <v>1259</v>
      </c>
      <c r="B10" s="86"/>
      <c r="C10" s="244">
        <v>35930135</v>
      </c>
      <c r="D10" s="607"/>
      <c r="E10" s="838"/>
      <c r="F10" s="593"/>
    </row>
    <row r="11" spans="1:7" x14ac:dyDescent="0.6">
      <c r="A11" s="85" t="s">
        <v>1260</v>
      </c>
      <c r="B11" s="86"/>
      <c r="C11" s="244">
        <v>1746852</v>
      </c>
      <c r="D11" s="607"/>
      <c r="E11" s="838"/>
      <c r="F11" s="593"/>
    </row>
    <row r="12" spans="1:7" x14ac:dyDescent="0.6">
      <c r="A12" s="85" t="s">
        <v>1261</v>
      </c>
      <c r="B12" s="86"/>
      <c r="C12" s="114" t="s">
        <v>804</v>
      </c>
      <c r="D12" s="607"/>
      <c r="E12" s="838"/>
      <c r="F12" s="593"/>
    </row>
    <row r="13" spans="1:7" x14ac:dyDescent="0.6">
      <c r="A13" s="85" t="s">
        <v>1262</v>
      </c>
      <c r="B13" s="86"/>
      <c r="C13" s="244">
        <v>26192088</v>
      </c>
      <c r="D13" s="607"/>
      <c r="E13" s="838"/>
      <c r="F13" s="593"/>
    </row>
    <row r="14" spans="1:7" x14ac:dyDescent="0.6">
      <c r="A14" s="85" t="s">
        <v>417</v>
      </c>
      <c r="B14" s="86"/>
      <c r="C14" s="244">
        <v>523000000</v>
      </c>
      <c r="D14" s="607"/>
      <c r="E14" s="838"/>
      <c r="F14" s="593"/>
    </row>
    <row r="15" spans="1:7" x14ac:dyDescent="0.6">
      <c r="A15" s="85" t="s">
        <v>418</v>
      </c>
      <c r="B15" s="86"/>
      <c r="C15" s="114" t="s">
        <v>804</v>
      </c>
      <c r="D15" s="607"/>
      <c r="E15" s="838"/>
      <c r="F15" s="593"/>
    </row>
    <row r="16" spans="1:7" x14ac:dyDescent="0.6">
      <c r="A16" s="85" t="s">
        <v>419</v>
      </c>
      <c r="B16" s="86"/>
      <c r="C16" s="114" t="s">
        <v>804</v>
      </c>
      <c r="D16" s="607"/>
      <c r="E16" s="838"/>
      <c r="F16" s="593"/>
    </row>
    <row r="17" spans="1:7" x14ac:dyDescent="0.6">
      <c r="A17" s="85" t="s">
        <v>203</v>
      </c>
      <c r="B17" s="86"/>
      <c r="C17" s="244">
        <v>55630246</v>
      </c>
      <c r="D17" s="607"/>
      <c r="E17" s="838"/>
      <c r="F17" s="593"/>
    </row>
    <row r="18" spans="1:7" x14ac:dyDescent="0.6">
      <c r="A18" s="85" t="s">
        <v>420</v>
      </c>
      <c r="B18" s="86"/>
      <c r="C18" s="114" t="s">
        <v>804</v>
      </c>
      <c r="D18" s="607"/>
      <c r="E18" s="838"/>
      <c r="F18" s="593"/>
    </row>
    <row r="19" spans="1:7" x14ac:dyDescent="0.6">
      <c r="A19" s="85" t="s">
        <v>421</v>
      </c>
      <c r="B19" s="86"/>
      <c r="C19" s="114" t="s">
        <v>804</v>
      </c>
      <c r="D19" s="607"/>
      <c r="E19" s="838"/>
      <c r="F19" s="593"/>
    </row>
    <row r="20" spans="1:7" x14ac:dyDescent="0.6">
      <c r="A20" s="85" t="s">
        <v>422</v>
      </c>
      <c r="B20" s="86"/>
      <c r="C20" s="114" t="s">
        <v>804</v>
      </c>
      <c r="D20" s="607"/>
      <c r="E20" s="838"/>
      <c r="F20" s="593"/>
    </row>
    <row r="21" spans="1:7" x14ac:dyDescent="0.6">
      <c r="A21" s="85" t="s">
        <v>423</v>
      </c>
      <c r="B21" s="86"/>
      <c r="C21" s="114" t="s">
        <v>804</v>
      </c>
      <c r="D21" s="607"/>
      <c r="E21" s="838" t="s">
        <v>769</v>
      </c>
      <c r="F21" s="593"/>
    </row>
    <row r="22" spans="1:7" x14ac:dyDescent="0.6">
      <c r="A22" s="85" t="s">
        <v>424</v>
      </c>
      <c r="B22" s="86"/>
      <c r="C22" s="114" t="s">
        <v>804</v>
      </c>
      <c r="D22" s="607"/>
      <c r="E22" s="838" t="s">
        <v>769</v>
      </c>
      <c r="F22" s="593"/>
    </row>
    <row r="23" spans="1:7" x14ac:dyDescent="0.6">
      <c r="B23" s="86" t="s">
        <v>767</v>
      </c>
      <c r="C23" s="114" t="s">
        <v>804</v>
      </c>
      <c r="D23" s="607"/>
      <c r="E23" s="838" t="s">
        <v>769</v>
      </c>
      <c r="F23" s="593"/>
    </row>
    <row r="24" spans="1:7" x14ac:dyDescent="0.6">
      <c r="A24" s="85" t="s">
        <v>425</v>
      </c>
      <c r="B24" s="86" t="s">
        <v>766</v>
      </c>
      <c r="C24" s="114" t="s">
        <v>804</v>
      </c>
      <c r="D24" s="607"/>
      <c r="E24" s="838" t="s">
        <v>769</v>
      </c>
      <c r="F24" s="593"/>
    </row>
    <row r="25" spans="1:7" x14ac:dyDescent="0.6">
      <c r="B25" s="86" t="s">
        <v>767</v>
      </c>
      <c r="C25" s="114" t="s">
        <v>804</v>
      </c>
      <c r="D25" s="607"/>
      <c r="E25" s="838" t="s">
        <v>769</v>
      </c>
      <c r="F25" s="593"/>
    </row>
    <row r="26" spans="1:7" x14ac:dyDescent="0.6">
      <c r="A26" s="85" t="s">
        <v>426</v>
      </c>
      <c r="B26" s="86" t="s">
        <v>766</v>
      </c>
      <c r="C26" s="114" t="s">
        <v>804</v>
      </c>
      <c r="D26" s="607"/>
      <c r="E26" s="838" t="s">
        <v>769</v>
      </c>
      <c r="F26" s="593"/>
    </row>
    <row r="27" spans="1:7" x14ac:dyDescent="0.6">
      <c r="B27" s="86" t="s">
        <v>767</v>
      </c>
      <c r="C27" s="114" t="s">
        <v>804</v>
      </c>
      <c r="D27" s="607"/>
      <c r="E27" s="838" t="s">
        <v>769</v>
      </c>
      <c r="F27" s="593"/>
    </row>
    <row r="28" spans="1:7" x14ac:dyDescent="0.6">
      <c r="A28" s="85" t="s">
        <v>427</v>
      </c>
      <c r="B28" s="86" t="s">
        <v>766</v>
      </c>
      <c r="C28" s="114" t="s">
        <v>804</v>
      </c>
      <c r="D28" s="607"/>
      <c r="E28" s="686" t="s">
        <v>769</v>
      </c>
      <c r="F28" s="595"/>
      <c r="G28" s="596"/>
    </row>
    <row r="29" spans="1:7" x14ac:dyDescent="0.6">
      <c r="B29" s="86" t="s">
        <v>767</v>
      </c>
      <c r="C29" s="114" t="s">
        <v>804</v>
      </c>
      <c r="D29" s="607"/>
      <c r="E29" s="686" t="s">
        <v>769</v>
      </c>
      <c r="F29" s="599"/>
      <c r="G29" s="596"/>
    </row>
    <row r="30" spans="1:7" x14ac:dyDescent="0.6">
      <c r="A30" s="85" t="s">
        <v>428</v>
      </c>
      <c r="B30" s="86" t="s">
        <v>766</v>
      </c>
      <c r="C30" s="114" t="s">
        <v>804</v>
      </c>
      <c r="D30" s="607"/>
      <c r="E30" s="686" t="s">
        <v>769</v>
      </c>
      <c r="F30" s="595"/>
      <c r="G30" s="596"/>
    </row>
    <row r="31" spans="1:7" x14ac:dyDescent="0.6">
      <c r="A31" s="85" t="s">
        <v>429</v>
      </c>
      <c r="B31" s="86"/>
      <c r="C31" s="114" t="s">
        <v>804</v>
      </c>
      <c r="D31" s="607"/>
      <c r="E31" s="686" t="s">
        <v>769</v>
      </c>
      <c r="F31" s="599"/>
      <c r="G31" s="596"/>
    </row>
    <row r="32" spans="1:7" x14ac:dyDescent="0.6">
      <c r="A32" s="85" t="s">
        <v>430</v>
      </c>
      <c r="B32" s="86"/>
      <c r="C32" s="114" t="s">
        <v>804</v>
      </c>
      <c r="D32" s="607"/>
      <c r="E32" s="686" t="s">
        <v>769</v>
      </c>
      <c r="F32" s="595"/>
      <c r="G32" s="596"/>
    </row>
    <row r="33" spans="1:7" x14ac:dyDescent="0.6">
      <c r="B33" s="86" t="s">
        <v>767</v>
      </c>
      <c r="C33" s="114" t="s">
        <v>804</v>
      </c>
      <c r="D33" s="607"/>
      <c r="E33" s="686" t="s">
        <v>769</v>
      </c>
      <c r="F33" s="595"/>
      <c r="G33" s="596"/>
    </row>
    <row r="34" spans="1:7" x14ac:dyDescent="0.6">
      <c r="A34" s="85" t="s">
        <v>431</v>
      </c>
      <c r="B34" s="86" t="s">
        <v>766</v>
      </c>
      <c r="C34" s="114" t="s">
        <v>804</v>
      </c>
      <c r="D34" s="607"/>
      <c r="E34" s="686" t="s">
        <v>769</v>
      </c>
      <c r="F34" s="599"/>
      <c r="G34" s="596"/>
    </row>
    <row r="35" spans="1:7" x14ac:dyDescent="0.6">
      <c r="A35" s="85" t="s">
        <v>432</v>
      </c>
      <c r="B35" s="86"/>
      <c r="C35" s="114" t="s">
        <v>804</v>
      </c>
      <c r="D35" s="607"/>
      <c r="E35" s="686" t="s">
        <v>769</v>
      </c>
      <c r="F35" s="595"/>
      <c r="G35" s="596"/>
    </row>
    <row r="36" spans="1:7" ht="15" customHeight="1" x14ac:dyDescent="0.6">
      <c r="A36" s="85" t="s">
        <v>1263</v>
      </c>
      <c r="B36" s="86"/>
      <c r="C36" s="244">
        <v>158786896</v>
      </c>
      <c r="D36" s="607"/>
      <c r="E36" s="686" t="s">
        <v>769</v>
      </c>
      <c r="F36" s="599"/>
      <c r="G36" s="596"/>
    </row>
    <row r="37" spans="1:7" x14ac:dyDescent="0.6">
      <c r="A37" s="85" t="s">
        <v>433</v>
      </c>
      <c r="B37" s="86"/>
      <c r="C37" s="114" t="s">
        <v>804</v>
      </c>
      <c r="D37" s="607"/>
      <c r="E37" s="686"/>
      <c r="F37" s="595"/>
      <c r="G37" s="596"/>
    </row>
    <row r="38" spans="1:7" ht="15" customHeight="1" x14ac:dyDescent="0.6">
      <c r="B38" s="86" t="s">
        <v>767</v>
      </c>
      <c r="C38" s="114" t="s">
        <v>804</v>
      </c>
      <c r="D38" s="607"/>
      <c r="E38" s="686"/>
      <c r="F38" s="599"/>
      <c r="G38" s="596"/>
    </row>
    <row r="39" spans="1:7" x14ac:dyDescent="0.6">
      <c r="A39" s="85" t="s">
        <v>434</v>
      </c>
      <c r="B39" s="86" t="s">
        <v>766</v>
      </c>
      <c r="C39" s="114" t="s">
        <v>804</v>
      </c>
      <c r="D39" s="607"/>
      <c r="E39" s="686"/>
      <c r="F39" s="595"/>
      <c r="G39" s="596"/>
    </row>
    <row r="40" spans="1:7" x14ac:dyDescent="0.6">
      <c r="B40" s="86" t="s">
        <v>767</v>
      </c>
      <c r="C40" s="114" t="s">
        <v>804</v>
      </c>
      <c r="D40" s="607"/>
      <c r="E40" s="686"/>
      <c r="F40" s="595"/>
      <c r="G40" s="596"/>
    </row>
    <row r="41" spans="1:7" x14ac:dyDescent="0.6">
      <c r="A41" s="85" t="s">
        <v>435</v>
      </c>
      <c r="B41" s="86" t="s">
        <v>766</v>
      </c>
      <c r="C41" s="244">
        <v>149073</v>
      </c>
      <c r="D41" s="607"/>
      <c r="E41" s="686"/>
      <c r="F41" s="599"/>
      <c r="G41" s="596"/>
    </row>
    <row r="42" spans="1:7" x14ac:dyDescent="0.6">
      <c r="A42" s="85" t="s">
        <v>436</v>
      </c>
      <c r="B42" s="86"/>
      <c r="C42" s="114" t="s">
        <v>804</v>
      </c>
      <c r="D42" s="607"/>
      <c r="E42" s="686" t="s">
        <v>769</v>
      </c>
      <c r="F42" s="595"/>
      <c r="G42" s="596"/>
    </row>
    <row r="43" spans="1:7" x14ac:dyDescent="0.6">
      <c r="A43" s="85" t="s">
        <v>437</v>
      </c>
      <c r="B43" s="86"/>
      <c r="C43" s="114" t="s">
        <v>804</v>
      </c>
      <c r="D43" s="607"/>
      <c r="E43" s="686" t="s">
        <v>769</v>
      </c>
      <c r="F43" s="595"/>
      <c r="G43" s="596"/>
    </row>
    <row r="44" spans="1:7" x14ac:dyDescent="0.6">
      <c r="B44" s="86" t="s">
        <v>767</v>
      </c>
      <c r="C44" s="114" t="s">
        <v>804</v>
      </c>
      <c r="D44" s="607"/>
      <c r="E44" s="686" t="s">
        <v>769</v>
      </c>
      <c r="F44" s="599"/>
      <c r="G44" s="596"/>
    </row>
    <row r="45" spans="1:7" x14ac:dyDescent="0.6">
      <c r="A45" s="85" t="s">
        <v>438</v>
      </c>
      <c r="B45" s="86" t="s">
        <v>766</v>
      </c>
      <c r="C45" s="114" t="s">
        <v>804</v>
      </c>
      <c r="D45" s="607"/>
      <c r="E45" s="686" t="s">
        <v>769</v>
      </c>
      <c r="F45" s="595"/>
      <c r="G45" s="596"/>
    </row>
    <row r="46" spans="1:7" x14ac:dyDescent="0.6">
      <c r="B46" s="86" t="s">
        <v>767</v>
      </c>
      <c r="C46" s="114" t="s">
        <v>804</v>
      </c>
      <c r="D46" s="607"/>
      <c r="E46" s="686" t="s">
        <v>769</v>
      </c>
      <c r="F46" s="599"/>
      <c r="G46" s="123"/>
    </row>
    <row r="47" spans="1:7" x14ac:dyDescent="0.6">
      <c r="A47" s="85" t="s">
        <v>439</v>
      </c>
      <c r="B47" s="86" t="s">
        <v>766</v>
      </c>
      <c r="C47" s="114" t="s">
        <v>804</v>
      </c>
      <c r="D47" s="607"/>
      <c r="E47" s="686" t="s">
        <v>769</v>
      </c>
      <c r="F47" s="599"/>
      <c r="G47" s="123"/>
    </row>
    <row r="48" spans="1:7" x14ac:dyDescent="0.6">
      <c r="B48" s="86" t="s">
        <v>767</v>
      </c>
      <c r="C48" s="114" t="s">
        <v>804</v>
      </c>
      <c r="D48" s="607"/>
      <c r="E48" s="686" t="s">
        <v>769</v>
      </c>
      <c r="F48" s="599"/>
      <c r="G48" s="123"/>
    </row>
    <row r="49" spans="1:7" x14ac:dyDescent="0.6">
      <c r="A49" s="85" t="s">
        <v>440</v>
      </c>
      <c r="B49" s="86" t="s">
        <v>766</v>
      </c>
      <c r="C49" s="114" t="s">
        <v>804</v>
      </c>
      <c r="D49" s="607"/>
      <c r="E49" s="686" t="s">
        <v>769</v>
      </c>
      <c r="F49" s="599"/>
      <c r="G49" s="123"/>
    </row>
    <row r="50" spans="1:7" x14ac:dyDescent="0.6">
      <c r="A50" s="85" t="s">
        <v>441</v>
      </c>
      <c r="B50" s="86"/>
      <c r="C50" s="114" t="s">
        <v>804</v>
      </c>
      <c r="D50" s="607"/>
      <c r="E50" s="686" t="s">
        <v>769</v>
      </c>
      <c r="F50" s="599"/>
      <c r="G50" s="123"/>
    </row>
    <row r="51" spans="1:7" x14ac:dyDescent="0.6">
      <c r="A51" s="85" t="s">
        <v>1226</v>
      </c>
      <c r="B51" s="86"/>
      <c r="C51" s="114" t="s">
        <v>804</v>
      </c>
      <c r="D51" s="607"/>
      <c r="E51" s="686" t="s">
        <v>769</v>
      </c>
      <c r="F51" s="599"/>
      <c r="G51" s="123"/>
    </row>
    <row r="52" spans="1:7" x14ac:dyDescent="0.6">
      <c r="B52" s="86" t="s">
        <v>767</v>
      </c>
      <c r="C52" s="114" t="s">
        <v>804</v>
      </c>
      <c r="D52" s="607"/>
      <c r="E52" s="686" t="s">
        <v>769</v>
      </c>
      <c r="F52" s="599"/>
      <c r="G52" s="123"/>
    </row>
    <row r="53" spans="1:7" x14ac:dyDescent="0.6">
      <c r="A53" s="85" t="s">
        <v>442</v>
      </c>
      <c r="B53" s="86" t="s">
        <v>766</v>
      </c>
      <c r="C53" s="114" t="s">
        <v>804</v>
      </c>
      <c r="D53" s="607"/>
      <c r="E53" s="686" t="s">
        <v>769</v>
      </c>
      <c r="F53" s="595"/>
      <c r="G53" s="123"/>
    </row>
    <row r="54" spans="1:7" x14ac:dyDescent="0.6">
      <c r="B54" s="86" t="s">
        <v>767</v>
      </c>
      <c r="C54" s="114" t="s">
        <v>804</v>
      </c>
      <c r="D54" s="607"/>
      <c r="E54" s="686" t="s">
        <v>769</v>
      </c>
      <c r="F54" s="595"/>
      <c r="G54" s="123"/>
    </row>
    <row r="55" spans="1:7" x14ac:dyDescent="0.6">
      <c r="A55" s="85" t="s">
        <v>204</v>
      </c>
      <c r="B55" s="86" t="s">
        <v>766</v>
      </c>
      <c r="C55" s="244">
        <v>625662989</v>
      </c>
      <c r="D55" s="607"/>
      <c r="E55" s="686"/>
      <c r="F55" s="599"/>
      <c r="G55" s="123"/>
    </row>
    <row r="56" spans="1:7" x14ac:dyDescent="0.6">
      <c r="A56" s="85" t="s">
        <v>443</v>
      </c>
      <c r="B56" s="86"/>
      <c r="C56" s="114" t="s">
        <v>804</v>
      </c>
      <c r="D56" s="607"/>
      <c r="E56" s="686" t="s">
        <v>769</v>
      </c>
      <c r="F56" s="595"/>
      <c r="G56" s="123"/>
    </row>
    <row r="57" spans="1:7" x14ac:dyDescent="0.6">
      <c r="B57" s="86" t="s">
        <v>767</v>
      </c>
      <c r="C57" s="114" t="s">
        <v>804</v>
      </c>
      <c r="D57" s="607"/>
      <c r="E57" s="686" t="s">
        <v>769</v>
      </c>
      <c r="F57" s="599"/>
      <c r="G57" s="123"/>
    </row>
    <row r="58" spans="1:7" x14ac:dyDescent="0.6">
      <c r="A58" s="85" t="s">
        <v>444</v>
      </c>
      <c r="B58" s="86" t="s">
        <v>766</v>
      </c>
      <c r="C58" s="114" t="s">
        <v>804</v>
      </c>
      <c r="D58" s="607"/>
      <c r="E58" s="686" t="s">
        <v>769</v>
      </c>
      <c r="F58" s="599"/>
      <c r="G58" s="123"/>
    </row>
    <row r="59" spans="1:7" x14ac:dyDescent="0.6">
      <c r="B59" s="86" t="s">
        <v>767</v>
      </c>
      <c r="C59" s="114" t="s">
        <v>804</v>
      </c>
      <c r="D59" s="607"/>
      <c r="E59" s="686" t="s">
        <v>769</v>
      </c>
      <c r="F59" s="599"/>
      <c r="G59" s="123"/>
    </row>
    <row r="60" spans="1:7" x14ac:dyDescent="0.6">
      <c r="A60" s="85" t="s">
        <v>445</v>
      </c>
      <c r="B60" s="86" t="s">
        <v>766</v>
      </c>
      <c r="C60" s="114" t="s">
        <v>804</v>
      </c>
      <c r="D60" s="607"/>
      <c r="E60" s="686" t="s">
        <v>769</v>
      </c>
      <c r="F60" s="599"/>
      <c r="G60" s="123"/>
    </row>
    <row r="61" spans="1:7" x14ac:dyDescent="0.6">
      <c r="B61" s="86" t="s">
        <v>767</v>
      </c>
      <c r="C61" s="114" t="s">
        <v>804</v>
      </c>
      <c r="D61" s="607"/>
      <c r="E61" s="686" t="s">
        <v>769</v>
      </c>
      <c r="F61" s="595"/>
      <c r="G61" s="123"/>
    </row>
    <row r="62" spans="1:7" x14ac:dyDescent="0.6">
      <c r="A62" s="85" t="s">
        <v>205</v>
      </c>
      <c r="B62" s="86" t="s">
        <v>766</v>
      </c>
      <c r="C62" s="244">
        <v>42097974</v>
      </c>
      <c r="D62" s="607"/>
      <c r="E62" s="686"/>
      <c r="F62" s="599"/>
      <c r="G62" s="123"/>
    </row>
    <row r="63" spans="1:7" x14ac:dyDescent="0.6">
      <c r="A63" s="85" t="s">
        <v>446</v>
      </c>
      <c r="B63" s="86"/>
      <c r="C63" s="114" t="s">
        <v>804</v>
      </c>
      <c r="D63" s="607"/>
      <c r="E63" s="686" t="s">
        <v>769</v>
      </c>
      <c r="F63" s="595"/>
      <c r="G63" s="123"/>
    </row>
    <row r="64" spans="1:7" x14ac:dyDescent="0.6">
      <c r="B64" s="86" t="s">
        <v>767</v>
      </c>
      <c r="C64" s="114" t="s">
        <v>804</v>
      </c>
      <c r="D64" s="607"/>
      <c r="E64" s="686" t="s">
        <v>769</v>
      </c>
      <c r="F64" s="599"/>
      <c r="G64" s="123"/>
    </row>
    <row r="65" spans="1:7" x14ac:dyDescent="0.6">
      <c r="A65" s="85" t="s">
        <v>206</v>
      </c>
      <c r="B65" s="86" t="s">
        <v>766</v>
      </c>
      <c r="C65" s="244">
        <v>43549628</v>
      </c>
      <c r="D65" s="607"/>
      <c r="E65" s="686"/>
      <c r="F65" s="595"/>
      <c r="G65" s="123"/>
    </row>
    <row r="66" spans="1:7" x14ac:dyDescent="0.6">
      <c r="A66" s="85" t="s">
        <v>209</v>
      </c>
      <c r="B66" s="86"/>
      <c r="C66" s="244">
        <v>126748</v>
      </c>
      <c r="D66" s="607"/>
      <c r="E66" s="686"/>
      <c r="F66" s="599"/>
      <c r="G66" s="123"/>
    </row>
    <row r="67" spans="1:7" x14ac:dyDescent="0.6">
      <c r="A67" s="85" t="s">
        <v>211</v>
      </c>
      <c r="B67" s="86"/>
      <c r="C67" s="244">
        <v>6199684</v>
      </c>
      <c r="D67" s="607"/>
      <c r="E67" s="686"/>
      <c r="F67" s="595"/>
      <c r="G67" s="123"/>
    </row>
    <row r="68" spans="1:7" x14ac:dyDescent="0.6">
      <c r="A68" s="85" t="s">
        <v>410</v>
      </c>
      <c r="B68" s="86"/>
      <c r="C68" s="244">
        <v>702883</v>
      </c>
      <c r="D68" s="607"/>
      <c r="E68" s="686"/>
      <c r="F68" s="599"/>
      <c r="G68" s="123"/>
    </row>
    <row r="69" spans="1:7" x14ac:dyDescent="0.6">
      <c r="A69" s="85" t="s">
        <v>411</v>
      </c>
      <c r="B69" s="86"/>
      <c r="C69" s="244">
        <v>31170602</v>
      </c>
      <c r="D69" s="607"/>
      <c r="E69" s="686" t="s">
        <v>769</v>
      </c>
      <c r="F69" s="595"/>
      <c r="G69" s="123"/>
    </row>
    <row r="70" spans="1:7" x14ac:dyDescent="0.6">
      <c r="A70" s="85" t="s">
        <v>412</v>
      </c>
      <c r="B70" s="86"/>
      <c r="C70" s="244">
        <v>31758884</v>
      </c>
      <c r="D70" s="607"/>
      <c r="E70" s="686" t="s">
        <v>769</v>
      </c>
      <c r="F70" s="599"/>
      <c r="G70" s="123"/>
    </row>
    <row r="71" spans="1:7" x14ac:dyDescent="0.6">
      <c r="A71" s="85" t="s">
        <v>413</v>
      </c>
      <c r="B71" s="86"/>
      <c r="C71" s="244">
        <v>2792382</v>
      </c>
      <c r="D71" s="607"/>
      <c r="E71" s="686" t="s">
        <v>769</v>
      </c>
      <c r="F71" s="595"/>
      <c r="G71" s="123"/>
    </row>
    <row r="72" spans="1:7" x14ac:dyDescent="0.6">
      <c r="A72" s="85" t="s">
        <v>1264</v>
      </c>
      <c r="B72" s="86"/>
      <c r="C72" s="244">
        <v>21544117</v>
      </c>
      <c r="D72" s="607"/>
      <c r="E72" s="686" t="s">
        <v>769</v>
      </c>
      <c r="F72" s="599"/>
      <c r="G72" s="123"/>
    </row>
    <row r="73" spans="1:7" x14ac:dyDescent="0.6">
      <c r="A73" s="85" t="s">
        <v>414</v>
      </c>
      <c r="B73" s="86"/>
      <c r="C73" s="244">
        <v>21544117</v>
      </c>
      <c r="D73" s="607"/>
      <c r="E73" s="686" t="s">
        <v>769</v>
      </c>
      <c r="F73" s="595"/>
      <c r="G73" s="123"/>
    </row>
    <row r="74" spans="1:7" x14ac:dyDescent="0.6">
      <c r="A74" s="85" t="s">
        <v>415</v>
      </c>
      <c r="B74" s="86"/>
      <c r="C74" s="244">
        <v>10109196</v>
      </c>
      <c r="D74" s="607"/>
      <c r="E74" s="686" t="s">
        <v>769</v>
      </c>
      <c r="F74" s="599"/>
      <c r="G74" s="123"/>
    </row>
    <row r="75" spans="1:7" x14ac:dyDescent="0.6">
      <c r="A75" s="85" t="s">
        <v>416</v>
      </c>
      <c r="B75" s="86"/>
      <c r="C75" s="244">
        <v>36409826</v>
      </c>
      <c r="D75" s="607"/>
      <c r="E75" s="686" t="s">
        <v>769</v>
      </c>
      <c r="F75" s="599"/>
      <c r="G75" s="123"/>
    </row>
    <row r="76" spans="1:7" x14ac:dyDescent="0.6">
      <c r="A76" s="85" t="s">
        <v>223</v>
      </c>
      <c r="B76" s="86"/>
      <c r="C76" s="244">
        <v>4550880</v>
      </c>
      <c r="D76" s="607"/>
      <c r="E76" s="686"/>
      <c r="F76" s="595"/>
      <c r="G76" s="123"/>
    </row>
    <row r="77" spans="1:7" x14ac:dyDescent="0.6">
      <c r="A77" s="85" t="s">
        <v>224</v>
      </c>
      <c r="B77" s="86"/>
      <c r="C77" s="244">
        <v>43747</v>
      </c>
      <c r="D77" s="607"/>
      <c r="E77" s="686"/>
      <c r="F77" s="599"/>
      <c r="G77" s="123"/>
    </row>
    <row r="78" spans="1:7" x14ac:dyDescent="0.6">
      <c r="A78" s="85" t="s">
        <v>225</v>
      </c>
      <c r="B78" s="86"/>
      <c r="C78" s="244">
        <v>1741322</v>
      </c>
      <c r="D78" s="607"/>
      <c r="E78" s="686" t="s">
        <v>769</v>
      </c>
      <c r="F78" s="595"/>
      <c r="G78" s="123"/>
    </row>
    <row r="79" spans="1:7" x14ac:dyDescent="0.6">
      <c r="A79" s="85" t="s">
        <v>226</v>
      </c>
      <c r="B79" s="86"/>
      <c r="C79" s="244">
        <v>220637</v>
      </c>
      <c r="D79" s="607"/>
      <c r="E79" s="686" t="s">
        <v>769</v>
      </c>
      <c r="F79" s="599"/>
      <c r="G79" s="123"/>
    </row>
    <row r="80" spans="1:7" x14ac:dyDescent="0.6">
      <c r="A80" s="85" t="s">
        <v>227</v>
      </c>
      <c r="B80" s="86"/>
      <c r="C80" s="244">
        <v>1897052</v>
      </c>
      <c r="D80" s="607"/>
      <c r="E80" s="686" t="s">
        <v>769</v>
      </c>
      <c r="F80" s="595"/>
      <c r="G80" s="123"/>
    </row>
    <row r="81" spans="1:7" x14ac:dyDescent="0.6">
      <c r="A81" s="85" t="s">
        <v>228</v>
      </c>
      <c r="B81" s="86"/>
      <c r="C81" s="244">
        <v>548502</v>
      </c>
      <c r="D81" s="607"/>
      <c r="E81" s="686" t="s">
        <v>769</v>
      </c>
      <c r="F81" s="599"/>
      <c r="G81" s="123"/>
    </row>
    <row r="82" spans="1:7" x14ac:dyDescent="0.6">
      <c r="A82" s="85" t="s">
        <v>229</v>
      </c>
      <c r="B82" s="86"/>
      <c r="C82" s="244">
        <v>86305</v>
      </c>
      <c r="D82" s="607"/>
      <c r="E82" s="686" t="s">
        <v>769</v>
      </c>
      <c r="F82" s="595"/>
      <c r="G82" s="123"/>
    </row>
    <row r="83" spans="1:7" x14ac:dyDescent="0.6">
      <c r="A83" s="85" t="s">
        <v>1265</v>
      </c>
      <c r="B83" s="86" t="s">
        <v>766</v>
      </c>
      <c r="C83" s="244">
        <v>5195930</v>
      </c>
      <c r="D83" s="607"/>
      <c r="E83" s="686"/>
      <c r="F83" s="599"/>
      <c r="G83" s="123"/>
    </row>
    <row r="84" spans="1:7" x14ac:dyDescent="0.6">
      <c r="A84" s="85" t="s">
        <v>242</v>
      </c>
      <c r="B84" s="86"/>
      <c r="C84" s="244">
        <v>7870628</v>
      </c>
      <c r="D84" s="607"/>
      <c r="E84" s="838"/>
      <c r="F84" s="1565"/>
    </row>
    <row r="85" spans="1:7" x14ac:dyDescent="0.6">
      <c r="A85" s="85" t="s">
        <v>243</v>
      </c>
      <c r="B85" s="86"/>
      <c r="C85" s="244">
        <v>201469825</v>
      </c>
      <c r="D85" s="607"/>
      <c r="E85" s="838"/>
      <c r="F85" s="593"/>
    </row>
    <row r="86" spans="1:7" x14ac:dyDescent="0.6">
      <c r="A86" s="85" t="s">
        <v>244</v>
      </c>
      <c r="B86" s="86"/>
      <c r="C86" s="244">
        <v>7870628</v>
      </c>
      <c r="D86" s="607"/>
      <c r="E86" s="838"/>
      <c r="F86" s="593"/>
    </row>
    <row r="87" spans="1:7" x14ac:dyDescent="0.6">
      <c r="A87" s="85" t="s">
        <v>409</v>
      </c>
      <c r="B87" s="86" t="s">
        <v>766</v>
      </c>
      <c r="C87" s="244">
        <v>200000000</v>
      </c>
      <c r="D87" s="607"/>
      <c r="E87" s="838"/>
      <c r="F87" s="593"/>
    </row>
    <row r="88" spans="1:7" x14ac:dyDescent="0.6">
      <c r="A88" s="85" t="s">
        <v>246</v>
      </c>
      <c r="B88" s="86" t="s">
        <v>766</v>
      </c>
      <c r="C88" s="244">
        <v>660000000</v>
      </c>
      <c r="D88" s="607"/>
      <c r="E88" s="838"/>
      <c r="F88" s="593"/>
    </row>
    <row r="89" spans="1:7" x14ac:dyDescent="0.6">
      <c r="A89" s="85" t="s">
        <v>223</v>
      </c>
      <c r="B89" s="86"/>
      <c r="C89" s="244">
        <v>345370882</v>
      </c>
      <c r="D89" s="607"/>
      <c r="E89" s="838"/>
      <c r="F89" s="593"/>
    </row>
    <row r="90" spans="1:7" x14ac:dyDescent="0.6">
      <c r="A90" s="85" t="s">
        <v>247</v>
      </c>
      <c r="B90" s="86"/>
      <c r="C90" s="244">
        <v>90000000</v>
      </c>
      <c r="D90" s="607"/>
      <c r="E90" s="838"/>
      <c r="F90" s="593"/>
    </row>
    <row r="91" spans="1:7" x14ac:dyDescent="0.6">
      <c r="A91" s="85" t="s">
        <v>248</v>
      </c>
      <c r="B91" s="86"/>
      <c r="C91" s="244">
        <v>40000000</v>
      </c>
      <c r="D91" s="607"/>
      <c r="E91" s="838"/>
      <c r="F91" s="593"/>
    </row>
    <row r="92" spans="1:7" x14ac:dyDescent="0.6">
      <c r="A92" s="85" t="s">
        <v>1266</v>
      </c>
      <c r="B92" s="86"/>
      <c r="C92" s="114" t="s">
        <v>804</v>
      </c>
      <c r="D92" s="607"/>
      <c r="E92" s="838"/>
      <c r="F92" s="593"/>
    </row>
    <row r="93" spans="1:7" ht="15.9" thickBot="1" x14ac:dyDescent="0.65">
      <c r="A93" s="99" t="s">
        <v>1267</v>
      </c>
      <c r="B93" s="1373"/>
      <c r="C93" s="114" t="s">
        <v>804</v>
      </c>
      <c r="D93" s="624"/>
      <c r="E93" s="1593"/>
      <c r="F93" s="108"/>
      <c r="G93" s="16"/>
    </row>
    <row r="94" spans="1:7" s="748" customFormat="1" ht="15.9" thickTop="1" x14ac:dyDescent="0.6">
      <c r="A94" s="1060" t="s">
        <v>0</v>
      </c>
      <c r="B94" s="689"/>
      <c r="C94" s="827"/>
      <c r="D94" s="724"/>
      <c r="E94" s="838"/>
      <c r="F94" s="593"/>
      <c r="G94" s="1"/>
    </row>
    <row r="95" spans="1:7" s="596" customFormat="1" ht="15.9" thickBot="1" x14ac:dyDescent="0.65">
      <c r="A95" s="124"/>
      <c r="B95" s="690"/>
      <c r="C95" s="1079"/>
      <c r="D95" s="131"/>
      <c r="E95" s="838"/>
      <c r="F95" s="1594" t="s">
        <v>1739</v>
      </c>
      <c r="G95" s="69"/>
    </row>
    <row r="96" spans="1:7" s="748" customFormat="1" ht="15.9" thickTop="1" x14ac:dyDescent="0.6">
      <c r="A96" s="1060" t="s">
        <v>1</v>
      </c>
      <c r="B96" s="689"/>
      <c r="C96" s="827"/>
      <c r="D96" s="724"/>
      <c r="E96" s="838"/>
      <c r="F96" s="593" t="s">
        <v>42</v>
      </c>
      <c r="G96" s="1">
        <v>165</v>
      </c>
    </row>
    <row r="97" spans="1:7" s="596" customFormat="1" ht="15.9" thickBot="1" x14ac:dyDescent="0.65">
      <c r="A97" s="124"/>
      <c r="B97" s="690"/>
      <c r="C97" s="1079"/>
      <c r="D97" s="131"/>
      <c r="E97" s="838"/>
      <c r="F97" s="593" t="s">
        <v>802</v>
      </c>
      <c r="G97" s="1">
        <f>COUNTIF(C94:C298,"ND")</f>
        <v>80</v>
      </c>
    </row>
    <row r="98" spans="1:7" s="748" customFormat="1" ht="15.9" thickTop="1" x14ac:dyDescent="0.6">
      <c r="A98" s="1060" t="s">
        <v>2</v>
      </c>
      <c r="B98" s="689"/>
      <c r="C98" s="827"/>
      <c r="D98" s="724"/>
      <c r="E98" s="1063"/>
      <c r="F98" s="593" t="s">
        <v>1732</v>
      </c>
      <c r="G98" s="1">
        <f>COUNTIF(E94:E298,"x")</f>
        <v>5</v>
      </c>
    </row>
    <row r="99" spans="1:7" s="123" customFormat="1" x14ac:dyDescent="0.6">
      <c r="A99" s="599" t="s">
        <v>770</v>
      </c>
      <c r="B99" s="689" t="s">
        <v>766</v>
      </c>
      <c r="C99" s="660" t="s">
        <v>804</v>
      </c>
      <c r="D99" s="130"/>
      <c r="E99" s="686"/>
      <c r="F99" s="593" t="s">
        <v>239</v>
      </c>
      <c r="G99" s="1"/>
    </row>
    <row r="100" spans="1:7" s="123" customFormat="1" ht="15.9" thickBot="1" x14ac:dyDescent="0.65">
      <c r="A100" s="124" t="s">
        <v>771</v>
      </c>
      <c r="B100" s="690" t="s">
        <v>766</v>
      </c>
      <c r="C100" s="1079" t="s">
        <v>804</v>
      </c>
      <c r="D100" s="131"/>
      <c r="E100" s="1063" t="s">
        <v>769</v>
      </c>
      <c r="F100" s="600"/>
      <c r="G100" s="145"/>
    </row>
    <row r="101" spans="1:7" s="748" customFormat="1" ht="15.9" thickTop="1" x14ac:dyDescent="0.6">
      <c r="A101" s="1060" t="s">
        <v>3</v>
      </c>
      <c r="B101" s="689"/>
      <c r="C101" s="827">
        <f>C102</f>
        <v>0</v>
      </c>
      <c r="D101" s="724"/>
      <c r="E101" s="1406"/>
      <c r="F101" s="1566"/>
      <c r="G101" s="123"/>
    </row>
    <row r="102" spans="1:7" s="596" customFormat="1" ht="15.9" thickBot="1" x14ac:dyDescent="0.65">
      <c r="A102" s="124"/>
      <c r="B102" s="690"/>
      <c r="C102" s="1079"/>
      <c r="D102" s="131"/>
      <c r="E102" s="1406"/>
      <c r="F102" s="601"/>
      <c r="G102" s="123"/>
    </row>
    <row r="103" spans="1:7" s="748" customFormat="1" ht="15.9" thickTop="1" x14ac:dyDescent="0.6">
      <c r="A103" s="1060" t="s">
        <v>4</v>
      </c>
      <c r="B103" s="689"/>
      <c r="C103" s="827"/>
      <c r="D103" s="724"/>
      <c r="E103" s="1406"/>
      <c r="F103" s="601"/>
      <c r="G103" s="123"/>
    </row>
    <row r="104" spans="1:7" s="596" customFormat="1" ht="15.9" thickBot="1" x14ac:dyDescent="0.65">
      <c r="A104" s="124"/>
      <c r="B104" s="690"/>
      <c r="C104" s="1079"/>
      <c r="D104" s="131"/>
      <c r="E104" s="1406"/>
      <c r="F104" s="601"/>
      <c r="G104" s="123"/>
    </row>
    <row r="105" spans="1:7" s="748" customFormat="1" ht="15.9" thickTop="1" x14ac:dyDescent="0.6">
      <c r="A105" s="1060" t="s">
        <v>5</v>
      </c>
      <c r="B105" s="689"/>
      <c r="C105" s="827">
        <f>C106</f>
        <v>552591</v>
      </c>
      <c r="D105" s="724"/>
      <c r="E105" s="1406" t="s">
        <v>769</v>
      </c>
      <c r="F105" s="601"/>
      <c r="G105" s="123"/>
    </row>
    <row r="106" spans="1:7" s="596" customFormat="1" ht="15.9" thickBot="1" x14ac:dyDescent="0.65">
      <c r="A106" s="124" t="s">
        <v>757</v>
      </c>
      <c r="B106" s="690" t="s">
        <v>766</v>
      </c>
      <c r="C106" s="1079">
        <v>552591</v>
      </c>
      <c r="D106" s="131"/>
      <c r="E106" s="1406"/>
      <c r="F106" s="601"/>
      <c r="G106" s="123"/>
    </row>
    <row r="107" spans="1:7" s="748" customFormat="1" ht="15.9" thickTop="1" x14ac:dyDescent="0.6">
      <c r="A107" s="1060" t="s">
        <v>6</v>
      </c>
      <c r="B107" s="689"/>
      <c r="C107" s="827">
        <f>SUM(C108:C109)</f>
        <v>1547633</v>
      </c>
      <c r="D107" s="724"/>
      <c r="E107" s="1406"/>
      <c r="F107" s="601"/>
      <c r="G107" s="123"/>
    </row>
    <row r="108" spans="1:7" s="748" customFormat="1" x14ac:dyDescent="0.6">
      <c r="A108" s="599" t="s">
        <v>719</v>
      </c>
      <c r="B108" s="689" t="s">
        <v>767</v>
      </c>
      <c r="C108" s="686" t="s">
        <v>804</v>
      </c>
      <c r="D108" s="726"/>
      <c r="E108" s="1406" t="s">
        <v>769</v>
      </c>
      <c r="F108" s="601"/>
      <c r="G108" s="123"/>
    </row>
    <row r="109" spans="1:7" s="596" customFormat="1" ht="15.9" thickBot="1" x14ac:dyDescent="0.65">
      <c r="A109" s="124" t="s">
        <v>1229</v>
      </c>
      <c r="B109" s="690"/>
      <c r="C109" s="1079">
        <v>1547633</v>
      </c>
      <c r="D109" s="131"/>
      <c r="E109" s="1572"/>
      <c r="F109" s="1567"/>
      <c r="G109" s="123"/>
    </row>
    <row r="110" spans="1:7" s="748" customFormat="1" ht="15.9" thickTop="1" x14ac:dyDescent="0.6">
      <c r="A110" s="1060" t="s">
        <v>7</v>
      </c>
      <c r="B110" s="689"/>
      <c r="C110" s="827">
        <f>SUM(C111:C116)</f>
        <v>72627996</v>
      </c>
      <c r="D110" s="724"/>
      <c r="E110" s="1065"/>
      <c r="F110" s="694"/>
      <c r="G110" s="123"/>
    </row>
    <row r="111" spans="1:7" s="123" customFormat="1" x14ac:dyDescent="0.6">
      <c r="A111" s="599" t="s">
        <v>1229</v>
      </c>
      <c r="B111" s="689" t="s">
        <v>766</v>
      </c>
      <c r="C111" s="660">
        <v>72627996</v>
      </c>
      <c r="D111" s="130"/>
      <c r="E111" s="1065"/>
      <c r="F111" s="694"/>
    </row>
    <row r="112" spans="1:7" s="123" customFormat="1" x14ac:dyDescent="0.6">
      <c r="A112" s="599"/>
      <c r="B112" s="689" t="s">
        <v>767</v>
      </c>
      <c r="C112" s="686" t="s">
        <v>804</v>
      </c>
      <c r="D112" s="130"/>
      <c r="E112" s="1065"/>
      <c r="F112" s="694"/>
    </row>
    <row r="113" spans="1:7" s="123" customFormat="1" x14ac:dyDescent="0.6">
      <c r="A113" s="599" t="s">
        <v>772</v>
      </c>
      <c r="B113" s="689" t="s">
        <v>766</v>
      </c>
      <c r="C113" s="686" t="s">
        <v>804</v>
      </c>
      <c r="D113" s="130"/>
      <c r="E113" s="1065" t="s">
        <v>769</v>
      </c>
      <c r="F113" s="694"/>
    </row>
    <row r="114" spans="1:7" s="123" customFormat="1" x14ac:dyDescent="0.6">
      <c r="A114" s="599"/>
      <c r="B114" s="689" t="s">
        <v>767</v>
      </c>
      <c r="C114" s="686" t="s">
        <v>804</v>
      </c>
      <c r="D114" s="130"/>
      <c r="E114" s="1065" t="s">
        <v>769</v>
      </c>
      <c r="F114" s="694"/>
    </row>
    <row r="115" spans="1:7" s="123" customFormat="1" x14ac:dyDescent="0.6">
      <c r="A115" s="599" t="s">
        <v>1232</v>
      </c>
      <c r="B115" s="689" t="s">
        <v>766</v>
      </c>
      <c r="C115" s="686" t="s">
        <v>804</v>
      </c>
      <c r="D115" s="130"/>
      <c r="E115" s="1065"/>
      <c r="F115" s="694"/>
    </row>
    <row r="116" spans="1:7" s="123" customFormat="1" ht="15.9" thickBot="1" x14ac:dyDescent="0.65">
      <c r="A116" s="124"/>
      <c r="B116" s="690" t="s">
        <v>767</v>
      </c>
      <c r="C116" s="598" t="s">
        <v>804</v>
      </c>
      <c r="D116" s="131"/>
      <c r="E116" s="1090"/>
      <c r="F116" s="1568"/>
    </row>
    <row r="117" spans="1:7" s="748" customFormat="1" ht="15.9" thickTop="1" x14ac:dyDescent="0.6">
      <c r="A117" s="1060" t="s">
        <v>8</v>
      </c>
      <c r="B117" s="689"/>
      <c r="C117" s="827"/>
      <c r="D117" s="724"/>
      <c r="E117" s="1090"/>
      <c r="F117" s="605"/>
      <c r="G117" s="123"/>
    </row>
    <row r="118" spans="1:7" s="123" customFormat="1" ht="15.9" thickBot="1" x14ac:dyDescent="0.65">
      <c r="A118" s="124" t="s">
        <v>246</v>
      </c>
      <c r="B118" s="690" t="s">
        <v>766</v>
      </c>
      <c r="C118" s="598" t="s">
        <v>804</v>
      </c>
      <c r="D118" s="131"/>
      <c r="E118" s="1090"/>
      <c r="F118" s="605"/>
    </row>
    <row r="119" spans="1:7" s="748" customFormat="1" ht="15.9" thickTop="1" x14ac:dyDescent="0.6">
      <c r="A119" s="1060" t="s">
        <v>9</v>
      </c>
      <c r="B119" s="689"/>
      <c r="C119" s="827">
        <f>SUM(C120:C121)</f>
        <v>13487837</v>
      </c>
      <c r="D119" s="724"/>
      <c r="E119" s="686"/>
      <c r="F119" s="595"/>
      <c r="G119" s="123"/>
    </row>
    <row r="120" spans="1:7" s="748" customFormat="1" x14ac:dyDescent="0.6">
      <c r="A120" s="599" t="s">
        <v>1229</v>
      </c>
      <c r="B120" s="689" t="s">
        <v>766</v>
      </c>
      <c r="C120" s="686" t="s">
        <v>804</v>
      </c>
      <c r="D120" s="726"/>
      <c r="E120" s="686"/>
      <c r="F120" s="599"/>
      <c r="G120" s="123"/>
    </row>
    <row r="121" spans="1:7" s="123" customFormat="1" ht="15.9" thickBot="1" x14ac:dyDescent="0.65">
      <c r="A121" s="124" t="s">
        <v>774</v>
      </c>
      <c r="B121" s="690" t="s">
        <v>766</v>
      </c>
      <c r="C121" s="1079">
        <v>13487837</v>
      </c>
      <c r="D121" s="131"/>
      <c r="E121" s="686"/>
      <c r="F121" s="599"/>
    </row>
    <row r="122" spans="1:7" s="748" customFormat="1" ht="15.9" thickTop="1" x14ac:dyDescent="0.6">
      <c r="A122" s="1060" t="s">
        <v>10</v>
      </c>
      <c r="B122" s="689"/>
      <c r="C122" s="827"/>
      <c r="D122" s="724"/>
      <c r="E122" s="686"/>
      <c r="F122" s="599"/>
      <c r="G122" s="123"/>
    </row>
    <row r="123" spans="1:7" s="123" customFormat="1" ht="15.9" thickBot="1" x14ac:dyDescent="0.65">
      <c r="A123" s="124"/>
      <c r="B123" s="690"/>
      <c r="C123" s="1079"/>
      <c r="D123" s="131"/>
      <c r="E123" s="686"/>
      <c r="F123" s="599"/>
    </row>
    <row r="124" spans="1:7" s="748" customFormat="1" ht="15.9" thickTop="1" x14ac:dyDescent="0.6">
      <c r="A124" s="1060" t="s">
        <v>11</v>
      </c>
      <c r="B124" s="689"/>
      <c r="C124" s="1375">
        <f>SUM(C125:C126)</f>
        <v>64328137</v>
      </c>
      <c r="D124" s="750"/>
      <c r="E124" s="686"/>
      <c r="F124" s="599"/>
      <c r="G124" s="123"/>
    </row>
    <row r="125" spans="1:7" s="123" customFormat="1" x14ac:dyDescent="0.6">
      <c r="A125" s="599" t="s">
        <v>1229</v>
      </c>
      <c r="B125" s="689" t="s">
        <v>766</v>
      </c>
      <c r="C125" s="1376">
        <v>46327692</v>
      </c>
      <c r="D125" s="633"/>
      <c r="E125" s="686"/>
      <c r="F125" s="599"/>
    </row>
    <row r="126" spans="1:7" s="123" customFormat="1" ht="15.9" thickBot="1" x14ac:dyDescent="0.65">
      <c r="A126" s="124"/>
      <c r="B126" s="690" t="s">
        <v>767</v>
      </c>
      <c r="C126" s="1377">
        <v>18000445</v>
      </c>
      <c r="D126" s="635"/>
      <c r="E126" s="686"/>
      <c r="F126" s="599"/>
    </row>
    <row r="127" spans="1:7" s="748" customFormat="1" ht="15.9" thickTop="1" x14ac:dyDescent="0.6">
      <c r="A127" s="1060" t="s">
        <v>12</v>
      </c>
      <c r="B127" s="689"/>
      <c r="C127" s="827"/>
      <c r="D127" s="724"/>
      <c r="E127" s="686"/>
      <c r="F127" s="599"/>
      <c r="G127" s="123"/>
    </row>
    <row r="128" spans="1:7" s="123" customFormat="1" x14ac:dyDescent="0.6">
      <c r="A128" s="599" t="s">
        <v>520</v>
      </c>
      <c r="B128" s="689" t="s">
        <v>767</v>
      </c>
      <c r="C128" s="686" t="s">
        <v>804</v>
      </c>
      <c r="D128" s="130"/>
      <c r="E128" s="686"/>
      <c r="F128" s="599"/>
    </row>
    <row r="129" spans="1:7" s="123" customFormat="1" ht="15.9" thickBot="1" x14ac:dyDescent="0.65">
      <c r="A129" s="124" t="s">
        <v>1268</v>
      </c>
      <c r="B129" s="690" t="s">
        <v>767</v>
      </c>
      <c r="C129" s="598" t="s">
        <v>804</v>
      </c>
      <c r="D129" s="131"/>
      <c r="E129" s="838"/>
      <c r="F129" s="1565"/>
    </row>
    <row r="130" spans="1:7" s="748" customFormat="1" ht="15.9" thickTop="1" x14ac:dyDescent="0.6">
      <c r="A130" s="1060" t="s">
        <v>13</v>
      </c>
      <c r="B130" s="689"/>
      <c r="C130" s="827"/>
      <c r="D130" s="724"/>
      <c r="E130" s="838"/>
      <c r="F130" s="593"/>
      <c r="G130" s="123"/>
    </row>
    <row r="131" spans="1:7" s="123" customFormat="1" ht="15.9" thickBot="1" x14ac:dyDescent="0.65">
      <c r="A131" s="124"/>
      <c r="B131" s="690"/>
      <c r="C131" s="1079"/>
      <c r="D131" s="131"/>
      <c r="E131" s="774"/>
      <c r="F131" s="1569"/>
    </row>
    <row r="132" spans="1:7" s="748" customFormat="1" ht="15.9" thickTop="1" x14ac:dyDescent="0.6">
      <c r="A132" s="1060" t="s">
        <v>14</v>
      </c>
      <c r="B132" s="689"/>
      <c r="C132" s="827"/>
      <c r="D132" s="724"/>
      <c r="E132" s="774"/>
      <c r="F132" s="608"/>
      <c r="G132" s="123"/>
    </row>
    <row r="133" spans="1:7" s="123" customFormat="1" ht="15.9" thickBot="1" x14ac:dyDescent="0.65">
      <c r="A133" s="124"/>
      <c r="B133" s="690"/>
      <c r="C133" s="1079"/>
      <c r="D133" s="131"/>
      <c r="E133" s="774"/>
      <c r="F133" s="608"/>
    </row>
    <row r="134" spans="1:7" s="748" customFormat="1" ht="15.9" thickTop="1" x14ac:dyDescent="0.6">
      <c r="A134" s="1060" t="s">
        <v>15</v>
      </c>
      <c r="B134" s="689"/>
      <c r="C134" s="827"/>
      <c r="D134" s="724"/>
      <c r="E134" s="774"/>
      <c r="F134" s="608"/>
      <c r="G134" s="145"/>
    </row>
    <row r="135" spans="1:7" s="123" customFormat="1" ht="15.9" thickBot="1" x14ac:dyDescent="0.65">
      <c r="A135" s="124"/>
      <c r="B135" s="690"/>
      <c r="C135" s="1079"/>
      <c r="D135" s="131"/>
      <c r="E135" s="614"/>
      <c r="F135" s="1570"/>
    </row>
    <row r="136" spans="1:7" s="748" customFormat="1" ht="15.9" thickTop="1" x14ac:dyDescent="0.6">
      <c r="A136" s="1060" t="s">
        <v>16</v>
      </c>
      <c r="B136" s="689"/>
      <c r="C136" s="827"/>
      <c r="D136" s="724"/>
      <c r="E136" s="614"/>
      <c r="F136" s="611"/>
      <c r="G136" s="145"/>
    </row>
    <row r="137" spans="1:7" s="123" customFormat="1" ht="15.9" thickBot="1" x14ac:dyDescent="0.65">
      <c r="A137" s="124"/>
      <c r="B137" s="690"/>
      <c r="C137" s="1079"/>
      <c r="D137" s="131"/>
      <c r="E137" s="1326"/>
      <c r="F137" s="1571"/>
    </row>
    <row r="138" spans="1:7" s="748" customFormat="1" ht="15.9" thickTop="1" x14ac:dyDescent="0.6">
      <c r="A138" s="1060" t="s">
        <v>17</v>
      </c>
      <c r="B138" s="689"/>
      <c r="C138" s="827"/>
      <c r="D138" s="724"/>
      <c r="E138" s="1326"/>
      <c r="F138" s="615"/>
      <c r="G138" s="123"/>
    </row>
    <row r="139" spans="1:7" s="123" customFormat="1" ht="15.9" thickBot="1" x14ac:dyDescent="0.65">
      <c r="A139" s="124"/>
      <c r="B139" s="690"/>
      <c r="C139" s="1079"/>
      <c r="D139" s="131"/>
      <c r="E139" s="1326"/>
      <c r="F139" s="615"/>
    </row>
    <row r="140" spans="1:7" s="748" customFormat="1" ht="15.9" thickTop="1" x14ac:dyDescent="0.6">
      <c r="A140" s="1060" t="s">
        <v>18</v>
      </c>
      <c r="B140" s="689"/>
      <c r="C140" s="827"/>
      <c r="D140" s="724"/>
      <c r="E140" s="686"/>
      <c r="F140" s="595"/>
      <c r="G140" s="123"/>
    </row>
    <row r="141" spans="1:7" s="123" customFormat="1" ht="15.9" thickBot="1" x14ac:dyDescent="0.65">
      <c r="A141" s="124"/>
      <c r="B141" s="690"/>
      <c r="C141" s="1079"/>
      <c r="D141" s="131"/>
      <c r="E141" s="686"/>
      <c r="F141" s="599"/>
    </row>
    <row r="142" spans="1:7" s="748" customFormat="1" ht="15.9" thickTop="1" x14ac:dyDescent="0.6">
      <c r="A142" s="1060" t="s">
        <v>19</v>
      </c>
      <c r="B142" s="689"/>
      <c r="C142" s="827"/>
      <c r="D142" s="724"/>
      <c r="E142" s="686"/>
      <c r="F142" s="599"/>
      <c r="G142" s="123"/>
    </row>
    <row r="143" spans="1:7" s="123" customFormat="1" ht="15.9" thickBot="1" x14ac:dyDescent="0.65">
      <c r="A143" s="124"/>
      <c r="B143" s="690"/>
      <c r="C143" s="1079"/>
      <c r="D143" s="131"/>
      <c r="E143" s="60"/>
      <c r="F143" s="85"/>
      <c r="G143" s="1"/>
    </row>
    <row r="144" spans="1:7" s="748" customFormat="1" ht="15.9" thickTop="1" x14ac:dyDescent="0.6">
      <c r="A144" s="1060" t="s">
        <v>20</v>
      </c>
      <c r="B144" s="689"/>
      <c r="C144" s="827">
        <f>SUM(C145:C174)</f>
        <v>119630054</v>
      </c>
      <c r="D144" s="724"/>
      <c r="E144" s="114"/>
      <c r="F144" s="70"/>
      <c r="G144" s="1"/>
    </row>
    <row r="145" spans="1:7" s="123" customFormat="1" x14ac:dyDescent="0.6">
      <c r="A145" s="599" t="s">
        <v>448</v>
      </c>
      <c r="B145" s="689" t="s">
        <v>766</v>
      </c>
      <c r="C145" s="660">
        <v>23551000</v>
      </c>
      <c r="D145" s="130"/>
      <c r="E145" s="114"/>
      <c r="F145" s="70"/>
      <c r="G145" s="1"/>
    </row>
    <row r="146" spans="1:7" s="123" customFormat="1" x14ac:dyDescent="0.6">
      <c r="A146" s="599"/>
      <c r="B146" s="689" t="s">
        <v>767</v>
      </c>
      <c r="C146" s="660">
        <v>1414253</v>
      </c>
      <c r="D146" s="130"/>
      <c r="E146" s="114"/>
      <c r="F146" s="70"/>
      <c r="G146" s="1"/>
    </row>
    <row r="147" spans="1:7" s="123" customFormat="1" x14ac:dyDescent="0.6">
      <c r="A147" s="599" t="s">
        <v>1269</v>
      </c>
      <c r="B147" s="689" t="s">
        <v>766</v>
      </c>
      <c r="C147" s="686" t="s">
        <v>804</v>
      </c>
      <c r="D147" s="130"/>
      <c r="E147" s="60"/>
      <c r="F147" s="1"/>
      <c r="G147" s="1"/>
    </row>
    <row r="148" spans="1:7" s="123" customFormat="1" x14ac:dyDescent="0.6">
      <c r="A148" s="599"/>
      <c r="B148" s="689" t="s">
        <v>767</v>
      </c>
      <c r="C148" s="686" t="s">
        <v>804</v>
      </c>
      <c r="D148" s="130"/>
      <c r="E148" s="60"/>
      <c r="F148" s="1"/>
      <c r="G148" s="1"/>
    </row>
    <row r="149" spans="1:7" s="123" customFormat="1" x14ac:dyDescent="0.6">
      <c r="A149" s="599" t="s">
        <v>449</v>
      </c>
      <c r="B149" s="689" t="s">
        <v>766</v>
      </c>
      <c r="C149" s="660">
        <v>32971400</v>
      </c>
      <c r="D149" s="130"/>
      <c r="E149" s="60"/>
      <c r="F149" s="1"/>
      <c r="G149" s="1"/>
    </row>
    <row r="150" spans="1:7" s="123" customFormat="1" x14ac:dyDescent="0.6">
      <c r="A150" s="599"/>
      <c r="B150" s="689" t="s">
        <v>767</v>
      </c>
      <c r="C150" s="660">
        <v>1979954</v>
      </c>
      <c r="D150" s="130"/>
      <c r="E150" s="60"/>
      <c r="F150" s="1"/>
      <c r="G150" s="1"/>
    </row>
    <row r="151" spans="1:7" s="123" customFormat="1" x14ac:dyDescent="0.6">
      <c r="A151" s="599" t="s">
        <v>1270</v>
      </c>
      <c r="B151" s="689" t="s">
        <v>766</v>
      </c>
      <c r="C151" s="686" t="s">
        <v>804</v>
      </c>
      <c r="D151" s="130"/>
      <c r="E151" s="60"/>
      <c r="F151" s="1"/>
      <c r="G151" s="1"/>
    </row>
    <row r="152" spans="1:7" s="123" customFormat="1" x14ac:dyDescent="0.6">
      <c r="A152" s="599"/>
      <c r="B152" s="689" t="s">
        <v>767</v>
      </c>
      <c r="C152" s="686" t="s">
        <v>804</v>
      </c>
      <c r="D152" s="130"/>
      <c r="E152" s="60"/>
      <c r="F152" s="1"/>
      <c r="G152" s="1"/>
    </row>
    <row r="153" spans="1:7" s="123" customFormat="1" x14ac:dyDescent="0.6">
      <c r="A153" s="599" t="s">
        <v>450</v>
      </c>
      <c r="B153" s="689" t="s">
        <v>766</v>
      </c>
      <c r="C153" s="660">
        <v>2682417</v>
      </c>
      <c r="D153" s="130"/>
      <c r="E153" s="60"/>
      <c r="F153" s="1"/>
      <c r="G153" s="1"/>
    </row>
    <row r="154" spans="1:7" s="123" customFormat="1" x14ac:dyDescent="0.6">
      <c r="A154" s="599"/>
      <c r="B154" s="689" t="s">
        <v>767</v>
      </c>
      <c r="C154" s="660">
        <v>161081</v>
      </c>
      <c r="D154" s="130"/>
      <c r="E154" s="60"/>
      <c r="F154" s="1"/>
      <c r="G154" s="1"/>
    </row>
    <row r="155" spans="1:7" s="123" customFormat="1" x14ac:dyDescent="0.6">
      <c r="A155" s="599" t="s">
        <v>451</v>
      </c>
      <c r="B155" s="689" t="s">
        <v>766</v>
      </c>
      <c r="C155" s="686" t="s">
        <v>804</v>
      </c>
      <c r="D155" s="130"/>
      <c r="E155" s="60"/>
      <c r="F155" s="1"/>
      <c r="G155" s="1"/>
    </row>
    <row r="156" spans="1:7" s="123" customFormat="1" x14ac:dyDescent="0.6">
      <c r="A156" s="599"/>
      <c r="B156" s="689" t="s">
        <v>767</v>
      </c>
      <c r="C156" s="686" t="s">
        <v>804</v>
      </c>
      <c r="D156" s="130"/>
      <c r="E156" s="60"/>
      <c r="F156" s="1"/>
      <c r="G156" s="1"/>
    </row>
    <row r="157" spans="1:7" s="123" customFormat="1" x14ac:dyDescent="0.6">
      <c r="A157" s="599" t="s">
        <v>1271</v>
      </c>
      <c r="B157" s="689" t="s">
        <v>766</v>
      </c>
      <c r="C157" s="686" t="s">
        <v>804</v>
      </c>
      <c r="D157" s="130"/>
      <c r="E157" s="60"/>
      <c r="F157" s="1"/>
      <c r="G157" s="1"/>
    </row>
    <row r="158" spans="1:7" s="123" customFormat="1" x14ac:dyDescent="0.6">
      <c r="A158" s="599"/>
      <c r="B158" s="689" t="s">
        <v>767</v>
      </c>
      <c r="C158" s="686" t="s">
        <v>804</v>
      </c>
      <c r="D158" s="130"/>
      <c r="E158" s="60"/>
      <c r="F158" s="1"/>
      <c r="G158" s="1"/>
    </row>
    <row r="159" spans="1:7" s="123" customFormat="1" x14ac:dyDescent="0.6">
      <c r="A159" s="599" t="s">
        <v>1272</v>
      </c>
      <c r="B159" s="689" t="s">
        <v>766</v>
      </c>
      <c r="C159" s="686" t="s">
        <v>804</v>
      </c>
      <c r="D159" s="130"/>
      <c r="E159" s="60"/>
      <c r="F159" s="1"/>
      <c r="G159" s="1"/>
    </row>
    <row r="160" spans="1:7" s="123" customFormat="1" x14ac:dyDescent="0.6">
      <c r="A160" s="599"/>
      <c r="B160" s="689" t="s">
        <v>767</v>
      </c>
      <c r="C160" s="686" t="s">
        <v>804</v>
      </c>
      <c r="D160" s="130"/>
      <c r="E160" s="60"/>
      <c r="F160" s="1"/>
      <c r="G160" s="1"/>
    </row>
    <row r="161" spans="1:7" s="123" customFormat="1" x14ac:dyDescent="0.6">
      <c r="A161" s="599" t="s">
        <v>452</v>
      </c>
      <c r="B161" s="689" t="s">
        <v>766</v>
      </c>
      <c r="C161" s="686" t="s">
        <v>804</v>
      </c>
      <c r="D161" s="130"/>
      <c r="E161" s="60"/>
      <c r="F161" s="1"/>
      <c r="G161" s="1"/>
    </row>
    <row r="162" spans="1:7" s="123" customFormat="1" x14ac:dyDescent="0.6">
      <c r="A162" s="599"/>
      <c r="B162" s="689" t="s">
        <v>767</v>
      </c>
      <c r="C162" s="686" t="s">
        <v>804</v>
      </c>
      <c r="D162" s="130"/>
      <c r="E162" s="60"/>
      <c r="F162" s="1"/>
      <c r="G162" s="1"/>
    </row>
    <row r="163" spans="1:7" s="123" customFormat="1" x14ac:dyDescent="0.6">
      <c r="A163" s="599" t="s">
        <v>453</v>
      </c>
      <c r="B163" s="689" t="s">
        <v>766</v>
      </c>
      <c r="C163" s="686" t="s">
        <v>804</v>
      </c>
      <c r="D163" s="130"/>
      <c r="E163" s="60"/>
      <c r="F163" s="1"/>
      <c r="G163" s="1"/>
    </row>
    <row r="164" spans="1:7" s="123" customFormat="1" x14ac:dyDescent="0.6">
      <c r="A164" s="599"/>
      <c r="B164" s="689" t="s">
        <v>767</v>
      </c>
      <c r="C164" s="686" t="s">
        <v>804</v>
      </c>
      <c r="D164" s="130"/>
      <c r="E164" s="60"/>
      <c r="F164" s="1"/>
      <c r="G164" s="1"/>
    </row>
    <row r="165" spans="1:7" s="123" customFormat="1" x14ac:dyDescent="0.6">
      <c r="A165" s="599" t="s">
        <v>1273</v>
      </c>
      <c r="B165" s="689" t="s">
        <v>766</v>
      </c>
      <c r="C165" s="660">
        <v>26824166</v>
      </c>
      <c r="D165" s="130"/>
      <c r="E165" s="60"/>
      <c r="F165" s="1"/>
      <c r="G165" s="1"/>
    </row>
    <row r="166" spans="1:7" s="123" customFormat="1" x14ac:dyDescent="0.6">
      <c r="A166" s="599"/>
      <c r="B166" s="689" t="s">
        <v>767</v>
      </c>
      <c r="C166" s="660">
        <v>1610808</v>
      </c>
      <c r="D166" s="130"/>
      <c r="E166" s="60"/>
      <c r="F166" s="1"/>
      <c r="G166" s="1"/>
    </row>
    <row r="167" spans="1:7" s="123" customFormat="1" x14ac:dyDescent="0.6">
      <c r="A167" s="599" t="s">
        <v>1274</v>
      </c>
      <c r="B167" s="689" t="s">
        <v>766</v>
      </c>
      <c r="C167" s="686" t="s">
        <v>804</v>
      </c>
      <c r="D167" s="130"/>
      <c r="E167" s="60"/>
      <c r="F167" s="1"/>
      <c r="G167" s="1"/>
    </row>
    <row r="168" spans="1:7" s="123" customFormat="1" x14ac:dyDescent="0.6">
      <c r="A168" s="599"/>
      <c r="B168" s="689" t="s">
        <v>767</v>
      </c>
      <c r="C168" s="686" t="s">
        <v>804</v>
      </c>
      <c r="D168" s="130"/>
      <c r="E168" s="60"/>
      <c r="F168" s="1"/>
      <c r="G168" s="1"/>
    </row>
    <row r="169" spans="1:7" s="123" customFormat="1" x14ac:dyDescent="0.6">
      <c r="A169" s="599" t="s">
        <v>1275</v>
      </c>
      <c r="B169" s="689" t="s">
        <v>766</v>
      </c>
      <c r="C169" s="660">
        <v>16094500</v>
      </c>
      <c r="D169" s="130"/>
      <c r="E169" s="60"/>
      <c r="F169" s="1"/>
      <c r="G169" s="1"/>
    </row>
    <row r="170" spans="1:7" s="123" customFormat="1" x14ac:dyDescent="0.6">
      <c r="A170" s="599"/>
      <c r="B170" s="689" t="s">
        <v>767</v>
      </c>
      <c r="C170" s="660">
        <v>966485</v>
      </c>
      <c r="D170" s="130"/>
      <c r="E170" s="60"/>
      <c r="F170" s="1"/>
      <c r="G170" s="1"/>
    </row>
    <row r="171" spans="1:7" s="123" customFormat="1" x14ac:dyDescent="0.6">
      <c r="A171" s="599" t="s">
        <v>1276</v>
      </c>
      <c r="B171" s="689" t="s">
        <v>766</v>
      </c>
      <c r="C171" s="686" t="s">
        <v>804</v>
      </c>
      <c r="D171" s="130"/>
      <c r="E171" s="60"/>
      <c r="F171" s="1"/>
      <c r="G171" s="1"/>
    </row>
    <row r="172" spans="1:7" s="123" customFormat="1" x14ac:dyDescent="0.6">
      <c r="A172" s="599"/>
      <c r="B172" s="689" t="s">
        <v>767</v>
      </c>
      <c r="C172" s="686" t="s">
        <v>804</v>
      </c>
      <c r="D172" s="130"/>
      <c r="E172" s="60"/>
      <c r="F172" s="1"/>
      <c r="G172" s="1"/>
    </row>
    <row r="173" spans="1:7" s="123" customFormat="1" x14ac:dyDescent="0.6">
      <c r="A173" s="599" t="s">
        <v>1277</v>
      </c>
      <c r="B173" s="689" t="s">
        <v>766</v>
      </c>
      <c r="C173" s="660">
        <v>10729667</v>
      </c>
      <c r="D173" s="130"/>
      <c r="E173" s="60"/>
      <c r="F173" s="1"/>
      <c r="G173" s="1"/>
    </row>
    <row r="174" spans="1:7" s="123" customFormat="1" ht="15.9" thickBot="1" x14ac:dyDescent="0.65">
      <c r="A174" s="124"/>
      <c r="B174" s="690" t="s">
        <v>767</v>
      </c>
      <c r="C174" s="660">
        <v>644323</v>
      </c>
      <c r="D174" s="131"/>
      <c r="E174" s="60"/>
      <c r="F174" s="1"/>
      <c r="G174" s="1"/>
    </row>
    <row r="175" spans="1:7" s="192" customFormat="1" ht="15.9" thickTop="1" x14ac:dyDescent="0.6">
      <c r="A175" s="78" t="s">
        <v>773</v>
      </c>
      <c r="B175" s="86"/>
      <c r="C175" s="1353">
        <f>SUM(C176:C213)</f>
        <v>463348533</v>
      </c>
      <c r="D175" s="728"/>
      <c r="E175" s="60"/>
      <c r="F175" s="1"/>
      <c r="G175" s="1"/>
    </row>
    <row r="176" spans="1:7" x14ac:dyDescent="0.6">
      <c r="A176" s="118" t="s">
        <v>1245</v>
      </c>
      <c r="B176" s="692" t="s">
        <v>766</v>
      </c>
      <c r="C176" s="686" t="s">
        <v>804</v>
      </c>
      <c r="D176" s="607"/>
      <c r="E176" s="60"/>
      <c r="F176" s="1"/>
    </row>
    <row r="177" spans="1:6" x14ac:dyDescent="0.6">
      <c r="A177" s="118"/>
      <c r="B177" s="692" t="s">
        <v>767</v>
      </c>
      <c r="C177" s="686" t="s">
        <v>804</v>
      </c>
      <c r="D177" s="607"/>
      <c r="E177" s="60"/>
      <c r="F177" s="1"/>
    </row>
    <row r="178" spans="1:6" x14ac:dyDescent="0.6">
      <c r="A178" s="118" t="s">
        <v>459</v>
      </c>
      <c r="B178" s="692" t="s">
        <v>766</v>
      </c>
      <c r="C178" s="244">
        <v>7776</v>
      </c>
      <c r="D178" s="607"/>
      <c r="E178" s="60"/>
      <c r="F178" s="1"/>
    </row>
    <row r="179" spans="1:6" x14ac:dyDescent="0.6">
      <c r="A179" s="118"/>
      <c r="B179" s="692" t="s">
        <v>767</v>
      </c>
      <c r="C179" s="244">
        <v>7317</v>
      </c>
      <c r="D179" s="607"/>
      <c r="E179" s="60"/>
      <c r="F179" s="1"/>
    </row>
    <row r="180" spans="1:6" x14ac:dyDescent="0.6">
      <c r="A180" s="118" t="s">
        <v>460</v>
      </c>
      <c r="B180" s="692" t="s">
        <v>766</v>
      </c>
      <c r="C180" s="244">
        <v>3958949</v>
      </c>
      <c r="D180" s="607"/>
      <c r="E180" s="60"/>
      <c r="F180" s="1"/>
    </row>
    <row r="181" spans="1:6" x14ac:dyDescent="0.6">
      <c r="A181" s="118"/>
      <c r="B181" s="692" t="s">
        <v>767</v>
      </c>
      <c r="C181" s="244">
        <v>3725414</v>
      </c>
      <c r="D181" s="607"/>
      <c r="E181" s="60"/>
      <c r="F181" s="1"/>
    </row>
    <row r="182" spans="1:6" x14ac:dyDescent="0.6">
      <c r="A182" s="118" t="s">
        <v>1278</v>
      </c>
      <c r="B182" s="692" t="s">
        <v>766</v>
      </c>
      <c r="C182" s="686" t="s">
        <v>804</v>
      </c>
      <c r="D182" s="607"/>
      <c r="E182" s="60"/>
      <c r="F182" s="1"/>
    </row>
    <row r="183" spans="1:6" x14ac:dyDescent="0.6">
      <c r="A183" s="118"/>
      <c r="B183" s="692" t="s">
        <v>767</v>
      </c>
      <c r="C183" s="686" t="s">
        <v>804</v>
      </c>
      <c r="D183" s="607"/>
      <c r="E183" s="60"/>
      <c r="F183" s="1"/>
    </row>
    <row r="184" spans="1:6" x14ac:dyDescent="0.6">
      <c r="A184" s="118" t="s">
        <v>1279</v>
      </c>
      <c r="B184" s="692" t="s">
        <v>766</v>
      </c>
      <c r="C184" s="686" t="s">
        <v>804</v>
      </c>
      <c r="D184" s="607"/>
      <c r="E184" s="60"/>
      <c r="F184" s="1"/>
    </row>
    <row r="185" spans="1:6" x14ac:dyDescent="0.6">
      <c r="A185" s="118" t="s">
        <v>461</v>
      </c>
      <c r="B185" s="692"/>
      <c r="C185" s="244">
        <v>5731028</v>
      </c>
      <c r="D185" s="607"/>
      <c r="E185" s="60"/>
      <c r="F185" s="1"/>
    </row>
    <row r="186" spans="1:6" x14ac:dyDescent="0.6">
      <c r="A186" s="118"/>
      <c r="B186" s="692" t="s">
        <v>767</v>
      </c>
      <c r="C186" s="244">
        <v>47963</v>
      </c>
      <c r="D186" s="607"/>
      <c r="E186" s="60"/>
      <c r="F186" s="1"/>
    </row>
    <row r="187" spans="1:6" x14ac:dyDescent="0.6">
      <c r="A187" s="118" t="s">
        <v>462</v>
      </c>
      <c r="B187" s="692" t="s">
        <v>766</v>
      </c>
      <c r="C187" s="686" t="s">
        <v>804</v>
      </c>
      <c r="D187" s="607"/>
      <c r="E187" s="60"/>
      <c r="F187" s="1"/>
    </row>
    <row r="188" spans="1:6" x14ac:dyDescent="0.6">
      <c r="A188" s="118"/>
      <c r="B188" s="692" t="s">
        <v>767</v>
      </c>
      <c r="C188" s="686" t="s">
        <v>804</v>
      </c>
      <c r="D188" s="607"/>
      <c r="E188" s="60"/>
      <c r="F188" s="1"/>
    </row>
    <row r="189" spans="1:6" x14ac:dyDescent="0.6">
      <c r="A189" s="118" t="s">
        <v>463</v>
      </c>
      <c r="B189" s="692" t="s">
        <v>766</v>
      </c>
      <c r="C189" s="686" t="s">
        <v>804</v>
      </c>
      <c r="D189" s="607"/>
      <c r="E189" s="60"/>
      <c r="F189" s="1"/>
    </row>
    <row r="190" spans="1:6" x14ac:dyDescent="0.6">
      <c r="A190" s="118" t="s">
        <v>1242</v>
      </c>
      <c r="B190" s="692" t="s">
        <v>766</v>
      </c>
      <c r="C190" s="686" t="s">
        <v>804</v>
      </c>
      <c r="D190" s="607"/>
      <c r="E190" s="60"/>
      <c r="F190" s="1"/>
    </row>
    <row r="191" spans="1:6" x14ac:dyDescent="0.6">
      <c r="A191" s="118"/>
      <c r="B191" s="692" t="s">
        <v>767</v>
      </c>
      <c r="C191" s="686" t="s">
        <v>804</v>
      </c>
      <c r="D191" s="607"/>
      <c r="E191" s="60"/>
      <c r="F191" s="1"/>
    </row>
    <row r="192" spans="1:6" x14ac:dyDescent="0.6">
      <c r="A192" s="118" t="s">
        <v>1243</v>
      </c>
      <c r="B192" s="692" t="s">
        <v>766</v>
      </c>
      <c r="C192" s="686" t="s">
        <v>804</v>
      </c>
      <c r="D192" s="607"/>
      <c r="E192" s="60"/>
      <c r="F192" s="1"/>
    </row>
    <row r="193" spans="1:6" x14ac:dyDescent="0.6">
      <c r="A193" s="118"/>
      <c r="B193" s="692" t="s">
        <v>767</v>
      </c>
      <c r="C193" s="686" t="s">
        <v>804</v>
      </c>
      <c r="D193" s="607"/>
      <c r="E193" s="60"/>
      <c r="F193" s="1"/>
    </row>
    <row r="194" spans="1:6" x14ac:dyDescent="0.6">
      <c r="A194" s="118" t="s">
        <v>464</v>
      </c>
      <c r="B194" s="692" t="s">
        <v>766</v>
      </c>
      <c r="C194" s="244">
        <v>387365654</v>
      </c>
      <c r="D194" s="607"/>
      <c r="E194" s="60"/>
      <c r="F194" s="1"/>
    </row>
    <row r="195" spans="1:6" x14ac:dyDescent="0.6">
      <c r="A195" s="118"/>
      <c r="B195" s="692" t="s">
        <v>767</v>
      </c>
      <c r="C195" s="244">
        <v>36081151</v>
      </c>
      <c r="D195" s="607"/>
      <c r="E195" s="60"/>
      <c r="F195" s="1"/>
    </row>
    <row r="196" spans="1:6" x14ac:dyDescent="0.6">
      <c r="A196" s="118" t="s">
        <v>465</v>
      </c>
      <c r="B196" s="692" t="s">
        <v>766</v>
      </c>
      <c r="C196" s="244">
        <v>5791199</v>
      </c>
      <c r="D196" s="607"/>
      <c r="E196" s="60"/>
      <c r="F196" s="1"/>
    </row>
    <row r="197" spans="1:6" x14ac:dyDescent="0.6">
      <c r="A197" s="118"/>
      <c r="B197" s="692" t="s">
        <v>767</v>
      </c>
      <c r="C197" s="244">
        <v>71394</v>
      </c>
      <c r="D197" s="607"/>
      <c r="E197" s="60"/>
      <c r="F197" s="1"/>
    </row>
    <row r="198" spans="1:6" x14ac:dyDescent="0.6">
      <c r="A198" s="118" t="s">
        <v>1280</v>
      </c>
      <c r="B198" s="692" t="s">
        <v>766</v>
      </c>
      <c r="C198" s="686" t="s">
        <v>804</v>
      </c>
      <c r="D198" s="607"/>
      <c r="E198" s="60"/>
      <c r="F198" s="1"/>
    </row>
    <row r="199" spans="1:6" x14ac:dyDescent="0.6">
      <c r="A199" s="118"/>
      <c r="B199" s="692" t="s">
        <v>767</v>
      </c>
      <c r="C199" s="686" t="s">
        <v>804</v>
      </c>
      <c r="D199" s="607"/>
      <c r="E199" s="60"/>
      <c r="F199" s="1"/>
    </row>
    <row r="200" spans="1:6" x14ac:dyDescent="0.6">
      <c r="A200" s="118" t="s">
        <v>466</v>
      </c>
      <c r="B200" s="692" t="s">
        <v>766</v>
      </c>
      <c r="C200" s="244">
        <v>10934241</v>
      </c>
      <c r="D200" s="607"/>
      <c r="E200" s="60"/>
      <c r="F200" s="1"/>
    </row>
    <row r="201" spans="1:6" x14ac:dyDescent="0.6">
      <c r="A201" s="118"/>
      <c r="B201" s="692" t="s">
        <v>767</v>
      </c>
      <c r="C201" s="244">
        <v>10289239</v>
      </c>
      <c r="D201" s="607"/>
      <c r="E201" s="60"/>
      <c r="F201" s="1"/>
    </row>
    <row r="202" spans="1:6" x14ac:dyDescent="0.6">
      <c r="A202" s="118" t="s">
        <v>1281</v>
      </c>
      <c r="B202" s="692" t="s">
        <v>766</v>
      </c>
      <c r="C202" s="686" t="s">
        <v>804</v>
      </c>
      <c r="D202" s="607"/>
      <c r="E202" s="60"/>
      <c r="F202" s="1"/>
    </row>
    <row r="203" spans="1:6" x14ac:dyDescent="0.6">
      <c r="A203" s="118"/>
      <c r="B203" s="692" t="s">
        <v>767</v>
      </c>
      <c r="C203" s="686" t="s">
        <v>804</v>
      </c>
      <c r="D203" s="607"/>
      <c r="E203" s="60"/>
      <c r="F203" s="1"/>
    </row>
    <row r="204" spans="1:6" x14ac:dyDescent="0.6">
      <c r="A204" s="118" t="s">
        <v>265</v>
      </c>
      <c r="B204" s="692" t="s">
        <v>766</v>
      </c>
      <c r="C204" s="244">
        <v>2100000</v>
      </c>
      <c r="D204" s="607"/>
      <c r="E204" s="60"/>
      <c r="F204" s="1"/>
    </row>
    <row r="205" spans="1:6" x14ac:dyDescent="0.6">
      <c r="A205" s="118" t="s">
        <v>467</v>
      </c>
      <c r="B205" s="692"/>
      <c r="C205" s="686" t="s">
        <v>804</v>
      </c>
      <c r="D205" s="607"/>
      <c r="E205" s="60"/>
      <c r="F205" s="1"/>
    </row>
    <row r="206" spans="1:6" x14ac:dyDescent="0.6">
      <c r="A206" s="118" t="s">
        <v>455</v>
      </c>
      <c r="B206" s="692" t="s">
        <v>766</v>
      </c>
      <c r="C206" s="686" t="s">
        <v>804</v>
      </c>
      <c r="D206" s="607"/>
      <c r="E206" s="60"/>
      <c r="F206" s="1"/>
    </row>
    <row r="207" spans="1:6" x14ac:dyDescent="0.6">
      <c r="A207" s="118"/>
      <c r="B207" s="692" t="s">
        <v>767</v>
      </c>
      <c r="C207" s="686" t="s">
        <v>804</v>
      </c>
      <c r="D207" s="607"/>
      <c r="E207" s="60"/>
      <c r="F207" s="1"/>
    </row>
    <row r="208" spans="1:6" x14ac:dyDescent="0.6">
      <c r="A208" s="118" t="s">
        <v>1282</v>
      </c>
      <c r="B208" s="692" t="s">
        <v>766</v>
      </c>
      <c r="C208" s="686" t="s">
        <v>804</v>
      </c>
      <c r="D208" s="607"/>
      <c r="E208" s="60"/>
      <c r="F208" s="1"/>
    </row>
    <row r="209" spans="1:7" x14ac:dyDescent="0.6">
      <c r="A209" s="118"/>
      <c r="B209" s="692" t="s">
        <v>767</v>
      </c>
      <c r="C209" s="686" t="s">
        <v>804</v>
      </c>
      <c r="D209" s="607"/>
      <c r="E209" s="60"/>
      <c r="F209" s="1"/>
    </row>
    <row r="210" spans="1:7" x14ac:dyDescent="0.6">
      <c r="A210" s="118" t="s">
        <v>1283</v>
      </c>
      <c r="B210" s="692" t="s">
        <v>766</v>
      </c>
      <c r="C210" s="244">
        <v>-5610228</v>
      </c>
      <c r="D210" s="607"/>
      <c r="E210" s="60"/>
      <c r="F210" s="1"/>
    </row>
    <row r="211" spans="1:7" x14ac:dyDescent="0.6">
      <c r="A211" s="118"/>
      <c r="B211" s="692" t="s">
        <v>767</v>
      </c>
      <c r="C211" s="244">
        <v>-522564</v>
      </c>
      <c r="D211" s="607"/>
      <c r="E211" s="60"/>
      <c r="F211" s="1"/>
    </row>
    <row r="212" spans="1:7" x14ac:dyDescent="0.6">
      <c r="A212" s="118" t="s">
        <v>458</v>
      </c>
      <c r="B212" s="692" t="s">
        <v>766</v>
      </c>
      <c r="C212" s="686" t="s">
        <v>804</v>
      </c>
      <c r="D212" s="607"/>
      <c r="E212" s="60"/>
      <c r="F212" s="1"/>
    </row>
    <row r="213" spans="1:7" ht="15.9" thickBot="1" x14ac:dyDescent="0.65">
      <c r="A213" s="99" t="s">
        <v>1284</v>
      </c>
      <c r="B213" s="1373" t="s">
        <v>766</v>
      </c>
      <c r="C213" s="244">
        <v>3370000</v>
      </c>
      <c r="D213" s="624"/>
      <c r="E213" s="60"/>
      <c r="F213" s="1"/>
    </row>
    <row r="214" spans="1:7" s="748" customFormat="1" ht="15.9" thickTop="1" x14ac:dyDescent="0.6">
      <c r="A214" s="1060" t="s">
        <v>39</v>
      </c>
      <c r="B214" s="689"/>
      <c r="C214" s="1354">
        <f>SUM(C215:C218)</f>
        <v>370037504</v>
      </c>
      <c r="D214" s="724">
        <f>SUM(D215:D218)</f>
        <v>0</v>
      </c>
      <c r="E214" s="60"/>
      <c r="F214" s="1"/>
      <c r="G214" s="1"/>
    </row>
    <row r="215" spans="1:7" s="123" customFormat="1" x14ac:dyDescent="0.6">
      <c r="A215" s="599" t="s">
        <v>1229</v>
      </c>
      <c r="B215" s="689" t="s">
        <v>766</v>
      </c>
      <c r="C215" s="1355">
        <v>254043933</v>
      </c>
      <c r="D215" s="130"/>
      <c r="E215" s="60"/>
      <c r="F215" s="1"/>
      <c r="G215" s="1"/>
    </row>
    <row r="216" spans="1:7" s="123" customFormat="1" x14ac:dyDescent="0.6">
      <c r="A216" s="599"/>
      <c r="B216" s="689" t="s">
        <v>767</v>
      </c>
      <c r="C216" s="1355">
        <v>33291361</v>
      </c>
      <c r="D216" s="130"/>
      <c r="E216" s="60"/>
      <c r="F216" s="1"/>
      <c r="G216" s="1"/>
    </row>
    <row r="217" spans="1:7" s="123" customFormat="1" x14ac:dyDescent="0.6">
      <c r="A217" s="599" t="s">
        <v>1285</v>
      </c>
      <c r="B217" s="689" t="s">
        <v>766</v>
      </c>
      <c r="C217" s="1355">
        <v>73120132</v>
      </c>
      <c r="D217" s="130"/>
      <c r="E217" s="60"/>
      <c r="F217" s="1"/>
      <c r="G217" s="1"/>
    </row>
    <row r="218" spans="1:7" s="145" customFormat="1" ht="15.9" thickBot="1" x14ac:dyDescent="0.65">
      <c r="A218" s="147"/>
      <c r="B218" s="693" t="s">
        <v>767</v>
      </c>
      <c r="C218" s="1356">
        <v>9582078</v>
      </c>
      <c r="D218" s="148"/>
      <c r="E218" s="60"/>
      <c r="F218" s="1"/>
      <c r="G218" s="1"/>
    </row>
    <row r="219" spans="1:7" s="748" customFormat="1" ht="15.9" thickTop="1" x14ac:dyDescent="0.6">
      <c r="A219" s="1060" t="s">
        <v>40</v>
      </c>
      <c r="B219" s="689"/>
      <c r="C219" s="1357">
        <f>SUM(C220:C221)</f>
        <v>6013911</v>
      </c>
      <c r="D219" s="731"/>
      <c r="E219" s="60"/>
      <c r="F219" s="1"/>
      <c r="G219" s="1"/>
    </row>
    <row r="220" spans="1:7" s="123" customFormat="1" x14ac:dyDescent="0.6">
      <c r="A220" s="599" t="s">
        <v>1229</v>
      </c>
      <c r="B220" s="689" t="s">
        <v>766</v>
      </c>
      <c r="C220" s="1378">
        <v>4963814</v>
      </c>
      <c r="D220" s="602"/>
      <c r="E220" s="60"/>
      <c r="F220" s="1"/>
      <c r="G220" s="1"/>
    </row>
    <row r="221" spans="1:7" s="123" customFormat="1" ht="15.9" thickBot="1" x14ac:dyDescent="0.65">
      <c r="A221" s="124" t="s">
        <v>1118</v>
      </c>
      <c r="B221" s="690" t="s">
        <v>767</v>
      </c>
      <c r="C221" s="1358">
        <v>1050097</v>
      </c>
      <c r="D221" s="604"/>
      <c r="E221" s="60"/>
      <c r="F221" s="1"/>
      <c r="G221" s="1"/>
    </row>
    <row r="222" spans="1:7" s="748" customFormat="1" ht="15.9" thickTop="1" x14ac:dyDescent="0.6">
      <c r="A222" s="1060" t="s">
        <v>31</v>
      </c>
      <c r="B222" s="689"/>
      <c r="C222" s="827">
        <f>SUM(C223:C265)</f>
        <v>149714744193</v>
      </c>
      <c r="D222" s="724">
        <f>SUM(D223:D265)</f>
        <v>0</v>
      </c>
      <c r="E222" s="60"/>
      <c r="F222" s="1"/>
      <c r="G222" s="1"/>
    </row>
    <row r="223" spans="1:7" s="697" customFormat="1" x14ac:dyDescent="0.6">
      <c r="A223" s="694" t="s">
        <v>468</v>
      </c>
      <c r="B223" s="695" t="s">
        <v>766</v>
      </c>
      <c r="C223" s="1359">
        <v>1084000000</v>
      </c>
      <c r="D223" s="696"/>
      <c r="E223" s="60"/>
      <c r="F223" s="1"/>
      <c r="G223" s="1"/>
    </row>
    <row r="224" spans="1:7" s="697" customFormat="1" x14ac:dyDescent="0.6">
      <c r="A224" s="694" t="s">
        <v>469</v>
      </c>
      <c r="B224" s="695"/>
      <c r="C224" s="1359">
        <v>836000000</v>
      </c>
      <c r="D224" s="696"/>
      <c r="E224" s="60"/>
      <c r="F224" s="1"/>
      <c r="G224" s="1"/>
    </row>
    <row r="225" spans="1:7" s="697" customFormat="1" x14ac:dyDescent="0.6">
      <c r="A225" s="694" t="s">
        <v>1286</v>
      </c>
      <c r="B225" s="695"/>
      <c r="C225" s="686" t="s">
        <v>804</v>
      </c>
      <c r="D225" s="696"/>
      <c r="E225" s="60"/>
      <c r="F225" s="1"/>
      <c r="G225" s="1"/>
    </row>
    <row r="226" spans="1:7" s="697" customFormat="1" x14ac:dyDescent="0.6">
      <c r="A226" s="694" t="s">
        <v>1287</v>
      </c>
      <c r="B226" s="695"/>
      <c r="C226" s="1359">
        <v>258260315</v>
      </c>
      <c r="D226" s="696"/>
      <c r="E226" s="60"/>
      <c r="F226" s="1"/>
      <c r="G226" s="1"/>
    </row>
    <row r="227" spans="1:7" s="697" customFormat="1" x14ac:dyDescent="0.6">
      <c r="A227" s="694"/>
      <c r="B227" s="695" t="s">
        <v>767</v>
      </c>
      <c r="C227" s="1359">
        <v>328929044</v>
      </c>
      <c r="D227" s="696"/>
      <c r="E227" s="60"/>
      <c r="F227" s="1"/>
      <c r="G227" s="1"/>
    </row>
    <row r="228" spans="1:7" s="697" customFormat="1" x14ac:dyDescent="0.6">
      <c r="A228" s="694" t="s">
        <v>801</v>
      </c>
      <c r="B228" s="695" t="s">
        <v>766</v>
      </c>
      <c r="C228" s="1359">
        <v>5377013964</v>
      </c>
      <c r="D228" s="696"/>
      <c r="E228" s="114"/>
      <c r="F228" s="70"/>
      <c r="G228" s="1"/>
    </row>
    <row r="229" spans="1:7" s="697" customFormat="1" x14ac:dyDescent="0.6">
      <c r="A229" s="694"/>
      <c r="B229" s="695" t="s">
        <v>767</v>
      </c>
      <c r="C229" s="1359">
        <v>6848346261</v>
      </c>
      <c r="D229" s="696"/>
      <c r="E229" s="114"/>
      <c r="F229" s="70"/>
      <c r="G229" s="1"/>
    </row>
    <row r="230" spans="1:7" s="697" customFormat="1" x14ac:dyDescent="0.6">
      <c r="A230" s="694" t="s">
        <v>1288</v>
      </c>
      <c r="B230" s="695" t="s">
        <v>766</v>
      </c>
      <c r="C230" s="1359">
        <v>13451000000</v>
      </c>
      <c r="D230" s="696"/>
      <c r="E230" s="114"/>
      <c r="F230" s="70"/>
      <c r="G230" s="1"/>
    </row>
    <row r="231" spans="1:7" s="697" customFormat="1" x14ac:dyDescent="0.6">
      <c r="A231" s="694" t="s">
        <v>1289</v>
      </c>
      <c r="B231" s="695"/>
      <c r="C231" s="1359">
        <v>636000000</v>
      </c>
      <c r="D231" s="696"/>
      <c r="E231" s="114"/>
      <c r="F231" s="70"/>
      <c r="G231" s="1"/>
    </row>
    <row r="232" spans="1:7" s="697" customFormat="1" x14ac:dyDescent="0.6">
      <c r="A232" s="694" t="s">
        <v>1290</v>
      </c>
      <c r="B232" s="695"/>
      <c r="C232" s="1359">
        <v>40802000000</v>
      </c>
      <c r="D232" s="696"/>
      <c r="E232" s="114"/>
      <c r="F232" s="70"/>
      <c r="G232" s="1"/>
    </row>
    <row r="233" spans="1:7" s="697" customFormat="1" x14ac:dyDescent="0.6">
      <c r="A233" s="694" t="s">
        <v>1291</v>
      </c>
      <c r="B233" s="695"/>
      <c r="C233" s="1359">
        <v>3910000000</v>
      </c>
      <c r="D233" s="696"/>
      <c r="E233" s="114"/>
      <c r="F233" s="70"/>
      <c r="G233" s="1"/>
    </row>
    <row r="234" spans="1:7" s="697" customFormat="1" x14ac:dyDescent="0.6">
      <c r="A234" s="694" t="s">
        <v>1292</v>
      </c>
      <c r="B234" s="695"/>
      <c r="C234" s="686" t="s">
        <v>804</v>
      </c>
      <c r="D234" s="696"/>
      <c r="E234" s="114"/>
      <c r="F234" s="70"/>
      <c r="G234" s="1"/>
    </row>
    <row r="235" spans="1:7" s="697" customFormat="1" x14ac:dyDescent="0.6">
      <c r="A235" s="694" t="s">
        <v>1293</v>
      </c>
      <c r="B235" s="695"/>
      <c r="C235" s="686" t="s">
        <v>804</v>
      </c>
      <c r="D235" s="696"/>
      <c r="E235" s="114"/>
      <c r="F235" s="70"/>
      <c r="G235" s="1"/>
    </row>
    <row r="236" spans="1:7" s="697" customFormat="1" x14ac:dyDescent="0.6">
      <c r="A236" s="694" t="s">
        <v>1294</v>
      </c>
      <c r="B236" s="695"/>
      <c r="C236" s="686" t="s">
        <v>804</v>
      </c>
      <c r="D236" s="696"/>
      <c r="E236" s="114"/>
      <c r="F236" s="70"/>
      <c r="G236" s="1"/>
    </row>
    <row r="237" spans="1:7" s="697" customFormat="1" x14ac:dyDescent="0.6">
      <c r="A237" s="694" t="s">
        <v>1295</v>
      </c>
      <c r="B237" s="695"/>
      <c r="C237" s="1359">
        <v>10261999</v>
      </c>
      <c r="D237" s="696"/>
      <c r="E237" s="114"/>
      <c r="F237" s="70"/>
      <c r="G237" s="1"/>
    </row>
    <row r="238" spans="1:7" s="697" customFormat="1" x14ac:dyDescent="0.6">
      <c r="A238" s="694"/>
      <c r="B238" s="695" t="s">
        <v>767</v>
      </c>
      <c r="C238" s="1359">
        <v>13070028</v>
      </c>
      <c r="D238" s="696"/>
      <c r="E238" s="114"/>
      <c r="F238" s="70"/>
      <c r="G238" s="1"/>
    </row>
    <row r="239" spans="1:7" s="697" customFormat="1" x14ac:dyDescent="0.6">
      <c r="A239" s="694" t="s">
        <v>1296</v>
      </c>
      <c r="B239" s="695" t="s">
        <v>766</v>
      </c>
      <c r="C239" s="1359">
        <v>27526000000</v>
      </c>
      <c r="D239" s="696"/>
      <c r="E239" s="114"/>
      <c r="F239" s="70"/>
      <c r="G239" s="1"/>
    </row>
    <row r="240" spans="1:7" s="697" customFormat="1" x14ac:dyDescent="0.6">
      <c r="A240" s="694" t="s">
        <v>1297</v>
      </c>
      <c r="B240" s="695"/>
      <c r="C240" s="1359">
        <v>102346339</v>
      </c>
      <c r="D240" s="696"/>
      <c r="E240" s="114"/>
      <c r="F240" s="70"/>
      <c r="G240" s="1"/>
    </row>
    <row r="241" spans="1:7" s="697" customFormat="1" x14ac:dyDescent="0.6">
      <c r="A241" s="694"/>
      <c r="B241" s="695" t="s">
        <v>767</v>
      </c>
      <c r="C241" s="1359">
        <v>130351748</v>
      </c>
      <c r="D241" s="696"/>
      <c r="E241" s="114"/>
      <c r="F241" s="70"/>
      <c r="G241" s="1"/>
    </row>
    <row r="242" spans="1:7" s="697" customFormat="1" x14ac:dyDescent="0.6">
      <c r="A242" s="694" t="s">
        <v>1121</v>
      </c>
      <c r="B242" s="695" t="s">
        <v>766</v>
      </c>
      <c r="C242" s="1359">
        <v>320000000</v>
      </c>
      <c r="D242" s="696"/>
      <c r="E242" s="114"/>
      <c r="F242" s="70"/>
      <c r="G242" s="1"/>
    </row>
    <row r="243" spans="1:7" s="697" customFormat="1" x14ac:dyDescent="0.6">
      <c r="A243" s="694" t="s">
        <v>1298</v>
      </c>
      <c r="B243" s="695"/>
      <c r="C243" s="1359">
        <v>531000000</v>
      </c>
      <c r="D243" s="696"/>
      <c r="E243" s="114"/>
      <c r="F243" s="70"/>
      <c r="G243" s="1"/>
    </row>
    <row r="244" spans="1:7" s="697" customFormat="1" x14ac:dyDescent="0.6">
      <c r="A244" s="694" t="s">
        <v>1299</v>
      </c>
      <c r="B244" s="695"/>
      <c r="C244" s="1359">
        <v>651000000</v>
      </c>
      <c r="D244" s="696"/>
      <c r="E244" s="114"/>
      <c r="F244" s="70"/>
      <c r="G244" s="1"/>
    </row>
    <row r="245" spans="1:7" s="697" customFormat="1" x14ac:dyDescent="0.6">
      <c r="A245" s="694" t="s">
        <v>1300</v>
      </c>
      <c r="B245" s="695"/>
      <c r="C245" s="686" t="s">
        <v>804</v>
      </c>
      <c r="D245" s="696"/>
      <c r="E245" s="114"/>
      <c r="F245" s="70"/>
      <c r="G245" s="1"/>
    </row>
    <row r="246" spans="1:7" s="697" customFormat="1" x14ac:dyDescent="0.6">
      <c r="A246" s="694" t="s">
        <v>1301</v>
      </c>
      <c r="B246" s="695"/>
      <c r="C246" s="1359">
        <v>191000000</v>
      </c>
      <c r="D246" s="696"/>
      <c r="E246" s="114"/>
      <c r="F246" s="70"/>
      <c r="G246" s="1"/>
    </row>
    <row r="247" spans="1:7" s="697" customFormat="1" x14ac:dyDescent="0.6">
      <c r="A247" s="694" t="s">
        <v>1302</v>
      </c>
      <c r="B247" s="695"/>
      <c r="C247" s="686" t="s">
        <v>804</v>
      </c>
      <c r="D247" s="696"/>
      <c r="E247" s="114"/>
      <c r="F247" s="70"/>
      <c r="G247" s="1"/>
    </row>
    <row r="248" spans="1:7" s="697" customFormat="1" x14ac:dyDescent="0.6">
      <c r="A248" s="694" t="s">
        <v>1303</v>
      </c>
      <c r="B248" s="695"/>
      <c r="C248" s="1359">
        <v>2779079904</v>
      </c>
      <c r="D248" s="696"/>
      <c r="E248" s="114"/>
      <c r="F248" s="70"/>
      <c r="G248" s="1"/>
    </row>
    <row r="249" spans="1:7" s="697" customFormat="1" x14ac:dyDescent="0.6">
      <c r="A249" s="694" t="s">
        <v>1304</v>
      </c>
      <c r="B249" s="695"/>
      <c r="C249" s="1359">
        <v>636000000</v>
      </c>
      <c r="D249" s="696"/>
      <c r="E249" s="114"/>
      <c r="F249" s="70"/>
      <c r="G249" s="1"/>
    </row>
    <row r="250" spans="1:7" s="697" customFormat="1" x14ac:dyDescent="0.6">
      <c r="A250" s="694" t="s">
        <v>1305</v>
      </c>
      <c r="B250" s="695"/>
      <c r="C250" s="686" t="s">
        <v>804</v>
      </c>
      <c r="D250" s="696"/>
      <c r="E250" s="114"/>
      <c r="F250" s="70"/>
      <c r="G250" s="1"/>
    </row>
    <row r="251" spans="1:7" s="697" customFormat="1" x14ac:dyDescent="0.6">
      <c r="A251" s="694" t="s">
        <v>1306</v>
      </c>
      <c r="B251" s="695"/>
      <c r="C251" s="1359">
        <v>464925000</v>
      </c>
      <c r="D251" s="696"/>
      <c r="E251" s="114"/>
      <c r="F251" s="70"/>
      <c r="G251" s="1"/>
    </row>
    <row r="252" spans="1:7" s="697" customFormat="1" x14ac:dyDescent="0.6">
      <c r="A252" s="694" t="s">
        <v>1307</v>
      </c>
      <c r="B252" s="695"/>
      <c r="C252" s="1359">
        <v>20409000000</v>
      </c>
      <c r="D252" s="696"/>
      <c r="E252" s="114"/>
      <c r="F252" s="70"/>
      <c r="G252" s="1"/>
    </row>
    <row r="253" spans="1:7" s="697" customFormat="1" x14ac:dyDescent="0.6">
      <c r="A253" s="694" t="s">
        <v>1308</v>
      </c>
      <c r="B253" s="695"/>
      <c r="C253" s="1359">
        <v>2476562490</v>
      </c>
      <c r="D253" s="696"/>
      <c r="E253" s="114"/>
      <c r="F253" s="70"/>
      <c r="G253" s="1"/>
    </row>
    <row r="254" spans="1:7" s="697" customFormat="1" x14ac:dyDescent="0.6">
      <c r="A254" s="694"/>
      <c r="B254" s="695" t="s">
        <v>767</v>
      </c>
      <c r="C254" s="1359">
        <v>3154233480</v>
      </c>
      <c r="D254" s="696"/>
      <c r="E254" s="114"/>
      <c r="F254" s="70"/>
      <c r="G254" s="1"/>
    </row>
    <row r="255" spans="1:7" s="697" customFormat="1" x14ac:dyDescent="0.6">
      <c r="A255" s="694" t="s">
        <v>1309</v>
      </c>
      <c r="B255" s="695" t="s">
        <v>766</v>
      </c>
      <c r="C255" s="686" t="s">
        <v>804</v>
      </c>
      <c r="D255" s="696"/>
      <c r="E255" s="114"/>
      <c r="F255" s="70"/>
      <c r="G255" s="1"/>
    </row>
    <row r="256" spans="1:7" s="697" customFormat="1" x14ac:dyDescent="0.6">
      <c r="A256" s="694"/>
      <c r="B256" s="695" t="s">
        <v>767</v>
      </c>
      <c r="C256" s="686" t="s">
        <v>804</v>
      </c>
      <c r="D256" s="696"/>
      <c r="E256" s="114"/>
      <c r="F256" s="70"/>
      <c r="G256" s="1"/>
    </row>
    <row r="257" spans="1:7" s="697" customFormat="1" x14ac:dyDescent="0.6">
      <c r="A257" s="694" t="s">
        <v>1310</v>
      </c>
      <c r="B257" s="695" t="s">
        <v>766</v>
      </c>
      <c r="C257" s="1359">
        <v>432000000</v>
      </c>
      <c r="D257" s="696"/>
      <c r="E257" s="114"/>
      <c r="F257" s="70"/>
      <c r="G257" s="1"/>
    </row>
    <row r="258" spans="1:7" s="697" customFormat="1" x14ac:dyDescent="0.6">
      <c r="A258" s="694" t="s">
        <v>1311</v>
      </c>
      <c r="B258" s="695"/>
      <c r="C258" s="1359">
        <v>232000000</v>
      </c>
      <c r="D258" s="696"/>
      <c r="E258" s="114"/>
      <c r="F258" s="70"/>
      <c r="G258" s="1"/>
    </row>
    <row r="259" spans="1:7" s="697" customFormat="1" x14ac:dyDescent="0.6">
      <c r="A259" s="694" t="s">
        <v>1312</v>
      </c>
      <c r="B259" s="695"/>
      <c r="C259" s="1359">
        <v>5353000000</v>
      </c>
      <c r="D259" s="696"/>
      <c r="E259" s="114"/>
      <c r="F259" s="70"/>
      <c r="G259" s="1"/>
    </row>
    <row r="260" spans="1:7" s="697" customFormat="1" x14ac:dyDescent="0.6">
      <c r="A260" s="694" t="s">
        <v>1124</v>
      </c>
      <c r="B260" s="695"/>
      <c r="C260" s="1359">
        <v>5825000000</v>
      </c>
      <c r="D260" s="696"/>
      <c r="E260" s="114"/>
      <c r="F260" s="70"/>
      <c r="G260" s="1"/>
    </row>
    <row r="261" spans="1:7" s="697" customFormat="1" x14ac:dyDescent="0.6">
      <c r="A261" s="694" t="s">
        <v>1313</v>
      </c>
      <c r="B261" s="695"/>
      <c r="C261" s="1359">
        <v>33000000</v>
      </c>
      <c r="D261" s="696"/>
      <c r="E261" s="114"/>
      <c r="F261" s="70"/>
      <c r="G261" s="1"/>
    </row>
    <row r="262" spans="1:7" s="697" customFormat="1" x14ac:dyDescent="0.6">
      <c r="A262" s="694" t="s">
        <v>1314</v>
      </c>
      <c r="B262" s="695"/>
      <c r="C262" s="1359">
        <v>1940813468</v>
      </c>
      <c r="D262" s="696"/>
      <c r="E262" s="114"/>
      <c r="F262" s="70"/>
      <c r="G262" s="1"/>
    </row>
    <row r="263" spans="1:7" s="697" customFormat="1" x14ac:dyDescent="0.6">
      <c r="A263" s="694"/>
      <c r="B263" s="695" t="s">
        <v>767</v>
      </c>
      <c r="C263" s="1359">
        <v>85029604</v>
      </c>
      <c r="D263" s="696"/>
      <c r="E263" s="114"/>
      <c r="F263" s="70"/>
      <c r="G263" s="1"/>
    </row>
    <row r="264" spans="1:7" s="697" customFormat="1" x14ac:dyDescent="0.6">
      <c r="A264" s="694" t="s">
        <v>1229</v>
      </c>
      <c r="B264" s="695" t="s">
        <v>766</v>
      </c>
      <c r="C264" s="1359">
        <v>1270002522</v>
      </c>
      <c r="D264" s="696"/>
      <c r="E264" s="114"/>
      <c r="F264" s="70"/>
      <c r="G264" s="1"/>
    </row>
    <row r="265" spans="1:7" s="697" customFormat="1" ht="15.9" thickBot="1" x14ac:dyDescent="0.65">
      <c r="A265" s="698"/>
      <c r="B265" s="699" t="s">
        <v>767</v>
      </c>
      <c r="C265" s="1360">
        <v>1617518027</v>
      </c>
      <c r="D265" s="700"/>
      <c r="E265" s="114"/>
      <c r="F265" s="70"/>
      <c r="G265" s="1"/>
    </row>
    <row r="266" spans="1:7" s="748" customFormat="1" ht="15.9" thickTop="1" x14ac:dyDescent="0.6">
      <c r="A266" s="1060" t="s">
        <v>47</v>
      </c>
      <c r="B266" s="689"/>
      <c r="C266" s="1361">
        <f>SUM(C267:C267)</f>
        <v>2614114313</v>
      </c>
      <c r="D266" s="733">
        <f>D267</f>
        <v>0</v>
      </c>
      <c r="E266" s="114"/>
      <c r="F266" s="70"/>
      <c r="G266" s="1"/>
    </row>
    <row r="267" spans="1:7" s="123" customFormat="1" ht="15.9" thickBot="1" x14ac:dyDescent="0.65">
      <c r="A267" s="124" t="s">
        <v>1315</v>
      </c>
      <c r="B267" s="690" t="s">
        <v>766</v>
      </c>
      <c r="C267" s="244">
        <v>2614114313</v>
      </c>
      <c r="D267" s="626"/>
      <c r="E267" s="114"/>
      <c r="F267" s="70"/>
      <c r="G267" s="1"/>
    </row>
    <row r="268" spans="1:7" s="120" customFormat="1" ht="15.9" thickTop="1" x14ac:dyDescent="0.6">
      <c r="A268" s="1092" t="s">
        <v>32</v>
      </c>
      <c r="B268" s="1374"/>
      <c r="C268" s="1353">
        <f>SUM(C269:C284)</f>
        <v>1360981</v>
      </c>
      <c r="D268" s="728">
        <f>SUM(D269:D284)</f>
        <v>0</v>
      </c>
      <c r="E268" s="114"/>
      <c r="F268" s="70"/>
      <c r="G268" s="1"/>
    </row>
    <row r="269" spans="1:7" s="704" customFormat="1" x14ac:dyDescent="0.6">
      <c r="A269" s="701" t="s">
        <v>1316</v>
      </c>
      <c r="B269" s="702" t="s">
        <v>766</v>
      </c>
      <c r="C269" s="686" t="s">
        <v>804</v>
      </c>
      <c r="D269" s="703"/>
      <c r="E269" s="114"/>
      <c r="F269" s="70"/>
      <c r="G269" s="1"/>
    </row>
    <row r="270" spans="1:7" s="704" customFormat="1" x14ac:dyDescent="0.6">
      <c r="A270" s="701"/>
      <c r="B270" s="702" t="s">
        <v>767</v>
      </c>
      <c r="C270" s="686" t="s">
        <v>804</v>
      </c>
      <c r="D270" s="703"/>
      <c r="E270" s="114"/>
      <c r="F270" s="70"/>
      <c r="G270" s="1"/>
    </row>
    <row r="271" spans="1:7" s="704" customFormat="1" x14ac:dyDescent="0.6">
      <c r="A271" s="701" t="s">
        <v>1317</v>
      </c>
      <c r="B271" s="702" t="s">
        <v>766</v>
      </c>
      <c r="C271" s="1362">
        <v>695311</v>
      </c>
      <c r="D271" s="703"/>
      <c r="E271" s="114"/>
      <c r="F271" s="70"/>
      <c r="G271" s="1"/>
    </row>
    <row r="272" spans="1:7" s="704" customFormat="1" x14ac:dyDescent="0.6">
      <c r="A272" s="701" t="s">
        <v>1318</v>
      </c>
      <c r="B272" s="702"/>
      <c r="C272" s="686" t="s">
        <v>804</v>
      </c>
      <c r="D272" s="703"/>
      <c r="E272" s="114"/>
      <c r="F272" s="70"/>
      <c r="G272" s="1"/>
    </row>
    <row r="273" spans="1:7" s="704" customFormat="1" x14ac:dyDescent="0.6">
      <c r="A273" s="701"/>
      <c r="B273" s="702" t="s">
        <v>767</v>
      </c>
      <c r="C273" s="686" t="s">
        <v>804</v>
      </c>
      <c r="D273" s="703"/>
      <c r="E273" s="114"/>
      <c r="F273" s="70"/>
      <c r="G273" s="1"/>
    </row>
    <row r="274" spans="1:7" s="704" customFormat="1" x14ac:dyDescent="0.6">
      <c r="A274" s="701" t="s">
        <v>1319</v>
      </c>
      <c r="B274" s="702" t="s">
        <v>766</v>
      </c>
      <c r="C274" s="686" t="s">
        <v>804</v>
      </c>
      <c r="D274" s="703"/>
      <c r="E274" s="114"/>
      <c r="F274" s="70"/>
      <c r="G274" s="1"/>
    </row>
    <row r="275" spans="1:7" s="704" customFormat="1" x14ac:dyDescent="0.6">
      <c r="A275" s="701" t="s">
        <v>471</v>
      </c>
      <c r="B275" s="702"/>
      <c r="C275" s="1362">
        <v>590454</v>
      </c>
      <c r="D275" s="703"/>
      <c r="E275" s="114"/>
      <c r="F275" s="70"/>
      <c r="G275" s="1"/>
    </row>
    <row r="276" spans="1:7" s="704" customFormat="1" x14ac:dyDescent="0.6">
      <c r="A276" s="701" t="s">
        <v>1320</v>
      </c>
      <c r="B276" s="702"/>
      <c r="C276" s="686" t="s">
        <v>804</v>
      </c>
      <c r="D276" s="703"/>
      <c r="E276" s="114"/>
      <c r="F276" s="70"/>
      <c r="G276" s="1"/>
    </row>
    <row r="277" spans="1:7" s="704" customFormat="1" x14ac:dyDescent="0.6">
      <c r="A277" s="701" t="s">
        <v>1321</v>
      </c>
      <c r="B277" s="702"/>
      <c r="C277" s="686" t="s">
        <v>804</v>
      </c>
      <c r="D277" s="703"/>
      <c r="E277" s="114"/>
      <c r="F277" s="70"/>
      <c r="G277" s="1"/>
    </row>
    <row r="278" spans="1:7" s="704" customFormat="1" x14ac:dyDescent="0.6">
      <c r="A278" s="701" t="s">
        <v>472</v>
      </c>
      <c r="B278" s="702" t="s">
        <v>766</v>
      </c>
      <c r="C278" s="1362">
        <v>67093</v>
      </c>
      <c r="D278" s="703"/>
      <c r="E278" s="114"/>
      <c r="F278" s="70"/>
      <c r="G278" s="1"/>
    </row>
    <row r="279" spans="1:7" s="704" customFormat="1" x14ac:dyDescent="0.6">
      <c r="A279" s="701"/>
      <c r="B279" s="702" t="s">
        <v>767</v>
      </c>
      <c r="C279" s="1362">
        <v>8123</v>
      </c>
      <c r="D279" s="703"/>
      <c r="E279" s="114"/>
      <c r="F279" s="70"/>
      <c r="G279" s="1"/>
    </row>
    <row r="280" spans="1:7" s="704" customFormat="1" x14ac:dyDescent="0.6">
      <c r="A280" s="701" t="s">
        <v>1322</v>
      </c>
      <c r="B280" s="702" t="s">
        <v>767</v>
      </c>
      <c r="C280" s="686" t="s">
        <v>804</v>
      </c>
      <c r="D280" s="703"/>
      <c r="E280" s="114"/>
      <c r="F280" s="70"/>
      <c r="G280" s="1"/>
    </row>
    <row r="281" spans="1:7" s="704" customFormat="1" x14ac:dyDescent="0.6">
      <c r="A281" s="701" t="s">
        <v>473</v>
      </c>
      <c r="B281" s="702" t="s">
        <v>766</v>
      </c>
      <c r="C281" s="686" t="s">
        <v>804</v>
      </c>
      <c r="D281" s="703"/>
      <c r="E281" s="114"/>
      <c r="F281" s="70"/>
      <c r="G281" s="1"/>
    </row>
    <row r="282" spans="1:7" s="704" customFormat="1" x14ac:dyDescent="0.6">
      <c r="A282" s="701"/>
      <c r="B282" s="702" t="s">
        <v>767</v>
      </c>
      <c r="C282" s="686" t="s">
        <v>804</v>
      </c>
      <c r="D282" s="703"/>
      <c r="E282" s="114"/>
      <c r="F282" s="70"/>
      <c r="G282" s="1"/>
    </row>
    <row r="283" spans="1:7" s="704" customFormat="1" x14ac:dyDescent="0.6">
      <c r="A283" s="701" t="s">
        <v>474</v>
      </c>
      <c r="B283" s="702" t="s">
        <v>766</v>
      </c>
      <c r="C283" s="686" t="s">
        <v>804</v>
      </c>
      <c r="D283" s="703"/>
      <c r="E283" s="114"/>
      <c r="F283" s="70"/>
      <c r="G283" s="1"/>
    </row>
    <row r="284" spans="1:7" s="704" customFormat="1" ht="15.9" thickBot="1" x14ac:dyDescent="0.65">
      <c r="A284" s="705"/>
      <c r="B284" s="706" t="s">
        <v>767</v>
      </c>
      <c r="C284" s="686" t="s">
        <v>804</v>
      </c>
      <c r="D284" s="707"/>
      <c r="E284" s="114"/>
      <c r="F284" s="70"/>
      <c r="G284" s="1"/>
    </row>
    <row r="285" spans="1:7" s="748" customFormat="1" ht="15.9" thickTop="1" x14ac:dyDescent="0.6">
      <c r="A285" s="1060" t="s">
        <v>33</v>
      </c>
      <c r="B285" s="689"/>
      <c r="C285" s="1353">
        <f>SUM(C286:C298)</f>
        <v>19760000</v>
      </c>
      <c r="D285" s="728">
        <f>SUM(D286:D298)</f>
        <v>0</v>
      </c>
      <c r="E285" s="114"/>
      <c r="F285" s="70"/>
      <c r="G285" s="1"/>
    </row>
    <row r="286" spans="1:7" s="123" customFormat="1" x14ac:dyDescent="0.6">
      <c r="A286" s="599" t="s">
        <v>478</v>
      </c>
      <c r="B286" s="689" t="s">
        <v>766</v>
      </c>
      <c r="C286" s="244">
        <v>10295733</v>
      </c>
      <c r="D286" s="607"/>
      <c r="E286" s="114"/>
      <c r="F286" s="70"/>
      <c r="G286" s="1"/>
    </row>
    <row r="287" spans="1:7" s="123" customFormat="1" x14ac:dyDescent="0.6">
      <c r="A287" s="599"/>
      <c r="B287" s="689" t="s">
        <v>767</v>
      </c>
      <c r="C287" s="244">
        <v>1203267</v>
      </c>
      <c r="D287" s="607"/>
      <c r="E287" s="114"/>
      <c r="F287" s="70"/>
      <c r="G287" s="1"/>
    </row>
    <row r="288" spans="1:7" s="123" customFormat="1" x14ac:dyDescent="0.6">
      <c r="A288" s="599" t="s">
        <v>479</v>
      </c>
      <c r="B288" s="689" t="s">
        <v>766</v>
      </c>
      <c r="C288" s="244">
        <v>2954685</v>
      </c>
      <c r="D288" s="607"/>
      <c r="E288" s="114"/>
      <c r="F288" s="70"/>
      <c r="G288" s="1"/>
    </row>
    <row r="289" spans="1:7" s="123" customFormat="1" x14ac:dyDescent="0.6">
      <c r="A289" s="599"/>
      <c r="B289" s="689" t="s">
        <v>767</v>
      </c>
      <c r="C289" s="244">
        <v>345315</v>
      </c>
      <c r="D289" s="607"/>
      <c r="E289" s="114"/>
      <c r="F289" s="70"/>
      <c r="G289" s="1"/>
    </row>
    <row r="290" spans="1:7" s="123" customFormat="1" x14ac:dyDescent="0.6">
      <c r="A290" s="599" t="s">
        <v>480</v>
      </c>
      <c r="B290" s="689" t="s">
        <v>766</v>
      </c>
      <c r="C290" s="244">
        <v>4441876</v>
      </c>
      <c r="D290" s="607"/>
      <c r="E290" s="114"/>
      <c r="F290" s="70"/>
      <c r="G290" s="1"/>
    </row>
    <row r="291" spans="1:7" s="123" customFormat="1" x14ac:dyDescent="0.6">
      <c r="A291" s="599"/>
      <c r="B291" s="689" t="s">
        <v>767</v>
      </c>
      <c r="C291" s="244">
        <v>519124</v>
      </c>
      <c r="D291" s="607"/>
      <c r="E291" s="114"/>
      <c r="F291" s="70"/>
      <c r="G291" s="1"/>
    </row>
    <row r="292" spans="1:7" s="123" customFormat="1" x14ac:dyDescent="0.6">
      <c r="A292" s="599" t="s">
        <v>529</v>
      </c>
      <c r="B292" s="689"/>
      <c r="C292" s="114" t="s">
        <v>804</v>
      </c>
      <c r="D292" s="607"/>
      <c r="E292" s="114"/>
      <c r="F292" s="70"/>
      <c r="G292" s="1"/>
    </row>
    <row r="293" spans="1:7" s="123" customFormat="1" x14ac:dyDescent="0.6">
      <c r="A293" s="599" t="s">
        <v>475</v>
      </c>
      <c r="B293" s="689" t="s">
        <v>766</v>
      </c>
      <c r="C293" s="114" t="s">
        <v>804</v>
      </c>
      <c r="D293" s="607"/>
      <c r="E293" s="114"/>
      <c r="F293" s="70"/>
      <c r="G293" s="1"/>
    </row>
    <row r="294" spans="1:7" s="123" customFormat="1" x14ac:dyDescent="0.6">
      <c r="A294" s="599"/>
      <c r="B294" s="689" t="s">
        <v>767</v>
      </c>
      <c r="C294" s="838" t="s">
        <v>804</v>
      </c>
      <c r="D294" s="607"/>
      <c r="E294" s="114"/>
      <c r="F294" s="70"/>
      <c r="G294" s="1"/>
    </row>
    <row r="295" spans="1:7" s="123" customFormat="1" x14ac:dyDescent="0.6">
      <c r="A295" s="599" t="s">
        <v>476</v>
      </c>
      <c r="B295" s="689" t="s">
        <v>766</v>
      </c>
      <c r="C295" s="838" t="s">
        <v>804</v>
      </c>
      <c r="D295" s="607"/>
      <c r="E295" s="114"/>
      <c r="F295" s="70"/>
      <c r="G295" s="1"/>
    </row>
    <row r="296" spans="1:7" s="123" customFormat="1" x14ac:dyDescent="0.6">
      <c r="A296" s="599"/>
      <c r="B296" s="689" t="s">
        <v>767</v>
      </c>
      <c r="C296" s="838" t="s">
        <v>804</v>
      </c>
      <c r="D296" s="607"/>
      <c r="E296" s="114"/>
      <c r="F296" s="70"/>
      <c r="G296" s="1"/>
    </row>
    <row r="297" spans="1:7" s="123" customFormat="1" x14ac:dyDescent="0.6">
      <c r="A297" s="599" t="s">
        <v>477</v>
      </c>
      <c r="B297" s="689" t="s">
        <v>766</v>
      </c>
      <c r="C297" s="838" t="s">
        <v>804</v>
      </c>
      <c r="D297" s="607"/>
      <c r="E297" s="114"/>
      <c r="F297" s="70"/>
      <c r="G297" s="1"/>
    </row>
    <row r="298" spans="1:7" s="123" customFormat="1" ht="15.9" thickBot="1" x14ac:dyDescent="0.65">
      <c r="A298" s="124"/>
      <c r="B298" s="690" t="s">
        <v>767</v>
      </c>
      <c r="C298" s="594" t="s">
        <v>804</v>
      </c>
      <c r="D298" s="624"/>
      <c r="E298" s="1593"/>
      <c r="F298" s="108"/>
      <c r="G298" s="16"/>
    </row>
    <row r="299" spans="1:7" s="748" customFormat="1" ht="15.9" thickTop="1" x14ac:dyDescent="0.6">
      <c r="A299" s="1060" t="s">
        <v>46</v>
      </c>
      <c r="B299" s="689"/>
      <c r="C299" s="1363">
        <f>SUM(C300:C304)</f>
        <v>1787127846</v>
      </c>
      <c r="D299" s="735">
        <f>SUM(D300:D304)</f>
        <v>0</v>
      </c>
      <c r="E299" s="114"/>
    </row>
    <row r="300" spans="1:7" s="123" customFormat="1" x14ac:dyDescent="0.6">
      <c r="A300" s="599" t="s">
        <v>482</v>
      </c>
      <c r="B300" s="689" t="s">
        <v>766</v>
      </c>
      <c r="C300" s="1364">
        <v>1787127846</v>
      </c>
      <c r="D300" s="609"/>
      <c r="E300" s="114"/>
      <c r="F300" s="1594" t="s">
        <v>78</v>
      </c>
      <c r="G300" s="69"/>
    </row>
    <row r="301" spans="1:7" s="123" customFormat="1" x14ac:dyDescent="0.6">
      <c r="A301" s="599" t="s">
        <v>947</v>
      </c>
      <c r="B301" s="689" t="s">
        <v>766</v>
      </c>
      <c r="C301" s="774" t="s">
        <v>804</v>
      </c>
      <c r="D301" s="609"/>
      <c r="E301" s="114"/>
      <c r="F301" s="593" t="s">
        <v>42</v>
      </c>
      <c r="G301" s="1">
        <v>40</v>
      </c>
    </row>
    <row r="302" spans="1:7" s="123" customFormat="1" x14ac:dyDescent="0.6">
      <c r="A302" s="599" t="s">
        <v>1323</v>
      </c>
      <c r="B302" s="689" t="s">
        <v>766</v>
      </c>
      <c r="C302" s="774" t="s">
        <v>804</v>
      </c>
      <c r="D302" s="609"/>
      <c r="E302" s="114"/>
      <c r="F302" s="593" t="s">
        <v>802</v>
      </c>
      <c r="G302" s="1">
        <f>COUNTIF(C298:C342,"ND")</f>
        <v>19</v>
      </c>
    </row>
    <row r="303" spans="1:7" s="123" customFormat="1" x14ac:dyDescent="0.6">
      <c r="A303" s="599" t="s">
        <v>776</v>
      </c>
      <c r="B303" s="689" t="s">
        <v>766</v>
      </c>
      <c r="C303" s="114" t="s">
        <v>804</v>
      </c>
      <c r="D303" s="609"/>
      <c r="E303" s="114"/>
      <c r="F303" s="593" t="s">
        <v>1732</v>
      </c>
      <c r="G303" s="1">
        <f>COUNTIF(E298:E342,"x")</f>
        <v>1</v>
      </c>
    </row>
    <row r="304" spans="1:7" s="145" customFormat="1" ht="15.9" thickBot="1" x14ac:dyDescent="0.65">
      <c r="A304" s="147" t="s">
        <v>481</v>
      </c>
      <c r="B304" s="693" t="s">
        <v>766</v>
      </c>
      <c r="C304" s="773" t="s">
        <v>804</v>
      </c>
      <c r="D304" s="610"/>
      <c r="E304" s="114"/>
      <c r="F304" s="593" t="s">
        <v>239</v>
      </c>
      <c r="G304" s="1"/>
    </row>
    <row r="305" spans="1:7" s="748" customFormat="1" ht="15.9" thickTop="1" x14ac:dyDescent="0.6">
      <c r="A305" s="1060" t="s">
        <v>49</v>
      </c>
      <c r="B305" s="689"/>
      <c r="C305" s="1365">
        <f>SUM(C306:C309)</f>
        <v>15529358869</v>
      </c>
      <c r="D305" s="738">
        <f>SUM(D306:D309)</f>
        <v>0</v>
      </c>
      <c r="E305" s="114"/>
      <c r="F305" s="70"/>
      <c r="G305" s="1"/>
    </row>
    <row r="306" spans="1:7" s="123" customFormat="1" x14ac:dyDescent="0.6">
      <c r="A306" s="599" t="s">
        <v>777</v>
      </c>
      <c r="B306" s="689" t="s">
        <v>766</v>
      </c>
      <c r="C306" s="1379" t="s">
        <v>804</v>
      </c>
      <c r="D306" s="1380"/>
      <c r="E306" s="114"/>
      <c r="F306" s="70"/>
      <c r="G306" s="1"/>
    </row>
    <row r="307" spans="1:7" s="123" customFormat="1" x14ac:dyDescent="0.6">
      <c r="A307" s="599" t="s">
        <v>778</v>
      </c>
      <c r="B307" s="689" t="s">
        <v>766</v>
      </c>
      <c r="C307" s="1381" t="s">
        <v>804</v>
      </c>
      <c r="D307" s="1382"/>
      <c r="E307" s="114" t="s">
        <v>769</v>
      </c>
      <c r="F307" s="70"/>
      <c r="G307" s="1"/>
    </row>
    <row r="308" spans="1:7" s="123" customFormat="1" x14ac:dyDescent="0.6">
      <c r="A308" s="599" t="s">
        <v>1324</v>
      </c>
      <c r="B308" s="689" t="s">
        <v>766</v>
      </c>
      <c r="C308" s="1381">
        <v>232258869</v>
      </c>
      <c r="D308" s="1382"/>
      <c r="E308" s="114"/>
      <c r="F308" s="70"/>
      <c r="G308" s="1"/>
    </row>
    <row r="309" spans="1:7" s="145" customFormat="1" ht="15.9" thickBot="1" x14ac:dyDescent="0.65">
      <c r="A309" s="147" t="s">
        <v>779</v>
      </c>
      <c r="B309" s="693" t="s">
        <v>766</v>
      </c>
      <c r="C309" s="1383">
        <v>15297100000</v>
      </c>
      <c r="D309" s="1384"/>
      <c r="E309" s="114"/>
      <c r="F309" s="70"/>
      <c r="G309" s="1"/>
    </row>
    <row r="310" spans="1:7" s="748" customFormat="1" ht="15.9" thickTop="1" x14ac:dyDescent="0.6">
      <c r="A310" s="1060" t="s">
        <v>50</v>
      </c>
      <c r="B310" s="689"/>
      <c r="C310" s="1366">
        <f>SUM(C311:C316)</f>
        <v>9642289583</v>
      </c>
      <c r="D310" s="740">
        <f>SUM(D311:D316)</f>
        <v>0</v>
      </c>
      <c r="E310" s="114"/>
      <c r="F310" s="70"/>
      <c r="G310" s="1"/>
    </row>
    <row r="311" spans="1:7" s="123" customFormat="1" x14ac:dyDescent="0.6">
      <c r="A311" s="599" t="s">
        <v>780</v>
      </c>
      <c r="B311" s="689" t="s">
        <v>766</v>
      </c>
      <c r="C311" s="1327">
        <v>547734866</v>
      </c>
      <c r="D311" s="150"/>
      <c r="E311" s="114"/>
      <c r="F311" s="70"/>
      <c r="G311" s="1"/>
    </row>
    <row r="312" spans="1:7" s="123" customFormat="1" x14ac:dyDescent="0.6">
      <c r="A312" s="599" t="s">
        <v>496</v>
      </c>
      <c r="B312" s="689" t="s">
        <v>766</v>
      </c>
      <c r="C312" s="1327">
        <v>7677705300</v>
      </c>
      <c r="D312" s="150"/>
      <c r="E312" s="114"/>
      <c r="F312" s="70"/>
      <c r="G312" s="1"/>
    </row>
    <row r="313" spans="1:7" s="123" customFormat="1" x14ac:dyDescent="0.6">
      <c r="A313" s="599" t="s">
        <v>496</v>
      </c>
      <c r="B313" s="689" t="s">
        <v>767</v>
      </c>
      <c r="C313" s="1327">
        <v>360663179</v>
      </c>
      <c r="D313" s="150"/>
      <c r="E313" s="114"/>
      <c r="F313" s="70"/>
      <c r="G313" s="1"/>
    </row>
    <row r="314" spans="1:7" s="123" customFormat="1" x14ac:dyDescent="0.6">
      <c r="A314" s="599" t="s">
        <v>258</v>
      </c>
      <c r="B314" s="689" t="s">
        <v>766</v>
      </c>
      <c r="C314" s="1327">
        <v>1044752275</v>
      </c>
      <c r="D314" s="150"/>
      <c r="E314" s="114"/>
      <c r="F314" s="70"/>
      <c r="G314" s="1"/>
    </row>
    <row r="315" spans="1:7" s="123" customFormat="1" x14ac:dyDescent="0.6">
      <c r="A315" s="599" t="s">
        <v>781</v>
      </c>
      <c r="B315" s="689" t="s">
        <v>767</v>
      </c>
      <c r="C315" s="1327">
        <v>513016</v>
      </c>
      <c r="D315" s="150"/>
      <c r="E315" s="114"/>
      <c r="F315" s="70"/>
      <c r="G315" s="1"/>
    </row>
    <row r="316" spans="1:7" s="123" customFormat="1" ht="15.9" thickBot="1" x14ac:dyDescent="0.65">
      <c r="A316" s="124" t="s">
        <v>781</v>
      </c>
      <c r="B316" s="690" t="s">
        <v>766</v>
      </c>
      <c r="C316" s="1327">
        <v>10920947</v>
      </c>
      <c r="D316" s="150"/>
      <c r="E316" s="114"/>
      <c r="F316" s="70"/>
      <c r="G316" s="1"/>
    </row>
    <row r="317" spans="1:7" s="798" customFormat="1" ht="15.9" thickTop="1" x14ac:dyDescent="0.6">
      <c r="A317" s="1385" t="s">
        <v>51</v>
      </c>
      <c r="B317" s="712"/>
      <c r="C317" s="1367">
        <f>SUM(C318:C342)</f>
        <v>232874018800</v>
      </c>
      <c r="D317" s="797">
        <f>SUM(D318:D337)</f>
        <v>0</v>
      </c>
      <c r="E317" s="114"/>
      <c r="F317" s="70"/>
      <c r="G317" s="1"/>
    </row>
    <row r="318" spans="1:7" s="710" customFormat="1" x14ac:dyDescent="0.6">
      <c r="A318" s="711" t="s">
        <v>1325</v>
      </c>
      <c r="B318" s="712" t="s">
        <v>766</v>
      </c>
      <c r="C318" s="1368">
        <v>1212330000</v>
      </c>
      <c r="D318" s="713"/>
      <c r="E318" s="114"/>
      <c r="F318" s="70"/>
      <c r="G318" s="1"/>
    </row>
    <row r="319" spans="1:7" s="710" customFormat="1" x14ac:dyDescent="0.6">
      <c r="A319" s="711"/>
      <c r="B319" s="712" t="s">
        <v>767</v>
      </c>
      <c r="C319" s="1368">
        <v>183574000</v>
      </c>
      <c r="D319" s="713"/>
      <c r="E319" s="114"/>
      <c r="F319" s="70"/>
      <c r="G319" s="1"/>
    </row>
    <row r="320" spans="1:7" s="710" customFormat="1" x14ac:dyDescent="0.6">
      <c r="A320" s="711" t="s">
        <v>486</v>
      </c>
      <c r="B320" s="712" t="s">
        <v>766</v>
      </c>
      <c r="C320" s="1368">
        <v>94842000000</v>
      </c>
      <c r="D320" s="713"/>
      <c r="E320" s="114"/>
      <c r="F320" s="70"/>
      <c r="G320" s="1"/>
    </row>
    <row r="321" spans="1:7" s="710" customFormat="1" x14ac:dyDescent="0.6">
      <c r="A321" s="711" t="s">
        <v>487</v>
      </c>
      <c r="B321" s="712"/>
      <c r="C321" s="716" t="s">
        <v>804</v>
      </c>
      <c r="D321" s="713"/>
      <c r="E321" s="114"/>
      <c r="F321" s="70"/>
      <c r="G321" s="1"/>
    </row>
    <row r="322" spans="1:7" s="710" customFormat="1" x14ac:dyDescent="0.6">
      <c r="A322" s="711" t="s">
        <v>488</v>
      </c>
      <c r="B322" s="712"/>
      <c r="C322" s="1368">
        <v>7780180000</v>
      </c>
      <c r="D322" s="713"/>
      <c r="E322" s="114"/>
      <c r="F322" s="70"/>
      <c r="G322" s="1"/>
    </row>
    <row r="323" spans="1:7" s="710" customFormat="1" x14ac:dyDescent="0.6">
      <c r="A323" s="711" t="s">
        <v>489</v>
      </c>
      <c r="B323" s="712"/>
      <c r="C323" s="1368">
        <v>28223500000</v>
      </c>
      <c r="D323" s="713"/>
      <c r="E323" s="114"/>
      <c r="F323" s="70"/>
      <c r="G323" s="1"/>
    </row>
    <row r="324" spans="1:7" s="710" customFormat="1" x14ac:dyDescent="0.6">
      <c r="A324" s="711" t="s">
        <v>490</v>
      </c>
      <c r="B324" s="712"/>
      <c r="C324" s="1368">
        <v>1819056000</v>
      </c>
      <c r="D324" s="713"/>
      <c r="E324" s="114"/>
      <c r="F324" s="70"/>
      <c r="G324" s="1"/>
    </row>
    <row r="325" spans="1:7" s="710" customFormat="1" x14ac:dyDescent="0.6">
      <c r="A325" s="711" t="s">
        <v>1326</v>
      </c>
      <c r="B325" s="712"/>
      <c r="C325" s="1368">
        <v>38522000</v>
      </c>
      <c r="D325" s="713"/>
      <c r="E325" s="114"/>
      <c r="F325" s="70"/>
      <c r="G325" s="1"/>
    </row>
    <row r="326" spans="1:7" s="710" customFormat="1" x14ac:dyDescent="0.6">
      <c r="A326" s="711"/>
      <c r="B326" s="712" t="s">
        <v>767</v>
      </c>
      <c r="C326" s="716" t="s">
        <v>804</v>
      </c>
      <c r="D326" s="713"/>
      <c r="E326" s="114"/>
      <c r="F326" s="70"/>
      <c r="G326" s="1"/>
    </row>
    <row r="327" spans="1:7" s="710" customFormat="1" x14ac:dyDescent="0.6">
      <c r="A327" s="711" t="s">
        <v>491</v>
      </c>
      <c r="B327" s="712" t="s">
        <v>766</v>
      </c>
      <c r="C327" s="716" t="s">
        <v>804</v>
      </c>
      <c r="D327" s="713"/>
      <c r="E327" s="114"/>
      <c r="F327" s="70"/>
      <c r="G327" s="1"/>
    </row>
    <row r="328" spans="1:7" s="710" customFormat="1" x14ac:dyDescent="0.6">
      <c r="A328" s="711" t="s">
        <v>492</v>
      </c>
      <c r="B328" s="712"/>
      <c r="C328" s="716" t="s">
        <v>804</v>
      </c>
      <c r="D328" s="713"/>
      <c r="E328" s="114"/>
      <c r="F328" s="70"/>
      <c r="G328" s="1"/>
    </row>
    <row r="329" spans="1:7" s="710" customFormat="1" x14ac:dyDescent="0.6">
      <c r="A329" s="711" t="s">
        <v>1327</v>
      </c>
      <c r="B329" s="712"/>
      <c r="C329" s="1368">
        <v>22164000000</v>
      </c>
      <c r="D329" s="713"/>
      <c r="E329" s="114"/>
      <c r="F329" s="70"/>
      <c r="G329" s="1"/>
    </row>
    <row r="330" spans="1:7" s="710" customFormat="1" x14ac:dyDescent="0.6">
      <c r="A330" s="711" t="s">
        <v>1328</v>
      </c>
      <c r="B330" s="712"/>
      <c r="C330" s="716" t="s">
        <v>804</v>
      </c>
      <c r="D330" s="713"/>
      <c r="E330" s="114"/>
      <c r="F330" s="70"/>
      <c r="G330" s="1"/>
    </row>
    <row r="331" spans="1:7" s="710" customFormat="1" x14ac:dyDescent="0.6">
      <c r="A331" s="711" t="s">
        <v>493</v>
      </c>
      <c r="B331" s="712"/>
      <c r="C331" s="1368">
        <v>16884300000</v>
      </c>
      <c r="D331" s="713"/>
      <c r="E331" s="114"/>
      <c r="F331" s="70"/>
      <c r="G331" s="1"/>
    </row>
    <row r="332" spans="1:7" s="710" customFormat="1" x14ac:dyDescent="0.6">
      <c r="A332" s="711" t="s">
        <v>1329</v>
      </c>
      <c r="B332" s="712"/>
      <c r="C332" s="716" t="s">
        <v>804</v>
      </c>
      <c r="D332" s="713"/>
      <c r="E332" s="114"/>
      <c r="F332" s="70"/>
      <c r="G332" s="1"/>
    </row>
    <row r="333" spans="1:7" s="710" customFormat="1" x14ac:dyDescent="0.6">
      <c r="A333" s="711" t="s">
        <v>1330</v>
      </c>
      <c r="B333" s="712"/>
      <c r="C333" s="716" t="s">
        <v>804</v>
      </c>
      <c r="D333" s="713"/>
      <c r="E333" s="114"/>
      <c r="F333" s="70"/>
      <c r="G333" s="1"/>
    </row>
    <row r="334" spans="1:7" s="710" customFormat="1" x14ac:dyDescent="0.6">
      <c r="A334" s="711" t="s">
        <v>494</v>
      </c>
      <c r="B334" s="712"/>
      <c r="C334" s="716" t="s">
        <v>804</v>
      </c>
      <c r="D334" s="713"/>
      <c r="E334" s="114"/>
      <c r="F334" s="70"/>
      <c r="G334" s="1"/>
    </row>
    <row r="335" spans="1:7" s="710" customFormat="1" x14ac:dyDescent="0.6">
      <c r="A335" s="711"/>
      <c r="B335" s="712" t="s">
        <v>767</v>
      </c>
      <c r="C335" s="716" t="s">
        <v>804</v>
      </c>
      <c r="D335" s="713"/>
      <c r="E335" s="114"/>
      <c r="F335" s="70"/>
      <c r="G335" s="1"/>
    </row>
    <row r="336" spans="1:7" s="711" customFormat="1" x14ac:dyDescent="0.6">
      <c r="A336" s="711" t="s">
        <v>1331</v>
      </c>
      <c r="B336" s="712" t="s">
        <v>766</v>
      </c>
      <c r="C336" s="1369">
        <v>6254656000</v>
      </c>
      <c r="D336" s="713"/>
      <c r="E336" s="114"/>
      <c r="F336" s="70"/>
      <c r="G336" s="1"/>
    </row>
    <row r="337" spans="1:7" s="711" customFormat="1" x14ac:dyDescent="0.6">
      <c r="A337" s="711" t="s">
        <v>1332</v>
      </c>
      <c r="B337" s="712"/>
      <c r="C337" s="244">
        <v>46198400000</v>
      </c>
      <c r="D337" s="713"/>
      <c r="E337" s="114"/>
      <c r="F337" s="70"/>
      <c r="G337" s="1"/>
    </row>
    <row r="338" spans="1:7" s="711" customFormat="1" x14ac:dyDescent="0.6">
      <c r="A338" s="711" t="s">
        <v>1333</v>
      </c>
      <c r="B338" s="712"/>
      <c r="C338" s="716" t="s">
        <v>804</v>
      </c>
      <c r="D338" s="713"/>
      <c r="E338" s="114"/>
      <c r="F338" s="70"/>
      <c r="G338" s="1"/>
    </row>
    <row r="339" spans="1:7" s="711" customFormat="1" x14ac:dyDescent="0.6">
      <c r="A339" s="711" t="s">
        <v>495</v>
      </c>
      <c r="B339" s="712" t="s">
        <v>766</v>
      </c>
      <c r="C339" s="1369">
        <v>6650432900</v>
      </c>
      <c r="D339" s="713"/>
      <c r="E339" s="114"/>
      <c r="F339" s="70"/>
      <c r="G339" s="1"/>
    </row>
    <row r="340" spans="1:7" s="711" customFormat="1" x14ac:dyDescent="0.6">
      <c r="B340" s="712" t="s">
        <v>767</v>
      </c>
      <c r="C340" s="1369">
        <v>623067900</v>
      </c>
      <c r="D340" s="713"/>
      <c r="E340" s="114"/>
      <c r="F340" s="70"/>
      <c r="G340" s="1"/>
    </row>
    <row r="341" spans="1:7" s="711" customFormat="1" x14ac:dyDescent="0.6">
      <c r="A341" s="711" t="s">
        <v>782</v>
      </c>
      <c r="B341" s="712" t="s">
        <v>766</v>
      </c>
      <c r="C341" s="716" t="s">
        <v>804</v>
      </c>
      <c r="D341" s="713"/>
      <c r="E341" s="114"/>
      <c r="F341" s="70"/>
      <c r="G341" s="1"/>
    </row>
    <row r="342" spans="1:7" s="711" customFormat="1" ht="15.9" thickBot="1" x14ac:dyDescent="0.65">
      <c r="A342" s="719"/>
      <c r="B342" s="715" t="s">
        <v>767</v>
      </c>
      <c r="C342" s="1386" t="s">
        <v>804</v>
      </c>
      <c r="D342" s="718"/>
      <c r="E342" s="114"/>
      <c r="F342" s="70"/>
      <c r="G342" s="1"/>
    </row>
    <row r="343" spans="1:7" s="714" customFormat="1" ht="15.9" thickTop="1" x14ac:dyDescent="0.6">
      <c r="A343" s="710"/>
      <c r="B343" s="710"/>
      <c r="C343" s="1370"/>
      <c r="E343" s="114"/>
      <c r="F343" s="70"/>
      <c r="G343" s="1"/>
    </row>
    <row r="344" spans="1:7" s="714" customFormat="1" x14ac:dyDescent="0.6">
      <c r="A344" s="1370" t="s">
        <v>1451</v>
      </c>
      <c r="B344" s="13">
        <f>COUNTIF(C3:C342,"=ND")</f>
        <v>146</v>
      </c>
      <c r="C344" s="1370"/>
      <c r="E344" s="114"/>
      <c r="F344" s="70"/>
      <c r="G344" s="1"/>
    </row>
    <row r="345" spans="1:7" s="714" customFormat="1" x14ac:dyDescent="0.6">
      <c r="A345" s="1370" t="s">
        <v>1454</v>
      </c>
      <c r="B345" s="13">
        <f>COUNT(C3:C342)</f>
        <v>168</v>
      </c>
      <c r="C345" s="1370"/>
      <c r="E345" s="114"/>
      <c r="F345" s="70"/>
      <c r="G345" s="1"/>
    </row>
    <row r="346" spans="1:7" s="714" customFormat="1" x14ac:dyDescent="0.6">
      <c r="A346" s="1370" t="s">
        <v>1452</v>
      </c>
      <c r="B346" s="13">
        <f>COUNTBLANK(C3:C342)</f>
        <v>26</v>
      </c>
      <c r="C346" s="1370"/>
      <c r="E346" s="114"/>
      <c r="F346" s="70"/>
      <c r="G346" s="1"/>
    </row>
    <row r="347" spans="1:7" s="714" customFormat="1" x14ac:dyDescent="0.6">
      <c r="A347" s="1370" t="s">
        <v>1453</v>
      </c>
      <c r="B347" s="13">
        <v>29</v>
      </c>
      <c r="C347" s="1370"/>
      <c r="E347" s="114"/>
      <c r="F347" s="70"/>
      <c r="G347" s="1"/>
    </row>
    <row r="348" spans="1:7" s="714" customFormat="1" x14ac:dyDescent="0.6">
      <c r="A348" s="1370" t="s">
        <v>42</v>
      </c>
      <c r="B348" s="13">
        <f>SUM(B344:B346)</f>
        <v>340</v>
      </c>
      <c r="C348" s="1370"/>
      <c r="E348" s="114"/>
      <c r="F348" s="70"/>
      <c r="G348" s="1"/>
    </row>
    <row r="349" spans="1:7" s="714" customFormat="1" x14ac:dyDescent="0.6">
      <c r="A349" s="1370" t="s">
        <v>1456</v>
      </c>
      <c r="B349" s="13">
        <v>340</v>
      </c>
      <c r="C349" s="1370"/>
      <c r="E349" s="114"/>
      <c r="F349" s="70"/>
      <c r="G349" s="1"/>
    </row>
    <row r="350" spans="1:7" x14ac:dyDescent="0.6">
      <c r="A350" s="1370"/>
      <c r="B350" s="13"/>
      <c r="C350" s="826"/>
      <c r="D350" s="1"/>
    </row>
    <row r="351" spans="1:7" x14ac:dyDescent="0.6">
      <c r="A351" s="1370" t="s">
        <v>1455</v>
      </c>
      <c r="B351" s="13">
        <f>B345-B346</f>
        <v>142</v>
      </c>
      <c r="C351" s="826"/>
      <c r="D351" s="1"/>
    </row>
    <row r="352" spans="1:7" x14ac:dyDescent="0.6">
      <c r="A352" s="826" t="s">
        <v>804</v>
      </c>
      <c r="B352" s="13">
        <f>B344</f>
        <v>146</v>
      </c>
      <c r="C352" s="826"/>
      <c r="D352" s="1"/>
    </row>
    <row r="353" spans="1:4" x14ac:dyDescent="0.6">
      <c r="A353" s="826" t="s">
        <v>42</v>
      </c>
      <c r="B353" s="13">
        <f>B352+B351</f>
        <v>288</v>
      </c>
      <c r="C353" s="826"/>
      <c r="D353" s="1"/>
    </row>
    <row r="354" spans="1:4" x14ac:dyDescent="0.6">
      <c r="A354" s="826"/>
      <c r="B354" s="13"/>
      <c r="C354" s="826"/>
      <c r="D354" s="1"/>
    </row>
    <row r="355" spans="1:4" x14ac:dyDescent="0.6">
      <c r="A355" s="826" t="s">
        <v>1456</v>
      </c>
      <c r="B355" s="13">
        <f>B344+B345-B346</f>
        <v>288</v>
      </c>
      <c r="C355" s="826"/>
      <c r="D355" s="1"/>
    </row>
    <row r="356" spans="1:4" x14ac:dyDescent="0.6">
      <c r="C356" s="826"/>
      <c r="D356" s="1"/>
    </row>
    <row r="357" spans="1:4" x14ac:dyDescent="0.6">
      <c r="C357" s="826"/>
      <c r="D357" s="1"/>
    </row>
    <row r="358" spans="1:4" x14ac:dyDescent="0.6">
      <c r="C358" s="826"/>
    </row>
    <row r="359" spans="1:4" x14ac:dyDescent="0.6">
      <c r="C359" s="826"/>
      <c r="D359" s="1"/>
    </row>
    <row r="360" spans="1:4" x14ac:dyDescent="0.6">
      <c r="C360" s="826"/>
      <c r="D360" s="1"/>
    </row>
    <row r="361" spans="1:4" x14ac:dyDescent="0.6">
      <c r="C361" s="826"/>
      <c r="D361" s="1"/>
    </row>
    <row r="362" spans="1:4" x14ac:dyDescent="0.6">
      <c r="C362" s="826"/>
      <c r="D362" s="1"/>
    </row>
    <row r="363" spans="1:4" x14ac:dyDescent="0.6">
      <c r="C363" s="826"/>
    </row>
    <row r="364" spans="1:4" x14ac:dyDescent="0.6">
      <c r="C364" s="826"/>
    </row>
    <row r="365" spans="1:4" x14ac:dyDescent="0.6">
      <c r="C365" s="826"/>
      <c r="D365" s="1"/>
    </row>
    <row r="366" spans="1:4" x14ac:dyDescent="0.6">
      <c r="C366" s="826"/>
      <c r="D366" s="1"/>
    </row>
    <row r="367" spans="1:4" x14ac:dyDescent="0.6">
      <c r="C367" s="826"/>
      <c r="D367" s="1"/>
    </row>
    <row r="368" spans="1:4" x14ac:dyDescent="0.6">
      <c r="C368" s="826"/>
      <c r="D368" s="1"/>
    </row>
    <row r="369" spans="3:4" x14ac:dyDescent="0.6">
      <c r="C369" s="826"/>
      <c r="D369" s="1"/>
    </row>
    <row r="370" spans="3:4" x14ac:dyDescent="0.6">
      <c r="C370" s="826"/>
      <c r="D370" s="1"/>
    </row>
    <row r="371" spans="3:4" x14ac:dyDescent="0.6">
      <c r="C371" s="826"/>
      <c r="D371" s="1"/>
    </row>
    <row r="372" spans="3:4" x14ac:dyDescent="0.6">
      <c r="C372" s="826"/>
      <c r="D372" s="1"/>
    </row>
    <row r="373" spans="3:4" x14ac:dyDescent="0.6">
      <c r="C373" s="826"/>
    </row>
    <row r="374" spans="3:4" x14ac:dyDescent="0.6">
      <c r="C374" s="826"/>
    </row>
    <row r="375" spans="3:4" x14ac:dyDescent="0.6">
      <c r="C375" s="826"/>
      <c r="D375" s="1"/>
    </row>
    <row r="376" spans="3:4" x14ac:dyDescent="0.6">
      <c r="C376" s="826"/>
      <c r="D376" s="1"/>
    </row>
    <row r="377" spans="3:4" x14ac:dyDescent="0.6">
      <c r="C377" s="826"/>
      <c r="D377" s="1"/>
    </row>
    <row r="378" spans="3:4" x14ac:dyDescent="0.6">
      <c r="C378" s="826"/>
      <c r="D378" s="1"/>
    </row>
    <row r="379" spans="3:4" x14ac:dyDescent="0.6">
      <c r="C379" s="826"/>
      <c r="D379" s="1"/>
    </row>
    <row r="380" spans="3:4" x14ac:dyDescent="0.6">
      <c r="C380" s="826"/>
      <c r="D380" s="1"/>
    </row>
    <row r="381" spans="3:4" x14ac:dyDescent="0.6">
      <c r="C381" s="826"/>
      <c r="D381" s="1"/>
    </row>
    <row r="382" spans="3:4" x14ac:dyDescent="0.6">
      <c r="C382" s="826"/>
      <c r="D382" s="1"/>
    </row>
    <row r="383" spans="3:4" x14ac:dyDescent="0.6">
      <c r="C383" s="826"/>
    </row>
    <row r="384" spans="3:4" x14ac:dyDescent="0.6">
      <c r="C384" s="826"/>
      <c r="D384" s="1"/>
    </row>
    <row r="385" spans="3:4" x14ac:dyDescent="0.6">
      <c r="C385" s="826"/>
      <c r="D385" s="1"/>
    </row>
    <row r="386" spans="3:4" x14ac:dyDescent="0.6">
      <c r="C386" s="826"/>
      <c r="D386" s="1"/>
    </row>
    <row r="387" spans="3:4" x14ac:dyDescent="0.6">
      <c r="C387" s="826"/>
      <c r="D387" s="1"/>
    </row>
    <row r="388" spans="3:4" x14ac:dyDescent="0.6">
      <c r="C388" s="826"/>
      <c r="D388" s="1"/>
    </row>
    <row r="389" spans="3:4" x14ac:dyDescent="0.6">
      <c r="C389" s="826"/>
      <c r="D389" s="1"/>
    </row>
    <row r="390" spans="3:4" x14ac:dyDescent="0.6">
      <c r="C390" s="826"/>
      <c r="D390" s="1"/>
    </row>
    <row r="391" spans="3:4" x14ac:dyDescent="0.6">
      <c r="C391" s="826"/>
      <c r="D391" s="1"/>
    </row>
    <row r="392" spans="3:4" x14ac:dyDescent="0.6">
      <c r="C392" s="826"/>
      <c r="D392" s="1"/>
    </row>
    <row r="393" spans="3:4" x14ac:dyDescent="0.6">
      <c r="C393" s="826"/>
      <c r="D393" s="1"/>
    </row>
    <row r="394" spans="3:4" x14ac:dyDescent="0.6">
      <c r="C394" s="826"/>
    </row>
    <row r="395" spans="3:4" x14ac:dyDescent="0.6">
      <c r="C395" s="826"/>
      <c r="D395" s="1"/>
    </row>
    <row r="396" spans="3:4" x14ac:dyDescent="0.6">
      <c r="C396" s="826"/>
      <c r="D396" s="1"/>
    </row>
    <row r="397" spans="3:4" x14ac:dyDescent="0.6">
      <c r="C397" s="826"/>
      <c r="D397" s="1"/>
    </row>
    <row r="398" spans="3:4" x14ac:dyDescent="0.6">
      <c r="C398" s="826"/>
      <c r="D398" s="1"/>
    </row>
    <row r="399" spans="3:4" x14ac:dyDescent="0.6">
      <c r="C399" s="826"/>
      <c r="D399" s="1"/>
    </row>
    <row r="400" spans="3:4" x14ac:dyDescent="0.6">
      <c r="C400" s="826"/>
    </row>
    <row r="401" spans="3:4" x14ac:dyDescent="0.6">
      <c r="C401" s="826"/>
      <c r="D401" s="1"/>
    </row>
    <row r="402" spans="3:4" x14ac:dyDescent="0.6">
      <c r="C402" s="826"/>
      <c r="D402" s="1"/>
    </row>
    <row r="403" spans="3:4" x14ac:dyDescent="0.6">
      <c r="C403" s="826"/>
      <c r="D403" s="1"/>
    </row>
    <row r="404" spans="3:4" x14ac:dyDescent="0.6">
      <c r="C404" s="826"/>
      <c r="D404" s="1"/>
    </row>
    <row r="405" spans="3:4" x14ac:dyDescent="0.6">
      <c r="C405" s="826"/>
      <c r="D405" s="1"/>
    </row>
    <row r="406" spans="3:4" x14ac:dyDescent="0.6">
      <c r="C406" s="826"/>
      <c r="D406" s="1"/>
    </row>
    <row r="407" spans="3:4" x14ac:dyDescent="0.6">
      <c r="C407" s="826"/>
      <c r="D407" s="1"/>
    </row>
    <row r="408" spans="3:4" x14ac:dyDescent="0.6">
      <c r="C408" s="826"/>
      <c r="D408" s="1"/>
    </row>
    <row r="409" spans="3:4" x14ac:dyDescent="0.6">
      <c r="C409" s="826"/>
      <c r="D409" s="1"/>
    </row>
    <row r="410" spans="3:4" x14ac:dyDescent="0.6">
      <c r="C410" s="826"/>
      <c r="D410" s="1"/>
    </row>
    <row r="411" spans="3:4" x14ac:dyDescent="0.6">
      <c r="C411" s="826"/>
      <c r="D411" s="1"/>
    </row>
    <row r="412" spans="3:4" x14ac:dyDescent="0.6">
      <c r="C412" s="826"/>
      <c r="D412" s="1"/>
    </row>
    <row r="413" spans="3:4" x14ac:dyDescent="0.6">
      <c r="C413" s="826"/>
      <c r="D413" s="1"/>
    </row>
    <row r="414" spans="3:4" x14ac:dyDescent="0.6">
      <c r="C414" s="826"/>
      <c r="D414" s="1"/>
    </row>
    <row r="415" spans="3:4" x14ac:dyDescent="0.6">
      <c r="C415" s="826"/>
      <c r="D415" s="1"/>
    </row>
    <row r="416" spans="3:4" x14ac:dyDescent="0.6">
      <c r="C416" s="826"/>
    </row>
    <row r="417" spans="3:4" x14ac:dyDescent="0.6">
      <c r="C417" s="826"/>
      <c r="D417" s="1"/>
    </row>
    <row r="418" spans="3:4" x14ac:dyDescent="0.6">
      <c r="C418" s="826"/>
      <c r="D418" s="1"/>
    </row>
    <row r="419" spans="3:4" x14ac:dyDescent="0.6">
      <c r="C419" s="826"/>
      <c r="D419" s="1"/>
    </row>
    <row r="420" spans="3:4" x14ac:dyDescent="0.6">
      <c r="C420" s="826"/>
      <c r="D420" s="1"/>
    </row>
    <row r="421" spans="3:4" x14ac:dyDescent="0.6">
      <c r="C421" s="826"/>
      <c r="D421" s="1"/>
    </row>
    <row r="422" spans="3:4" x14ac:dyDescent="0.6">
      <c r="C422" s="826"/>
      <c r="D422" s="1"/>
    </row>
    <row r="423" spans="3:4" x14ac:dyDescent="0.6">
      <c r="C423" s="826"/>
      <c r="D423" s="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G736"/>
  <sheetViews>
    <sheetView showGridLines="0" showZeros="0" zoomScale="115" zoomScaleNormal="115" zoomScalePage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63" style="1" customWidth="1"/>
    <col min="2" max="2" width="18.34765625" style="1" customWidth="1"/>
    <col min="3" max="3" width="18.5" style="70" bestFit="1" customWidth="1"/>
    <col min="4" max="4" width="15" style="70" bestFit="1" customWidth="1"/>
    <col min="5" max="5" width="8.09765625" style="114" bestFit="1" customWidth="1"/>
    <col min="6" max="6" width="15" style="70" customWidth="1"/>
    <col min="7" max="16384" width="10.84765625" style="1"/>
  </cols>
  <sheetData>
    <row r="1" spans="1:7" x14ac:dyDescent="0.6">
      <c r="A1" s="78" t="s">
        <v>808</v>
      </c>
      <c r="B1" s="78"/>
      <c r="C1" s="622"/>
    </row>
    <row r="2" spans="1:7" ht="15.9" thickBot="1" x14ac:dyDescent="0.65">
      <c r="A2" s="119"/>
      <c r="B2" s="119"/>
      <c r="C2" s="594" t="s">
        <v>237</v>
      </c>
      <c r="D2" s="623" t="s">
        <v>239</v>
      </c>
      <c r="E2" s="838" t="s">
        <v>1731</v>
      </c>
      <c r="F2" s="1477"/>
    </row>
    <row r="3" spans="1:7" s="192" customFormat="1" ht="15.9" thickTop="1" x14ac:dyDescent="0.6">
      <c r="A3" s="1371" t="s">
        <v>37</v>
      </c>
      <c r="B3" s="687"/>
      <c r="C3" s="721">
        <f>SUM(C4:C104)</f>
        <v>1352550400</v>
      </c>
      <c r="D3" s="722"/>
      <c r="E3" s="838"/>
      <c r="F3" s="1564"/>
      <c r="G3" s="1"/>
    </row>
    <row r="4" spans="1:7" x14ac:dyDescent="0.6">
      <c r="A4" s="1" t="s">
        <v>537</v>
      </c>
      <c r="B4" s="44" t="s">
        <v>1354</v>
      </c>
      <c r="C4" s="1397">
        <v>7777</v>
      </c>
      <c r="D4" s="607"/>
      <c r="E4" s="838"/>
      <c r="F4" s="1594" t="s">
        <v>37</v>
      </c>
    </row>
    <row r="5" spans="1:7" x14ac:dyDescent="0.6">
      <c r="B5" s="44" t="s">
        <v>1355</v>
      </c>
      <c r="C5" s="1398">
        <v>225169</v>
      </c>
      <c r="D5" s="607"/>
      <c r="E5" s="838"/>
      <c r="F5" s="593" t="s">
        <v>42</v>
      </c>
      <c r="G5" s="1">
        <f>104-3</f>
        <v>101</v>
      </c>
    </row>
    <row r="6" spans="1:7" x14ac:dyDescent="0.6">
      <c r="B6" s="44" t="s">
        <v>1356</v>
      </c>
      <c r="C6" s="1398">
        <v>1111053</v>
      </c>
      <c r="D6" s="607"/>
      <c r="E6" s="838"/>
      <c r="F6" s="593" t="s">
        <v>802</v>
      </c>
      <c r="G6" s="1">
        <f>COUNTIF(C4:C104,"ND")</f>
        <v>62</v>
      </c>
    </row>
    <row r="7" spans="1:7" x14ac:dyDescent="0.6">
      <c r="A7" s="1" t="s">
        <v>538</v>
      </c>
      <c r="B7" s="44" t="s">
        <v>1354</v>
      </c>
      <c r="C7" s="1398">
        <v>17360</v>
      </c>
      <c r="D7" s="607"/>
      <c r="E7" s="838"/>
      <c r="F7" s="593" t="s">
        <v>1732</v>
      </c>
      <c r="G7" s="1">
        <f>COUNTIF(E4:E104,"x")</f>
        <v>44</v>
      </c>
    </row>
    <row r="8" spans="1:7" x14ac:dyDescent="0.6">
      <c r="B8" s="44" t="s">
        <v>1355</v>
      </c>
      <c r="C8" s="1398">
        <v>502610</v>
      </c>
      <c r="D8" s="607"/>
      <c r="E8" s="838"/>
      <c r="F8" s="593" t="s">
        <v>239</v>
      </c>
      <c r="G8" s="1">
        <f>COUNT(D4:D104)</f>
        <v>0</v>
      </c>
    </row>
    <row r="9" spans="1:7" x14ac:dyDescent="0.6">
      <c r="B9" s="44" t="s">
        <v>1356</v>
      </c>
      <c r="C9" s="1398">
        <v>2480030</v>
      </c>
      <c r="D9" s="607"/>
      <c r="E9" s="838"/>
      <c r="F9" s="593"/>
    </row>
    <row r="10" spans="1:7" x14ac:dyDescent="0.6">
      <c r="A10" s="1" t="s">
        <v>539</v>
      </c>
      <c r="B10" s="44" t="s">
        <v>1354</v>
      </c>
      <c r="C10" s="1398">
        <v>63092</v>
      </c>
      <c r="D10" s="607"/>
      <c r="E10" s="838"/>
      <c r="F10" s="593"/>
    </row>
    <row r="11" spans="1:7" x14ac:dyDescent="0.6">
      <c r="B11" s="44" t="s">
        <v>1355</v>
      </c>
      <c r="C11" s="1398">
        <v>1826630</v>
      </c>
      <c r="D11" s="607"/>
      <c r="E11" s="838"/>
      <c r="F11" s="593"/>
    </row>
    <row r="12" spans="1:7" x14ac:dyDescent="0.6">
      <c r="B12" s="44" t="s">
        <v>1356</v>
      </c>
      <c r="C12" s="1398">
        <v>9013140</v>
      </c>
      <c r="D12" s="607"/>
      <c r="E12" s="838"/>
      <c r="F12" s="593"/>
    </row>
    <row r="13" spans="1:7" x14ac:dyDescent="0.6">
      <c r="A13" s="1" t="s">
        <v>540</v>
      </c>
      <c r="B13" s="44" t="s">
        <v>1357</v>
      </c>
      <c r="C13" s="811" t="s">
        <v>804</v>
      </c>
      <c r="D13" s="607"/>
      <c r="E13" s="838"/>
      <c r="F13" s="593"/>
    </row>
    <row r="14" spans="1:7" x14ac:dyDescent="0.6">
      <c r="A14" s="1" t="s">
        <v>541</v>
      </c>
      <c r="B14" s="44" t="s">
        <v>1358</v>
      </c>
      <c r="C14" s="1398">
        <v>3123125</v>
      </c>
      <c r="D14" s="607"/>
      <c r="E14" s="838"/>
      <c r="F14" s="593"/>
    </row>
    <row r="15" spans="1:7" x14ac:dyDescent="0.6">
      <c r="A15" s="1" t="s">
        <v>542</v>
      </c>
      <c r="B15" s="44"/>
      <c r="C15" s="1398">
        <v>2781000</v>
      </c>
      <c r="D15" s="607"/>
      <c r="E15" s="838"/>
      <c r="F15" s="593"/>
    </row>
    <row r="16" spans="1:7" x14ac:dyDescent="0.6">
      <c r="A16" s="1" t="s">
        <v>548</v>
      </c>
      <c r="B16" s="44" t="s">
        <v>1356</v>
      </c>
      <c r="C16" s="810">
        <v>3998000</v>
      </c>
      <c r="D16" s="607"/>
      <c r="E16" s="838"/>
      <c r="F16" s="593"/>
    </row>
    <row r="17" spans="1:7" x14ac:dyDescent="0.6">
      <c r="A17" s="1" t="s">
        <v>331</v>
      </c>
      <c r="B17" s="44" t="s">
        <v>1354</v>
      </c>
      <c r="C17" s="811" t="s">
        <v>804</v>
      </c>
      <c r="D17" s="607"/>
      <c r="E17" s="838" t="s">
        <v>769</v>
      </c>
      <c r="F17" s="593"/>
    </row>
    <row r="18" spans="1:7" x14ac:dyDescent="0.6">
      <c r="B18" s="44" t="s">
        <v>1355</v>
      </c>
      <c r="C18" s="811" t="s">
        <v>804</v>
      </c>
      <c r="D18" s="607"/>
      <c r="E18" s="838" t="s">
        <v>769</v>
      </c>
      <c r="F18" s="593"/>
    </row>
    <row r="19" spans="1:7" x14ac:dyDescent="0.6">
      <c r="B19" s="44" t="s">
        <v>1356</v>
      </c>
      <c r="C19" s="811" t="s">
        <v>804</v>
      </c>
      <c r="D19" s="607"/>
      <c r="E19" s="838" t="s">
        <v>769</v>
      </c>
      <c r="F19" s="593"/>
    </row>
    <row r="20" spans="1:7" x14ac:dyDescent="0.6">
      <c r="A20" s="1" t="s">
        <v>549</v>
      </c>
      <c r="B20" s="44"/>
      <c r="C20" s="811" t="s">
        <v>804</v>
      </c>
      <c r="D20" s="607"/>
      <c r="E20" s="838"/>
      <c r="F20" s="593"/>
    </row>
    <row r="21" spans="1:7" x14ac:dyDescent="0.6">
      <c r="B21" s="44" t="s">
        <v>1357</v>
      </c>
      <c r="C21" s="811" t="s">
        <v>804</v>
      </c>
      <c r="D21" s="607"/>
      <c r="E21" s="838"/>
      <c r="F21" s="593"/>
    </row>
    <row r="22" spans="1:7" x14ac:dyDescent="0.6">
      <c r="A22" s="1" t="s">
        <v>550</v>
      </c>
      <c r="B22" s="44" t="s">
        <v>1356</v>
      </c>
      <c r="C22" s="810">
        <v>55000000</v>
      </c>
      <c r="D22" s="607"/>
      <c r="E22" s="838"/>
      <c r="F22" s="593"/>
    </row>
    <row r="23" spans="1:7" x14ac:dyDescent="0.6">
      <c r="A23" s="1" t="s">
        <v>422</v>
      </c>
      <c r="B23" s="44"/>
      <c r="C23" s="811" t="s">
        <v>804</v>
      </c>
      <c r="D23" s="607"/>
      <c r="E23" s="838"/>
      <c r="F23" s="593"/>
    </row>
    <row r="24" spans="1:7" x14ac:dyDescent="0.6">
      <c r="A24" s="1" t="s">
        <v>551</v>
      </c>
      <c r="B24" s="44" t="s">
        <v>1354</v>
      </c>
      <c r="C24" s="811" t="s">
        <v>804</v>
      </c>
      <c r="D24" s="607"/>
      <c r="E24" s="838" t="s">
        <v>769</v>
      </c>
      <c r="F24" s="593"/>
    </row>
    <row r="25" spans="1:7" x14ac:dyDescent="0.6">
      <c r="B25" s="44" t="s">
        <v>1355</v>
      </c>
      <c r="C25" s="811" t="s">
        <v>804</v>
      </c>
      <c r="D25" s="607"/>
      <c r="E25" s="838" t="s">
        <v>769</v>
      </c>
      <c r="F25" s="593"/>
    </row>
    <row r="26" spans="1:7" x14ac:dyDescent="0.6">
      <c r="B26" s="44" t="s">
        <v>1356</v>
      </c>
      <c r="C26" s="811" t="s">
        <v>804</v>
      </c>
      <c r="D26" s="607"/>
      <c r="E26" s="838" t="s">
        <v>769</v>
      </c>
      <c r="F26" s="593"/>
    </row>
    <row r="27" spans="1:7" x14ac:dyDescent="0.6">
      <c r="A27" s="1" t="s">
        <v>552</v>
      </c>
      <c r="B27" s="44" t="s">
        <v>1358</v>
      </c>
      <c r="C27" s="811" t="s">
        <v>804</v>
      </c>
      <c r="D27" s="607"/>
      <c r="E27" s="838" t="s">
        <v>769</v>
      </c>
      <c r="F27" s="593"/>
    </row>
    <row r="28" spans="1:7" x14ac:dyDescent="0.6">
      <c r="A28" s="1" t="s">
        <v>553</v>
      </c>
      <c r="B28" s="44" t="s">
        <v>1354</v>
      </c>
      <c r="C28" s="811" t="s">
        <v>804</v>
      </c>
      <c r="D28" s="607"/>
      <c r="E28" s="686" t="s">
        <v>769</v>
      </c>
      <c r="F28" s="595"/>
      <c r="G28" s="596"/>
    </row>
    <row r="29" spans="1:7" x14ac:dyDescent="0.6">
      <c r="B29" s="44" t="s">
        <v>1355</v>
      </c>
      <c r="C29" s="811" t="s">
        <v>804</v>
      </c>
      <c r="D29" s="607"/>
      <c r="E29" s="686" t="s">
        <v>769</v>
      </c>
      <c r="F29" s="599"/>
      <c r="G29" s="596"/>
    </row>
    <row r="30" spans="1:7" x14ac:dyDescent="0.6">
      <c r="B30" s="44" t="s">
        <v>1356</v>
      </c>
      <c r="C30" s="811" t="s">
        <v>804</v>
      </c>
      <c r="D30" s="607"/>
      <c r="E30" s="686" t="s">
        <v>769</v>
      </c>
      <c r="F30" s="595"/>
      <c r="G30" s="596"/>
    </row>
    <row r="31" spans="1:7" x14ac:dyDescent="0.6">
      <c r="A31" s="1" t="s">
        <v>554</v>
      </c>
      <c r="B31" s="44" t="s">
        <v>1354</v>
      </c>
      <c r="C31" s="811" t="s">
        <v>804</v>
      </c>
      <c r="D31" s="607"/>
      <c r="E31" s="686"/>
      <c r="F31" s="599"/>
      <c r="G31" s="596"/>
    </row>
    <row r="32" spans="1:7" x14ac:dyDescent="0.6">
      <c r="B32" s="44" t="s">
        <v>1355</v>
      </c>
      <c r="C32" s="811" t="s">
        <v>804</v>
      </c>
      <c r="D32" s="607"/>
      <c r="E32" s="686"/>
      <c r="F32" s="595"/>
      <c r="G32" s="596"/>
    </row>
    <row r="33" spans="1:7" x14ac:dyDescent="0.6">
      <c r="B33" s="44" t="s">
        <v>1356</v>
      </c>
      <c r="C33" s="811" t="s">
        <v>804</v>
      </c>
      <c r="D33" s="607"/>
      <c r="E33" s="686"/>
      <c r="F33" s="595"/>
      <c r="G33" s="596"/>
    </row>
    <row r="34" spans="1:7" x14ac:dyDescent="0.6">
      <c r="A34" s="1" t="s">
        <v>555</v>
      </c>
      <c r="B34" s="44" t="s">
        <v>1354</v>
      </c>
      <c r="C34" s="811" t="s">
        <v>804</v>
      </c>
      <c r="D34" s="607"/>
      <c r="E34" s="686" t="s">
        <v>769</v>
      </c>
      <c r="F34" s="599"/>
      <c r="G34" s="596"/>
    </row>
    <row r="35" spans="1:7" x14ac:dyDescent="0.6">
      <c r="B35" s="44" t="s">
        <v>1355</v>
      </c>
      <c r="C35" s="811" t="s">
        <v>804</v>
      </c>
      <c r="D35" s="607"/>
      <c r="E35" s="686" t="s">
        <v>769</v>
      </c>
      <c r="F35" s="595"/>
      <c r="G35" s="596"/>
    </row>
    <row r="36" spans="1:7" x14ac:dyDescent="0.6">
      <c r="B36" s="44" t="s">
        <v>1356</v>
      </c>
      <c r="C36" s="811" t="s">
        <v>804</v>
      </c>
      <c r="D36" s="607"/>
      <c r="E36" s="686" t="s">
        <v>769</v>
      </c>
      <c r="F36" s="599"/>
      <c r="G36" s="596"/>
    </row>
    <row r="37" spans="1:7" x14ac:dyDescent="0.6">
      <c r="A37" s="1" t="s">
        <v>436</v>
      </c>
      <c r="B37" s="44" t="s">
        <v>1354</v>
      </c>
      <c r="C37" s="811" t="s">
        <v>804</v>
      </c>
      <c r="D37" s="607"/>
      <c r="E37" s="686"/>
      <c r="F37" s="595"/>
      <c r="G37" s="596"/>
    </row>
    <row r="38" spans="1:7" x14ac:dyDescent="0.6">
      <c r="B38" s="44" t="s">
        <v>1355</v>
      </c>
      <c r="C38" s="811" t="s">
        <v>804</v>
      </c>
      <c r="D38" s="607"/>
      <c r="E38" s="686"/>
      <c r="F38" s="599"/>
      <c r="G38" s="596"/>
    </row>
    <row r="39" spans="1:7" x14ac:dyDescent="0.6">
      <c r="B39" s="44" t="s">
        <v>1356</v>
      </c>
      <c r="C39" s="811" t="s">
        <v>804</v>
      </c>
      <c r="D39" s="607"/>
      <c r="E39" s="686"/>
      <c r="F39" s="595"/>
      <c r="G39" s="596"/>
    </row>
    <row r="40" spans="1:7" x14ac:dyDescent="0.6">
      <c r="A40" s="1" t="s">
        <v>556</v>
      </c>
      <c r="B40" s="44" t="s">
        <v>1354</v>
      </c>
      <c r="C40" s="811" t="s">
        <v>804</v>
      </c>
      <c r="D40" s="607"/>
      <c r="E40" s="686" t="s">
        <v>769</v>
      </c>
      <c r="F40" s="595"/>
      <c r="G40" s="596"/>
    </row>
    <row r="41" spans="1:7" x14ac:dyDescent="0.6">
      <c r="B41" s="44" t="s">
        <v>1355</v>
      </c>
      <c r="C41" s="811" t="s">
        <v>804</v>
      </c>
      <c r="D41" s="607"/>
      <c r="E41" s="686" t="s">
        <v>769</v>
      </c>
      <c r="F41" s="599"/>
      <c r="G41" s="596"/>
    </row>
    <row r="42" spans="1:7" x14ac:dyDescent="0.6">
      <c r="B42" s="44" t="s">
        <v>1356</v>
      </c>
      <c r="C42" s="811" t="s">
        <v>804</v>
      </c>
      <c r="D42" s="607"/>
      <c r="E42" s="686" t="s">
        <v>769</v>
      </c>
      <c r="F42" s="595"/>
      <c r="G42" s="596"/>
    </row>
    <row r="43" spans="1:7" x14ac:dyDescent="0.6">
      <c r="A43" s="1" t="s">
        <v>551</v>
      </c>
      <c r="B43" s="44" t="s">
        <v>1354</v>
      </c>
      <c r="C43" s="811" t="s">
        <v>804</v>
      </c>
      <c r="D43" s="607"/>
      <c r="E43" s="686" t="s">
        <v>769</v>
      </c>
      <c r="F43" s="595"/>
      <c r="G43" s="596"/>
    </row>
    <row r="44" spans="1:7" x14ac:dyDescent="0.6">
      <c r="B44" s="44" t="s">
        <v>1355</v>
      </c>
      <c r="C44" s="811" t="s">
        <v>804</v>
      </c>
      <c r="D44" s="607"/>
      <c r="E44" s="686" t="s">
        <v>769</v>
      </c>
      <c r="F44" s="599"/>
      <c r="G44" s="596"/>
    </row>
    <row r="45" spans="1:7" x14ac:dyDescent="0.6">
      <c r="B45" s="44" t="s">
        <v>1356</v>
      </c>
      <c r="C45" s="811" t="s">
        <v>804</v>
      </c>
      <c r="D45" s="607"/>
      <c r="E45" s="686" t="s">
        <v>769</v>
      </c>
      <c r="F45" s="595"/>
      <c r="G45" s="596"/>
    </row>
    <row r="46" spans="1:7" x14ac:dyDescent="0.6">
      <c r="A46" s="1" t="s">
        <v>557</v>
      </c>
      <c r="B46" s="44" t="s">
        <v>1354</v>
      </c>
      <c r="C46" s="811" t="s">
        <v>804</v>
      </c>
      <c r="D46" s="607"/>
      <c r="E46" s="686" t="s">
        <v>769</v>
      </c>
      <c r="F46" s="599"/>
      <c r="G46" s="123"/>
    </row>
    <row r="47" spans="1:7" x14ac:dyDescent="0.6">
      <c r="B47" s="44" t="s">
        <v>1355</v>
      </c>
      <c r="C47" s="811" t="s">
        <v>804</v>
      </c>
      <c r="D47" s="607"/>
      <c r="E47" s="686" t="s">
        <v>769</v>
      </c>
      <c r="F47" s="599"/>
      <c r="G47" s="123"/>
    </row>
    <row r="48" spans="1:7" x14ac:dyDescent="0.6">
      <c r="B48" s="44" t="s">
        <v>1356</v>
      </c>
      <c r="C48" s="811" t="s">
        <v>804</v>
      </c>
      <c r="D48" s="607"/>
      <c r="E48" s="686" t="s">
        <v>769</v>
      </c>
      <c r="F48" s="599"/>
      <c r="G48" s="123"/>
    </row>
    <row r="49" spans="1:7" x14ac:dyDescent="0.6">
      <c r="A49" s="1" t="s">
        <v>558</v>
      </c>
      <c r="B49" s="44" t="s">
        <v>1354</v>
      </c>
      <c r="C49" s="811" t="s">
        <v>804</v>
      </c>
      <c r="D49" s="607"/>
      <c r="E49" s="686" t="s">
        <v>769</v>
      </c>
      <c r="F49" s="599"/>
      <c r="G49" s="123"/>
    </row>
    <row r="50" spans="1:7" x14ac:dyDescent="0.6">
      <c r="B50" s="44" t="s">
        <v>1355</v>
      </c>
      <c r="C50" s="811" t="s">
        <v>804</v>
      </c>
      <c r="D50" s="607"/>
      <c r="E50" s="686" t="s">
        <v>769</v>
      </c>
      <c r="F50" s="599"/>
      <c r="G50" s="123"/>
    </row>
    <row r="51" spans="1:7" x14ac:dyDescent="0.6">
      <c r="B51" s="44" t="s">
        <v>1356</v>
      </c>
      <c r="C51" s="811" t="s">
        <v>804</v>
      </c>
      <c r="D51" s="607"/>
      <c r="E51" s="686" t="s">
        <v>769</v>
      </c>
      <c r="F51" s="599"/>
      <c r="G51" s="123"/>
    </row>
    <row r="52" spans="1:7" x14ac:dyDescent="0.6">
      <c r="A52" s="1" t="s">
        <v>559</v>
      </c>
      <c r="B52" s="44" t="s">
        <v>1354</v>
      </c>
      <c r="C52" s="811" t="s">
        <v>804</v>
      </c>
      <c r="D52" s="607"/>
      <c r="E52" s="686" t="s">
        <v>769</v>
      </c>
      <c r="F52" s="599"/>
      <c r="G52" s="123"/>
    </row>
    <row r="53" spans="1:7" x14ac:dyDescent="0.6">
      <c r="B53" s="44" t="s">
        <v>1355</v>
      </c>
      <c r="C53" s="811" t="s">
        <v>804</v>
      </c>
      <c r="D53" s="607"/>
      <c r="E53" s="686" t="s">
        <v>769</v>
      </c>
      <c r="F53" s="595"/>
      <c r="G53" s="123"/>
    </row>
    <row r="54" spans="1:7" x14ac:dyDescent="0.6">
      <c r="B54" s="44" t="s">
        <v>1356</v>
      </c>
      <c r="C54" s="811" t="s">
        <v>804</v>
      </c>
      <c r="D54" s="607"/>
      <c r="E54" s="686" t="s">
        <v>769</v>
      </c>
      <c r="F54" s="595"/>
      <c r="G54" s="123"/>
    </row>
    <row r="55" spans="1:7" x14ac:dyDescent="0.6">
      <c r="A55" s="1" t="s">
        <v>560</v>
      </c>
      <c r="B55" s="44" t="s">
        <v>1354</v>
      </c>
      <c r="C55" s="811" t="s">
        <v>804</v>
      </c>
      <c r="D55" s="607"/>
      <c r="E55" s="686" t="s">
        <v>769</v>
      </c>
      <c r="F55" s="599"/>
      <c r="G55" s="123"/>
    </row>
    <row r="56" spans="1:7" x14ac:dyDescent="0.6">
      <c r="B56" s="44" t="s">
        <v>1355</v>
      </c>
      <c r="C56" s="811" t="s">
        <v>804</v>
      </c>
      <c r="D56" s="607"/>
      <c r="E56" s="686" t="s">
        <v>769</v>
      </c>
      <c r="F56" s="595"/>
      <c r="G56" s="123"/>
    </row>
    <row r="57" spans="1:7" x14ac:dyDescent="0.6">
      <c r="B57" s="44" t="s">
        <v>1356</v>
      </c>
      <c r="C57" s="811" t="s">
        <v>804</v>
      </c>
      <c r="D57" s="607"/>
      <c r="E57" s="686" t="s">
        <v>769</v>
      </c>
      <c r="F57" s="599"/>
      <c r="G57" s="123"/>
    </row>
    <row r="58" spans="1:7" x14ac:dyDescent="0.6">
      <c r="A58" s="1" t="s">
        <v>1359</v>
      </c>
      <c r="B58" s="44" t="s">
        <v>1354</v>
      </c>
      <c r="C58" s="811" t="s">
        <v>804</v>
      </c>
      <c r="D58" s="607"/>
      <c r="E58" s="686" t="s">
        <v>769</v>
      </c>
      <c r="F58" s="599"/>
      <c r="G58" s="123"/>
    </row>
    <row r="59" spans="1:7" x14ac:dyDescent="0.6">
      <c r="B59" s="44" t="s">
        <v>1356</v>
      </c>
      <c r="C59" s="811" t="s">
        <v>804</v>
      </c>
      <c r="D59" s="607"/>
      <c r="E59" s="686" t="s">
        <v>769</v>
      </c>
      <c r="F59" s="599"/>
      <c r="G59" s="123"/>
    </row>
    <row r="60" spans="1:7" x14ac:dyDescent="0.6">
      <c r="A60" s="1" t="s">
        <v>328</v>
      </c>
      <c r="B60" s="44"/>
      <c r="C60" s="810">
        <v>45000000</v>
      </c>
      <c r="D60" s="607"/>
      <c r="E60" s="686"/>
      <c r="F60" s="599"/>
      <c r="G60" s="123"/>
    </row>
    <row r="61" spans="1:7" x14ac:dyDescent="0.6">
      <c r="A61" s="1" t="s">
        <v>208</v>
      </c>
      <c r="B61" s="44"/>
      <c r="C61" s="811" t="s">
        <v>804</v>
      </c>
      <c r="D61" s="607"/>
      <c r="E61" s="686"/>
      <c r="F61" s="595"/>
      <c r="G61" s="123"/>
    </row>
    <row r="62" spans="1:7" x14ac:dyDescent="0.6">
      <c r="A62" s="1" t="s">
        <v>543</v>
      </c>
      <c r="B62" s="44"/>
      <c r="C62" s="810">
        <v>60000000</v>
      </c>
      <c r="D62" s="607"/>
      <c r="E62" s="686" t="s">
        <v>769</v>
      </c>
      <c r="F62" s="599"/>
      <c r="G62" s="123"/>
    </row>
    <row r="63" spans="1:7" x14ac:dyDescent="0.6">
      <c r="A63" s="1" t="s">
        <v>329</v>
      </c>
      <c r="B63" s="44" t="s">
        <v>1354</v>
      </c>
      <c r="C63" s="810">
        <v>4724199</v>
      </c>
      <c r="D63" s="607"/>
      <c r="E63" s="686" t="s">
        <v>769</v>
      </c>
      <c r="F63" s="595"/>
      <c r="G63" s="123"/>
    </row>
    <row r="64" spans="1:7" x14ac:dyDescent="0.6">
      <c r="B64" s="44" t="s">
        <v>1356</v>
      </c>
      <c r="C64" s="810">
        <v>116275801</v>
      </c>
      <c r="D64" s="607"/>
      <c r="E64" s="686" t="s">
        <v>769</v>
      </c>
      <c r="F64" s="599"/>
      <c r="G64" s="123"/>
    </row>
    <row r="65" spans="1:7" x14ac:dyDescent="0.6">
      <c r="A65" s="1" t="s">
        <v>1360</v>
      </c>
      <c r="B65" s="44"/>
      <c r="C65" s="810">
        <v>473836</v>
      </c>
      <c r="D65" s="607"/>
      <c r="E65" s="686" t="s">
        <v>769</v>
      </c>
      <c r="F65" s="595"/>
      <c r="G65" s="123"/>
    </row>
    <row r="66" spans="1:7" x14ac:dyDescent="0.6">
      <c r="A66" s="1" t="s">
        <v>544</v>
      </c>
      <c r="B66" s="44" t="s">
        <v>1354</v>
      </c>
      <c r="C66" s="810">
        <v>13309</v>
      </c>
      <c r="D66" s="607"/>
      <c r="E66" s="686" t="s">
        <v>769</v>
      </c>
      <c r="F66" s="599"/>
      <c r="G66" s="123"/>
    </row>
    <row r="67" spans="1:7" x14ac:dyDescent="0.6">
      <c r="B67" s="44" t="s">
        <v>1355</v>
      </c>
      <c r="C67" s="810">
        <v>385335</v>
      </c>
      <c r="D67" s="607"/>
      <c r="E67" s="686" t="s">
        <v>769</v>
      </c>
      <c r="F67" s="595"/>
      <c r="G67" s="123"/>
    </row>
    <row r="68" spans="1:7" x14ac:dyDescent="0.6">
      <c r="B68" s="44" t="s">
        <v>1356</v>
      </c>
      <c r="C68" s="810">
        <v>1901356</v>
      </c>
      <c r="D68" s="607"/>
      <c r="E68" s="686" t="s">
        <v>769</v>
      </c>
      <c r="F68" s="599"/>
      <c r="G68" s="123"/>
    </row>
    <row r="69" spans="1:7" x14ac:dyDescent="0.6">
      <c r="A69" s="1" t="s">
        <v>1361</v>
      </c>
      <c r="B69" s="44" t="s">
        <v>1354</v>
      </c>
      <c r="C69" s="811" t="s">
        <v>804</v>
      </c>
      <c r="D69" s="607"/>
      <c r="E69" s="686"/>
      <c r="F69" s="595"/>
      <c r="G69" s="123"/>
    </row>
    <row r="70" spans="1:7" x14ac:dyDescent="0.6">
      <c r="B70" s="44" t="s">
        <v>1355</v>
      </c>
      <c r="C70" s="811" t="s">
        <v>804</v>
      </c>
      <c r="D70" s="607"/>
      <c r="E70" s="686"/>
      <c r="F70" s="599"/>
      <c r="G70" s="123"/>
    </row>
    <row r="71" spans="1:7" x14ac:dyDescent="0.6">
      <c r="B71" s="44" t="s">
        <v>1356</v>
      </c>
      <c r="C71" s="811" t="s">
        <v>804</v>
      </c>
      <c r="D71" s="607"/>
      <c r="E71" s="686"/>
      <c r="F71" s="595"/>
      <c r="G71" s="123"/>
    </row>
    <row r="72" spans="1:7" x14ac:dyDescent="0.6">
      <c r="A72" s="1" t="s">
        <v>223</v>
      </c>
      <c r="B72" s="44" t="s">
        <v>1354</v>
      </c>
      <c r="C72" s="810">
        <v>21411</v>
      </c>
      <c r="D72" s="607"/>
      <c r="E72" s="686"/>
      <c r="F72" s="599"/>
      <c r="G72" s="123"/>
    </row>
    <row r="73" spans="1:7" x14ac:dyDescent="0.6">
      <c r="B73" s="44" t="s">
        <v>1355</v>
      </c>
      <c r="C73" s="810">
        <v>619886</v>
      </c>
      <c r="D73" s="607"/>
      <c r="E73" s="686"/>
      <c r="F73" s="595"/>
      <c r="G73" s="123"/>
    </row>
    <row r="74" spans="1:7" x14ac:dyDescent="0.6">
      <c r="B74" s="44" t="s">
        <v>1356</v>
      </c>
      <c r="C74" s="810">
        <v>3058703</v>
      </c>
      <c r="D74" s="607"/>
      <c r="E74" s="686"/>
      <c r="F74" s="599"/>
      <c r="G74" s="123"/>
    </row>
    <row r="75" spans="1:7" x14ac:dyDescent="0.6">
      <c r="A75" s="1" t="s">
        <v>545</v>
      </c>
      <c r="B75" s="44" t="s">
        <v>1354</v>
      </c>
      <c r="C75" s="810">
        <v>23725</v>
      </c>
      <c r="D75" s="607"/>
      <c r="E75" s="686"/>
      <c r="F75" s="599"/>
      <c r="G75" s="123"/>
    </row>
    <row r="76" spans="1:7" x14ac:dyDescent="0.6">
      <c r="B76" s="44" t="s">
        <v>1355</v>
      </c>
      <c r="C76" s="810">
        <v>686901</v>
      </c>
      <c r="D76" s="607"/>
      <c r="E76" s="686"/>
      <c r="F76" s="595"/>
      <c r="G76" s="123"/>
    </row>
    <row r="77" spans="1:7" x14ac:dyDescent="0.6">
      <c r="B77" s="44" t="s">
        <v>1356</v>
      </c>
      <c r="C77" s="810">
        <v>3389374</v>
      </c>
      <c r="D77" s="607"/>
      <c r="E77" s="686"/>
      <c r="F77" s="599"/>
      <c r="G77" s="123"/>
    </row>
    <row r="78" spans="1:7" x14ac:dyDescent="0.6">
      <c r="A78" s="1" t="s">
        <v>546</v>
      </c>
      <c r="B78" s="44" t="s">
        <v>1354</v>
      </c>
      <c r="C78" s="811" t="s">
        <v>804</v>
      </c>
      <c r="D78" s="607"/>
      <c r="E78" s="686" t="s">
        <v>769</v>
      </c>
      <c r="F78" s="595"/>
      <c r="G78" s="123"/>
    </row>
    <row r="79" spans="1:7" x14ac:dyDescent="0.6">
      <c r="B79" s="44" t="s">
        <v>1355</v>
      </c>
      <c r="C79" s="811" t="s">
        <v>804</v>
      </c>
      <c r="D79" s="607"/>
      <c r="E79" s="686" t="s">
        <v>769</v>
      </c>
      <c r="F79" s="599"/>
      <c r="G79" s="123"/>
    </row>
    <row r="80" spans="1:7" x14ac:dyDescent="0.6">
      <c r="B80" s="44" t="s">
        <v>1356</v>
      </c>
      <c r="C80" s="811" t="s">
        <v>804</v>
      </c>
      <c r="D80" s="607"/>
      <c r="E80" s="686" t="s">
        <v>769</v>
      </c>
      <c r="F80" s="595"/>
      <c r="G80" s="123"/>
    </row>
    <row r="81" spans="1:7" x14ac:dyDescent="0.6">
      <c r="A81" s="1" t="s">
        <v>214</v>
      </c>
      <c r="B81" s="44"/>
      <c r="C81" s="810">
        <v>7779806</v>
      </c>
      <c r="D81" s="607"/>
      <c r="E81" s="686" t="s">
        <v>769</v>
      </c>
      <c r="F81" s="599"/>
      <c r="G81" s="123"/>
    </row>
    <row r="82" spans="1:7" x14ac:dyDescent="0.6">
      <c r="A82" s="1" t="s">
        <v>547</v>
      </c>
      <c r="B82" s="44"/>
      <c r="C82" s="811" t="s">
        <v>804</v>
      </c>
      <c r="D82" s="607"/>
      <c r="E82" s="686"/>
      <c r="F82" s="595"/>
      <c r="G82" s="123"/>
    </row>
    <row r="83" spans="1:7" x14ac:dyDescent="0.6">
      <c r="A83" s="1" t="s">
        <v>507</v>
      </c>
      <c r="B83" s="44" t="s">
        <v>1354</v>
      </c>
      <c r="C83" s="811" t="s">
        <v>804</v>
      </c>
      <c r="D83" s="607"/>
      <c r="E83" s="686"/>
      <c r="F83" s="599"/>
      <c r="G83" s="123"/>
    </row>
    <row r="84" spans="1:7" x14ac:dyDescent="0.6">
      <c r="B84" s="44" t="s">
        <v>1355</v>
      </c>
      <c r="C84" s="811" t="s">
        <v>804</v>
      </c>
      <c r="D84" s="607"/>
      <c r="E84" s="838"/>
      <c r="F84" s="1565"/>
    </row>
    <row r="85" spans="1:7" x14ac:dyDescent="0.6">
      <c r="B85" s="44" t="s">
        <v>1356</v>
      </c>
      <c r="C85" s="811" t="s">
        <v>804</v>
      </c>
      <c r="D85" s="607"/>
      <c r="E85" s="838"/>
      <c r="F85" s="593"/>
    </row>
    <row r="86" spans="1:7" x14ac:dyDescent="0.6">
      <c r="A86" s="1" t="s">
        <v>561</v>
      </c>
      <c r="B86" s="44" t="s">
        <v>1354</v>
      </c>
      <c r="C86" s="810">
        <v>346343</v>
      </c>
      <c r="D86" s="607"/>
      <c r="E86" s="838"/>
      <c r="F86" s="593"/>
    </row>
    <row r="87" spans="1:7" x14ac:dyDescent="0.6">
      <c r="B87" s="44" t="s">
        <v>1355</v>
      </c>
      <c r="C87" s="810">
        <v>10027339</v>
      </c>
      <c r="D87" s="607"/>
      <c r="E87" s="838"/>
      <c r="F87" s="593"/>
    </row>
    <row r="88" spans="1:7" x14ac:dyDescent="0.6">
      <c r="B88" s="44" t="s">
        <v>1356</v>
      </c>
      <c r="C88" s="810">
        <v>49477895</v>
      </c>
      <c r="D88" s="607"/>
      <c r="E88" s="838"/>
      <c r="F88" s="593"/>
    </row>
    <row r="89" spans="1:7" x14ac:dyDescent="0.6">
      <c r="B89" s="44" t="s">
        <v>1357</v>
      </c>
      <c r="C89" s="810">
        <v>44653630</v>
      </c>
      <c r="D89" s="607"/>
      <c r="E89" s="838"/>
      <c r="F89" s="593"/>
    </row>
    <row r="90" spans="1:7" x14ac:dyDescent="0.6">
      <c r="B90" s="44" t="s">
        <v>1358</v>
      </c>
      <c r="C90" s="1398">
        <v>5494794</v>
      </c>
      <c r="D90" s="607"/>
      <c r="E90" s="838"/>
      <c r="F90" s="593"/>
    </row>
    <row r="91" spans="1:7" x14ac:dyDescent="0.6">
      <c r="A91" s="1" t="s">
        <v>1362</v>
      </c>
      <c r="B91" s="44" t="s">
        <v>1354</v>
      </c>
      <c r="C91" s="811" t="s">
        <v>804</v>
      </c>
      <c r="D91" s="607"/>
      <c r="E91" s="838"/>
      <c r="F91" s="593"/>
    </row>
    <row r="92" spans="1:7" x14ac:dyDescent="0.6">
      <c r="B92" s="44" t="s">
        <v>1355</v>
      </c>
      <c r="C92" s="811" t="s">
        <v>804</v>
      </c>
      <c r="D92" s="607"/>
      <c r="E92" s="838"/>
      <c r="F92" s="593"/>
    </row>
    <row r="93" spans="1:7" x14ac:dyDescent="0.6">
      <c r="B93" s="44" t="s">
        <v>1356</v>
      </c>
      <c r="C93" s="811" t="s">
        <v>804</v>
      </c>
      <c r="D93" s="607"/>
      <c r="E93" s="838"/>
      <c r="F93" s="593"/>
    </row>
    <row r="94" spans="1:7" x14ac:dyDescent="0.6">
      <c r="A94" s="1" t="s">
        <v>223</v>
      </c>
      <c r="B94" s="44" t="s">
        <v>1354</v>
      </c>
      <c r="C94" s="810">
        <v>959146</v>
      </c>
      <c r="D94" s="607"/>
      <c r="E94" s="838"/>
      <c r="F94" s="593"/>
    </row>
    <row r="95" spans="1:7" x14ac:dyDescent="0.6">
      <c r="B95" s="44" t="s">
        <v>1355</v>
      </c>
      <c r="C95" s="810">
        <v>27769267</v>
      </c>
      <c r="D95" s="607"/>
      <c r="E95" s="838"/>
      <c r="F95" s="593"/>
    </row>
    <row r="96" spans="1:7" x14ac:dyDescent="0.6">
      <c r="B96" s="44" t="s">
        <v>1356</v>
      </c>
      <c r="C96" s="810">
        <v>137021887</v>
      </c>
      <c r="D96" s="607"/>
      <c r="E96" s="838"/>
      <c r="F96" s="593"/>
    </row>
    <row r="97" spans="1:7" x14ac:dyDescent="0.6">
      <c r="B97" s="44" t="s">
        <v>1357</v>
      </c>
      <c r="C97" s="810">
        <v>123661780</v>
      </c>
      <c r="D97" s="607"/>
      <c r="E97" s="838"/>
      <c r="F97" s="593"/>
    </row>
    <row r="98" spans="1:7" x14ac:dyDescent="0.6">
      <c r="B98" s="44" t="s">
        <v>1358</v>
      </c>
      <c r="C98" s="810">
        <v>15217038</v>
      </c>
      <c r="D98" s="607"/>
      <c r="E98" s="1063"/>
      <c r="F98" s="1062"/>
      <c r="G98" s="123"/>
    </row>
    <row r="99" spans="1:7" x14ac:dyDescent="0.6">
      <c r="A99" s="1" t="s">
        <v>562</v>
      </c>
      <c r="B99" s="44" t="s">
        <v>1354</v>
      </c>
      <c r="C99" s="811" t="s">
        <v>804</v>
      </c>
      <c r="D99" s="607"/>
      <c r="E99" s="686"/>
      <c r="F99" s="595"/>
      <c r="G99" s="123"/>
    </row>
    <row r="100" spans="1:7" x14ac:dyDescent="0.6">
      <c r="B100" s="44" t="s">
        <v>1356</v>
      </c>
      <c r="C100" s="811" t="s">
        <v>804</v>
      </c>
      <c r="D100" s="607"/>
      <c r="E100" s="1063"/>
      <c r="F100" s="600"/>
      <c r="G100" s="145"/>
    </row>
    <row r="101" spans="1:7" x14ac:dyDescent="0.6">
      <c r="A101" s="1" t="s">
        <v>563</v>
      </c>
      <c r="B101" s="44" t="s">
        <v>1354</v>
      </c>
      <c r="C101" s="811" t="s">
        <v>804</v>
      </c>
      <c r="D101" s="607"/>
      <c r="E101" s="1406"/>
      <c r="F101" s="1566"/>
      <c r="G101" s="123"/>
    </row>
    <row r="102" spans="1:7" x14ac:dyDescent="0.6">
      <c r="B102" s="44" t="s">
        <v>1355</v>
      </c>
      <c r="C102" s="811" t="s">
        <v>804</v>
      </c>
      <c r="D102" s="607"/>
      <c r="E102" s="1406"/>
      <c r="F102" s="601"/>
      <c r="G102" s="123"/>
    </row>
    <row r="103" spans="1:7" x14ac:dyDescent="0.6">
      <c r="B103" s="44" t="s">
        <v>1356</v>
      </c>
      <c r="C103" s="811" t="s">
        <v>804</v>
      </c>
      <c r="D103" s="607"/>
      <c r="E103" s="1406"/>
      <c r="F103" s="601"/>
      <c r="G103" s="123"/>
    </row>
    <row r="104" spans="1:7" ht="15.9" thickBot="1" x14ac:dyDescent="0.65">
      <c r="A104" s="16" t="s">
        <v>245</v>
      </c>
      <c r="B104" s="47" t="s">
        <v>1356</v>
      </c>
      <c r="C104" s="108">
        <v>613418653</v>
      </c>
      <c r="D104" s="624"/>
      <c r="E104" s="1613"/>
      <c r="F104" s="603"/>
      <c r="G104" s="124"/>
    </row>
    <row r="105" spans="1:7" s="748" customFormat="1" ht="15.9" thickTop="1" x14ac:dyDescent="0.6">
      <c r="A105" s="1060" t="s">
        <v>0</v>
      </c>
      <c r="B105" s="822"/>
      <c r="C105" s="789"/>
      <c r="D105" s="724"/>
      <c r="E105" s="1406"/>
      <c r="F105" s="601"/>
      <c r="G105" s="123"/>
    </row>
    <row r="106" spans="1:7" s="123" customFormat="1" x14ac:dyDescent="0.6">
      <c r="A106" s="599" t="s">
        <v>813</v>
      </c>
      <c r="B106" s="689" t="s">
        <v>117</v>
      </c>
      <c r="C106" s="686" t="s">
        <v>804</v>
      </c>
      <c r="D106" s="130"/>
      <c r="E106" s="1406" t="s">
        <v>769</v>
      </c>
      <c r="F106" s="1594" t="s">
        <v>1739</v>
      </c>
      <c r="G106" s="69"/>
    </row>
    <row r="107" spans="1:7" s="123" customFormat="1" x14ac:dyDescent="0.6">
      <c r="A107" s="599"/>
      <c r="B107" s="689" t="s">
        <v>809</v>
      </c>
      <c r="C107" s="686" t="s">
        <v>804</v>
      </c>
      <c r="D107" s="130"/>
      <c r="E107" s="1406" t="s">
        <v>769</v>
      </c>
      <c r="F107" s="593" t="s">
        <v>42</v>
      </c>
      <c r="G107" s="13">
        <f>COUNTIF(C105:C590, "*")+COUNT(C105:C590)-28</f>
        <v>450</v>
      </c>
    </row>
    <row r="108" spans="1:7" s="123" customFormat="1" x14ac:dyDescent="0.6">
      <c r="A108" s="599"/>
      <c r="B108" s="689" t="s">
        <v>810</v>
      </c>
      <c r="C108" s="686" t="s">
        <v>804</v>
      </c>
      <c r="D108" s="130"/>
      <c r="E108" s="1406" t="s">
        <v>769</v>
      </c>
      <c r="F108" s="593" t="s">
        <v>802</v>
      </c>
      <c r="G108" s="13">
        <f>COUNTIF(C105:C590,"ND")</f>
        <v>283</v>
      </c>
    </row>
    <row r="109" spans="1:7" s="123" customFormat="1" x14ac:dyDescent="0.6">
      <c r="A109" s="599"/>
      <c r="B109" s="689" t="s">
        <v>811</v>
      </c>
      <c r="C109" s="686" t="s">
        <v>804</v>
      </c>
      <c r="D109" s="130"/>
      <c r="E109" s="1572" t="s">
        <v>769</v>
      </c>
      <c r="F109" s="593" t="s">
        <v>1732</v>
      </c>
      <c r="G109" s="13">
        <f>COUNTIF(E105:E590,"x")</f>
        <v>105</v>
      </c>
    </row>
    <row r="110" spans="1:7" s="123" customFormat="1" x14ac:dyDescent="0.6">
      <c r="A110" s="599"/>
      <c r="B110" s="689" t="s">
        <v>120</v>
      </c>
      <c r="C110" s="686" t="s">
        <v>804</v>
      </c>
      <c r="D110" s="130"/>
      <c r="E110" s="1065" t="s">
        <v>769</v>
      </c>
      <c r="F110" s="593" t="s">
        <v>239</v>
      </c>
      <c r="G110" s="13"/>
    </row>
    <row r="111" spans="1:7" s="123" customFormat="1" x14ac:dyDescent="0.6">
      <c r="A111" s="599"/>
      <c r="B111" s="689" t="s">
        <v>814</v>
      </c>
      <c r="C111" s="686" t="s">
        <v>804</v>
      </c>
      <c r="D111" s="130"/>
      <c r="E111" s="1065" t="s">
        <v>769</v>
      </c>
      <c r="F111" s="694"/>
    </row>
    <row r="112" spans="1:7" s="123" customFormat="1" x14ac:dyDescent="0.6">
      <c r="A112" s="599" t="s">
        <v>1363</v>
      </c>
      <c r="B112" s="689" t="s">
        <v>810</v>
      </c>
      <c r="C112" s="686" t="s">
        <v>804</v>
      </c>
      <c r="D112" s="130"/>
      <c r="E112" s="1065"/>
      <c r="F112" s="694"/>
    </row>
    <row r="113" spans="1:7" s="123" customFormat="1" x14ac:dyDescent="0.6">
      <c r="A113" s="599"/>
      <c r="B113" s="689" t="s">
        <v>811</v>
      </c>
      <c r="C113" s="686" t="s">
        <v>804</v>
      </c>
      <c r="D113" s="130"/>
      <c r="E113" s="1065"/>
      <c r="F113" s="694"/>
    </row>
    <row r="114" spans="1:7" s="123" customFormat="1" x14ac:dyDescent="0.6">
      <c r="A114" s="599" t="s">
        <v>704</v>
      </c>
      <c r="B114" s="689" t="s">
        <v>117</v>
      </c>
      <c r="C114" s="686" t="s">
        <v>804</v>
      </c>
      <c r="D114" s="130"/>
      <c r="E114" s="1065" t="s">
        <v>769</v>
      </c>
      <c r="F114" s="694"/>
    </row>
    <row r="115" spans="1:7" s="123" customFormat="1" x14ac:dyDescent="0.6">
      <c r="A115" s="599"/>
      <c r="B115" s="689" t="s">
        <v>809</v>
      </c>
      <c r="C115" s="686" t="s">
        <v>804</v>
      </c>
      <c r="D115" s="130"/>
      <c r="E115" s="1065" t="s">
        <v>769</v>
      </c>
      <c r="F115" s="694"/>
    </row>
    <row r="116" spans="1:7" s="123" customFormat="1" x14ac:dyDescent="0.6">
      <c r="A116" s="599"/>
      <c r="B116" s="689" t="s">
        <v>810</v>
      </c>
      <c r="C116" s="686" t="s">
        <v>804</v>
      </c>
      <c r="D116" s="130"/>
      <c r="E116" s="1090" t="s">
        <v>769</v>
      </c>
      <c r="F116" s="1568"/>
    </row>
    <row r="117" spans="1:7" s="123" customFormat="1" x14ac:dyDescent="0.6">
      <c r="A117" s="599"/>
      <c r="B117" s="689" t="s">
        <v>811</v>
      </c>
      <c r="C117" s="686" t="s">
        <v>804</v>
      </c>
      <c r="D117" s="130"/>
      <c r="E117" s="1090" t="s">
        <v>769</v>
      </c>
      <c r="F117" s="605"/>
    </row>
    <row r="118" spans="1:7" s="123" customFormat="1" ht="15.9" thickBot="1" x14ac:dyDescent="0.65">
      <c r="A118" s="124"/>
      <c r="B118" s="690" t="s">
        <v>120</v>
      </c>
      <c r="C118" s="598" t="s">
        <v>804</v>
      </c>
      <c r="D118" s="131"/>
      <c r="E118" s="1090" t="s">
        <v>769</v>
      </c>
      <c r="F118" s="605"/>
    </row>
    <row r="119" spans="1:7" s="748" customFormat="1" ht="15.9" thickTop="1" x14ac:dyDescent="0.6">
      <c r="A119" s="1060" t="s">
        <v>1</v>
      </c>
      <c r="B119" s="822"/>
      <c r="C119" s="744">
        <f>SUM(C120:C147)</f>
        <v>878253790</v>
      </c>
      <c r="D119" s="745"/>
      <c r="E119" s="686"/>
      <c r="F119" s="595"/>
      <c r="G119" s="123"/>
    </row>
    <row r="120" spans="1:7" s="123" customFormat="1" x14ac:dyDescent="0.6">
      <c r="A120" s="599" t="s">
        <v>815</v>
      </c>
      <c r="B120" s="689" t="s">
        <v>117</v>
      </c>
      <c r="C120" s="1399" t="s">
        <v>804</v>
      </c>
      <c r="D120" s="132"/>
      <c r="E120" s="686" t="s">
        <v>769</v>
      </c>
      <c r="F120" s="599"/>
    </row>
    <row r="121" spans="1:7" s="123" customFormat="1" x14ac:dyDescent="0.6">
      <c r="A121" s="599"/>
      <c r="B121" s="689" t="s">
        <v>809</v>
      </c>
      <c r="C121" s="125">
        <v>459559228</v>
      </c>
      <c r="D121" s="132"/>
      <c r="E121" s="686" t="s">
        <v>769</v>
      </c>
      <c r="F121" s="599"/>
    </row>
    <row r="122" spans="1:7" s="123" customFormat="1" x14ac:dyDescent="0.6">
      <c r="A122" s="599"/>
      <c r="B122" s="689" t="s">
        <v>810</v>
      </c>
      <c r="C122" s="125">
        <v>418694562</v>
      </c>
      <c r="D122" s="132"/>
      <c r="E122" s="686" t="s">
        <v>769</v>
      </c>
      <c r="F122" s="599"/>
    </row>
    <row r="123" spans="1:7" s="123" customFormat="1" x14ac:dyDescent="0.6">
      <c r="A123" s="599" t="s">
        <v>564</v>
      </c>
      <c r="B123" s="689" t="s">
        <v>117</v>
      </c>
      <c r="C123" s="1399" t="s">
        <v>804</v>
      </c>
      <c r="D123" s="132"/>
      <c r="E123" s="686"/>
      <c r="F123" s="599"/>
    </row>
    <row r="124" spans="1:7" s="123" customFormat="1" x14ac:dyDescent="0.6">
      <c r="A124" s="599"/>
      <c r="B124" s="689" t="s">
        <v>809</v>
      </c>
      <c r="C124" s="1399" t="s">
        <v>804</v>
      </c>
      <c r="D124" s="132"/>
      <c r="E124" s="686"/>
      <c r="F124" s="599"/>
    </row>
    <row r="125" spans="1:7" s="123" customFormat="1" x14ac:dyDescent="0.6">
      <c r="A125" s="599"/>
      <c r="B125" s="689" t="s">
        <v>810</v>
      </c>
      <c r="C125" s="1399" t="s">
        <v>804</v>
      </c>
      <c r="D125" s="132"/>
      <c r="E125" s="686"/>
      <c r="F125" s="599"/>
    </row>
    <row r="126" spans="1:7" s="123" customFormat="1" x14ac:dyDescent="0.6">
      <c r="A126" s="599"/>
      <c r="B126" s="689" t="s">
        <v>811</v>
      </c>
      <c r="C126" s="1399" t="s">
        <v>804</v>
      </c>
      <c r="D126" s="132"/>
      <c r="E126" s="686"/>
      <c r="F126" s="599"/>
    </row>
    <row r="127" spans="1:7" s="123" customFormat="1" x14ac:dyDescent="0.6">
      <c r="A127" s="599"/>
      <c r="B127" s="689" t="s">
        <v>120</v>
      </c>
      <c r="C127" s="1399" t="s">
        <v>804</v>
      </c>
      <c r="D127" s="132"/>
      <c r="E127" s="686"/>
      <c r="F127" s="599"/>
    </row>
    <row r="128" spans="1:7" s="123" customFormat="1" x14ac:dyDescent="0.6">
      <c r="A128" s="599" t="s">
        <v>565</v>
      </c>
      <c r="B128" s="689" t="s">
        <v>117</v>
      </c>
      <c r="C128" s="1399" t="s">
        <v>804</v>
      </c>
      <c r="D128" s="132"/>
      <c r="E128" s="686"/>
      <c r="F128" s="599"/>
    </row>
    <row r="129" spans="1:7" s="123" customFormat="1" x14ac:dyDescent="0.6">
      <c r="A129" s="599"/>
      <c r="B129" s="689" t="s">
        <v>809</v>
      </c>
      <c r="C129" s="1399" t="s">
        <v>804</v>
      </c>
      <c r="D129" s="132"/>
      <c r="E129" s="838"/>
      <c r="F129" s="1565"/>
    </row>
    <row r="130" spans="1:7" s="123" customFormat="1" x14ac:dyDescent="0.6">
      <c r="A130" s="599"/>
      <c r="B130" s="689" t="s">
        <v>810</v>
      </c>
      <c r="C130" s="1399" t="s">
        <v>804</v>
      </c>
      <c r="D130" s="132"/>
      <c r="E130" s="838"/>
      <c r="F130" s="593"/>
    </row>
    <row r="131" spans="1:7" s="123" customFormat="1" x14ac:dyDescent="0.6">
      <c r="A131" s="599"/>
      <c r="B131" s="689" t="s">
        <v>811</v>
      </c>
      <c r="C131" s="1399" t="s">
        <v>804</v>
      </c>
      <c r="D131" s="132"/>
      <c r="E131" s="774"/>
      <c r="F131" s="1569"/>
    </row>
    <row r="132" spans="1:7" s="123" customFormat="1" x14ac:dyDescent="0.6">
      <c r="A132" s="599"/>
      <c r="B132" s="689" t="s">
        <v>120</v>
      </c>
      <c r="C132" s="1399" t="s">
        <v>804</v>
      </c>
      <c r="D132" s="132"/>
      <c r="E132" s="774"/>
      <c r="F132" s="608"/>
    </row>
    <row r="133" spans="1:7" s="123" customFormat="1" x14ac:dyDescent="0.6">
      <c r="A133" s="599" t="s">
        <v>566</v>
      </c>
      <c r="B133" s="689" t="s">
        <v>117</v>
      </c>
      <c r="C133" s="1399" t="s">
        <v>804</v>
      </c>
      <c r="D133" s="132"/>
      <c r="E133" s="774"/>
      <c r="F133" s="608"/>
    </row>
    <row r="134" spans="1:7" s="123" customFormat="1" x14ac:dyDescent="0.6">
      <c r="A134" s="599"/>
      <c r="B134" s="689" t="s">
        <v>809</v>
      </c>
      <c r="C134" s="1399" t="s">
        <v>804</v>
      </c>
      <c r="D134" s="132"/>
      <c r="E134" s="774"/>
      <c r="F134" s="608"/>
      <c r="G134" s="145"/>
    </row>
    <row r="135" spans="1:7" s="123" customFormat="1" x14ac:dyDescent="0.6">
      <c r="A135" s="599"/>
      <c r="B135" s="689" t="s">
        <v>810</v>
      </c>
      <c r="C135" s="1399" t="s">
        <v>804</v>
      </c>
      <c r="D135" s="132"/>
      <c r="E135" s="614"/>
      <c r="F135" s="1570"/>
    </row>
    <row r="136" spans="1:7" s="123" customFormat="1" x14ac:dyDescent="0.6">
      <c r="A136" s="599"/>
      <c r="B136" s="689" t="s">
        <v>811</v>
      </c>
      <c r="C136" s="1399" t="s">
        <v>804</v>
      </c>
      <c r="D136" s="132"/>
      <c r="E136" s="614"/>
      <c r="F136" s="611"/>
      <c r="G136" s="145"/>
    </row>
    <row r="137" spans="1:7" s="123" customFormat="1" x14ac:dyDescent="0.6">
      <c r="A137" s="599"/>
      <c r="B137" s="689" t="s">
        <v>120</v>
      </c>
      <c r="C137" s="1399" t="s">
        <v>804</v>
      </c>
      <c r="D137" s="132"/>
      <c r="E137" s="1326"/>
      <c r="F137" s="1571"/>
    </row>
    <row r="138" spans="1:7" s="123" customFormat="1" x14ac:dyDescent="0.6">
      <c r="A138" s="599" t="s">
        <v>1364</v>
      </c>
      <c r="B138" s="689" t="s">
        <v>117</v>
      </c>
      <c r="C138" s="1399" t="s">
        <v>804</v>
      </c>
      <c r="D138" s="132"/>
      <c r="E138" s="1326"/>
      <c r="F138" s="615"/>
    </row>
    <row r="139" spans="1:7" s="123" customFormat="1" x14ac:dyDescent="0.6">
      <c r="A139" s="599"/>
      <c r="B139" s="689" t="s">
        <v>809</v>
      </c>
      <c r="C139" s="1399" t="s">
        <v>804</v>
      </c>
      <c r="D139" s="132"/>
      <c r="E139" s="1326"/>
      <c r="F139" s="615"/>
    </row>
    <row r="140" spans="1:7" s="123" customFormat="1" x14ac:dyDescent="0.6">
      <c r="A140" s="599"/>
      <c r="B140" s="689" t="s">
        <v>810</v>
      </c>
      <c r="C140" s="1399" t="s">
        <v>804</v>
      </c>
      <c r="D140" s="132"/>
      <c r="E140" s="686"/>
      <c r="F140" s="595"/>
    </row>
    <row r="141" spans="1:7" s="123" customFormat="1" x14ac:dyDescent="0.6">
      <c r="A141" s="599"/>
      <c r="B141" s="689" t="s">
        <v>811</v>
      </c>
      <c r="C141" s="1399" t="s">
        <v>804</v>
      </c>
      <c r="D141" s="132"/>
      <c r="E141" s="686"/>
      <c r="F141" s="599"/>
    </row>
    <row r="142" spans="1:7" s="123" customFormat="1" x14ac:dyDescent="0.6">
      <c r="A142" s="599"/>
      <c r="B142" s="689" t="s">
        <v>120</v>
      </c>
      <c r="C142" s="1399" t="s">
        <v>804</v>
      </c>
      <c r="D142" s="132"/>
      <c r="E142" s="686"/>
      <c r="F142" s="599"/>
    </row>
    <row r="143" spans="1:7" s="123" customFormat="1" x14ac:dyDescent="0.6">
      <c r="A143" s="599" t="s">
        <v>1365</v>
      </c>
      <c r="B143" s="689" t="s">
        <v>117</v>
      </c>
      <c r="C143" s="1399" t="s">
        <v>804</v>
      </c>
      <c r="D143" s="132"/>
      <c r="E143" s="60"/>
      <c r="F143" s="85"/>
      <c r="G143" s="1"/>
    </row>
    <row r="144" spans="1:7" s="123" customFormat="1" x14ac:dyDescent="0.6">
      <c r="A144" s="599"/>
      <c r="B144" s="689" t="s">
        <v>809</v>
      </c>
      <c r="C144" s="1399" t="s">
        <v>804</v>
      </c>
      <c r="D144" s="132"/>
      <c r="E144" s="114"/>
      <c r="F144" s="70"/>
      <c r="G144" s="1"/>
    </row>
    <row r="145" spans="1:7" s="123" customFormat="1" x14ac:dyDescent="0.6">
      <c r="A145" s="599"/>
      <c r="B145" s="689" t="s">
        <v>810</v>
      </c>
      <c r="C145" s="1399" t="s">
        <v>804</v>
      </c>
      <c r="D145" s="132"/>
      <c r="E145" s="114"/>
      <c r="F145" s="70"/>
      <c r="G145" s="1"/>
    </row>
    <row r="146" spans="1:7" s="123" customFormat="1" x14ac:dyDescent="0.6">
      <c r="A146" s="599"/>
      <c r="B146" s="689" t="s">
        <v>811</v>
      </c>
      <c r="C146" s="1399" t="s">
        <v>804</v>
      </c>
      <c r="D146" s="132"/>
      <c r="E146" s="114"/>
      <c r="F146" s="70"/>
      <c r="G146" s="1"/>
    </row>
    <row r="147" spans="1:7" s="123" customFormat="1" ht="15.9" thickBot="1" x14ac:dyDescent="0.65">
      <c r="A147" s="124"/>
      <c r="B147" s="690" t="s">
        <v>120</v>
      </c>
      <c r="C147" s="1399" t="s">
        <v>804</v>
      </c>
      <c r="D147" s="133"/>
      <c r="E147" s="60"/>
      <c r="F147" s="1"/>
      <c r="G147" s="1"/>
    </row>
    <row r="148" spans="1:7" s="748" customFormat="1" ht="15.9" thickTop="1" x14ac:dyDescent="0.6">
      <c r="A148" s="1060" t="s">
        <v>2</v>
      </c>
      <c r="B148" s="822"/>
      <c r="C148" s="746"/>
      <c r="D148" s="747"/>
      <c r="E148" s="60"/>
      <c r="F148" s="1"/>
      <c r="G148" s="1"/>
    </row>
    <row r="149" spans="1:7" s="123" customFormat="1" x14ac:dyDescent="0.6">
      <c r="A149" s="599" t="s">
        <v>1366</v>
      </c>
      <c r="B149" s="689" t="s">
        <v>117</v>
      </c>
      <c r="C149" s="770" t="s">
        <v>804</v>
      </c>
      <c r="D149" s="134"/>
      <c r="E149" s="60" t="s">
        <v>769</v>
      </c>
      <c r="F149" s="1"/>
      <c r="G149" s="1"/>
    </row>
    <row r="150" spans="1:7" s="123" customFormat="1" x14ac:dyDescent="0.6">
      <c r="A150" s="599"/>
      <c r="B150" s="689" t="s">
        <v>809</v>
      </c>
      <c r="C150" s="770" t="s">
        <v>804</v>
      </c>
      <c r="D150" s="134"/>
      <c r="E150" s="60" t="s">
        <v>769</v>
      </c>
      <c r="F150" s="1"/>
      <c r="G150" s="1"/>
    </row>
    <row r="151" spans="1:7" s="123" customFormat="1" x14ac:dyDescent="0.6">
      <c r="A151" s="599" t="s">
        <v>292</v>
      </c>
      <c r="B151" s="689" t="s">
        <v>810</v>
      </c>
      <c r="C151" s="770" t="s">
        <v>804</v>
      </c>
      <c r="D151" s="134"/>
      <c r="E151" s="60" t="s">
        <v>769</v>
      </c>
      <c r="F151" s="1"/>
      <c r="G151" s="1"/>
    </row>
    <row r="152" spans="1:7" s="123" customFormat="1" ht="15.9" thickBot="1" x14ac:dyDescent="0.65">
      <c r="A152" s="124"/>
      <c r="B152" s="690"/>
      <c r="C152" s="808" t="s">
        <v>804</v>
      </c>
      <c r="D152" s="135"/>
      <c r="E152" s="60" t="s">
        <v>769</v>
      </c>
      <c r="F152" s="1"/>
      <c r="G152" s="1"/>
    </row>
    <row r="153" spans="1:7" s="748" customFormat="1" ht="15.9" thickTop="1" x14ac:dyDescent="0.6">
      <c r="A153" s="1060" t="s">
        <v>3</v>
      </c>
      <c r="B153" s="822"/>
      <c r="C153" s="789">
        <f>SUM(C154:C184)</f>
        <v>258051630</v>
      </c>
      <c r="D153" s="724"/>
      <c r="E153" s="60"/>
      <c r="F153" s="1"/>
      <c r="G153" s="1"/>
    </row>
    <row r="154" spans="1:7" s="123" customFormat="1" x14ac:dyDescent="0.6">
      <c r="A154" s="599" t="s">
        <v>1367</v>
      </c>
      <c r="B154" s="689" t="s">
        <v>117</v>
      </c>
      <c r="C154" s="1399" t="s">
        <v>804</v>
      </c>
      <c r="D154" s="130"/>
      <c r="E154" s="60"/>
      <c r="F154" s="1"/>
      <c r="G154" s="1"/>
    </row>
    <row r="155" spans="1:7" s="123" customFormat="1" x14ac:dyDescent="0.6">
      <c r="A155" s="599"/>
      <c r="B155" s="689" t="s">
        <v>809</v>
      </c>
      <c r="C155" s="1399" t="s">
        <v>804</v>
      </c>
      <c r="D155" s="130"/>
      <c r="E155" s="60"/>
      <c r="F155" s="1"/>
      <c r="G155" s="1"/>
    </row>
    <row r="156" spans="1:7" s="123" customFormat="1" x14ac:dyDescent="0.6">
      <c r="A156" s="599"/>
      <c r="B156" s="689" t="s">
        <v>810</v>
      </c>
      <c r="C156" s="1399" t="s">
        <v>804</v>
      </c>
      <c r="D156" s="130"/>
      <c r="E156" s="60"/>
      <c r="F156" s="1"/>
      <c r="G156" s="1"/>
    </row>
    <row r="157" spans="1:7" s="123" customFormat="1" x14ac:dyDescent="0.6">
      <c r="A157" s="599" t="s">
        <v>1368</v>
      </c>
      <c r="B157" s="689" t="s">
        <v>809</v>
      </c>
      <c r="C157" s="1399" t="s">
        <v>804</v>
      </c>
      <c r="D157" s="130"/>
      <c r="E157" s="60"/>
      <c r="F157" s="1"/>
      <c r="G157" s="1"/>
    </row>
    <row r="158" spans="1:7" s="123" customFormat="1" x14ac:dyDescent="0.6">
      <c r="A158" s="599" t="s">
        <v>567</v>
      </c>
      <c r="B158" s="689" t="s">
        <v>117</v>
      </c>
      <c r="C158" s="599">
        <v>9214551</v>
      </c>
      <c r="D158" s="130"/>
      <c r="E158" s="60"/>
      <c r="F158" s="1"/>
      <c r="G158" s="1"/>
    </row>
    <row r="159" spans="1:7" s="123" customFormat="1" x14ac:dyDescent="0.6">
      <c r="A159" s="599"/>
      <c r="B159" s="689" t="s">
        <v>809</v>
      </c>
      <c r="C159" s="599">
        <v>20791888</v>
      </c>
      <c r="D159" s="130"/>
      <c r="E159" s="60"/>
      <c r="F159" s="1"/>
      <c r="G159" s="1"/>
    </row>
    <row r="160" spans="1:7" s="123" customFormat="1" x14ac:dyDescent="0.6">
      <c r="A160" s="599"/>
      <c r="B160" s="689" t="s">
        <v>810</v>
      </c>
      <c r="C160" s="599">
        <v>4405157</v>
      </c>
      <c r="D160" s="130"/>
      <c r="E160" s="60"/>
      <c r="F160" s="1"/>
      <c r="G160" s="1"/>
    </row>
    <row r="161" spans="1:7" s="123" customFormat="1" x14ac:dyDescent="0.6">
      <c r="A161" s="599" t="s">
        <v>568</v>
      </c>
      <c r="B161" s="689" t="s">
        <v>120</v>
      </c>
      <c r="C161" s="599">
        <v>53826624</v>
      </c>
      <c r="D161" s="130"/>
      <c r="E161" s="60"/>
      <c r="F161" s="1"/>
      <c r="G161" s="1"/>
    </row>
    <row r="162" spans="1:7" s="123" customFormat="1" x14ac:dyDescent="0.6">
      <c r="A162" s="599" t="s">
        <v>569</v>
      </c>
      <c r="B162" s="689" t="s">
        <v>117</v>
      </c>
      <c r="C162" s="1399" t="s">
        <v>804</v>
      </c>
      <c r="D162" s="130"/>
      <c r="E162" s="60"/>
      <c r="F162" s="1"/>
      <c r="G162" s="1"/>
    </row>
    <row r="163" spans="1:7" s="123" customFormat="1" x14ac:dyDescent="0.6">
      <c r="A163" s="599"/>
      <c r="B163" s="689" t="s">
        <v>809</v>
      </c>
      <c r="C163" s="1399" t="s">
        <v>804</v>
      </c>
      <c r="D163" s="130"/>
      <c r="E163" s="60"/>
      <c r="F163" s="1"/>
      <c r="G163" s="1"/>
    </row>
    <row r="164" spans="1:7" s="123" customFormat="1" x14ac:dyDescent="0.6">
      <c r="A164" s="599"/>
      <c r="B164" s="689" t="s">
        <v>810</v>
      </c>
      <c r="C164" s="1399" t="s">
        <v>804</v>
      </c>
      <c r="D164" s="130"/>
      <c r="E164" s="60"/>
      <c r="F164" s="1"/>
      <c r="G164" s="1"/>
    </row>
    <row r="165" spans="1:7" s="123" customFormat="1" x14ac:dyDescent="0.6">
      <c r="A165" s="599" t="s">
        <v>570</v>
      </c>
      <c r="B165" s="689" t="s">
        <v>120</v>
      </c>
      <c r="C165" s="599">
        <v>17794143</v>
      </c>
      <c r="D165" s="130"/>
      <c r="E165" s="60"/>
      <c r="F165" s="1"/>
      <c r="G165" s="1"/>
    </row>
    <row r="166" spans="1:7" s="123" customFormat="1" x14ac:dyDescent="0.6">
      <c r="A166" s="599" t="s">
        <v>1369</v>
      </c>
      <c r="B166" s="689" t="s">
        <v>117</v>
      </c>
      <c r="C166" s="1399" t="s">
        <v>804</v>
      </c>
      <c r="D166" s="130"/>
      <c r="E166" s="60"/>
      <c r="F166" s="1"/>
      <c r="G166" s="1"/>
    </row>
    <row r="167" spans="1:7" s="123" customFormat="1" x14ac:dyDescent="0.6">
      <c r="A167" s="599"/>
      <c r="B167" s="689" t="s">
        <v>809</v>
      </c>
      <c r="C167" s="1399" t="s">
        <v>804</v>
      </c>
      <c r="D167" s="130"/>
      <c r="E167" s="60"/>
      <c r="F167" s="1"/>
      <c r="G167" s="1"/>
    </row>
    <row r="168" spans="1:7" s="123" customFormat="1" x14ac:dyDescent="0.6">
      <c r="A168" s="599"/>
      <c r="B168" s="689" t="s">
        <v>810</v>
      </c>
      <c r="C168" s="1399" t="s">
        <v>804</v>
      </c>
      <c r="D168" s="130"/>
      <c r="E168" s="60"/>
      <c r="F168" s="1"/>
      <c r="G168" s="1"/>
    </row>
    <row r="169" spans="1:7" s="123" customFormat="1" x14ac:dyDescent="0.6">
      <c r="A169" s="599" t="s">
        <v>287</v>
      </c>
      <c r="B169" s="689" t="s">
        <v>117</v>
      </c>
      <c r="C169" s="599">
        <v>28020471</v>
      </c>
      <c r="D169" s="130"/>
      <c r="E169" s="60" t="s">
        <v>769</v>
      </c>
      <c r="F169" s="1"/>
      <c r="G169" s="1"/>
    </row>
    <row r="170" spans="1:7" s="123" customFormat="1" x14ac:dyDescent="0.6">
      <c r="A170" s="599"/>
      <c r="B170" s="689" t="s">
        <v>810</v>
      </c>
      <c r="C170" s="599">
        <v>38572654</v>
      </c>
      <c r="D170" s="130"/>
      <c r="E170" s="60" t="s">
        <v>769</v>
      </c>
      <c r="F170" s="1"/>
      <c r="G170" s="1"/>
    </row>
    <row r="171" spans="1:7" s="123" customFormat="1" x14ac:dyDescent="0.6">
      <c r="A171" s="599"/>
      <c r="B171" s="689" t="s">
        <v>120</v>
      </c>
      <c r="C171" s="599">
        <v>5203641</v>
      </c>
      <c r="D171" s="130"/>
      <c r="E171" s="60" t="s">
        <v>769</v>
      </c>
      <c r="F171" s="1"/>
      <c r="G171" s="1"/>
    </row>
    <row r="172" spans="1:7" s="123" customFormat="1" x14ac:dyDescent="0.6">
      <c r="A172" s="599"/>
      <c r="B172" s="689" t="s">
        <v>814</v>
      </c>
      <c r="C172" s="599">
        <v>5590027</v>
      </c>
      <c r="D172" s="130"/>
      <c r="E172" s="60" t="s">
        <v>769</v>
      </c>
      <c r="F172" s="1"/>
      <c r="G172" s="1"/>
    </row>
    <row r="173" spans="1:7" s="123" customFormat="1" x14ac:dyDescent="0.6">
      <c r="A173" s="599"/>
      <c r="B173" s="689" t="s">
        <v>816</v>
      </c>
      <c r="C173" s="599">
        <v>62974730</v>
      </c>
      <c r="D173" s="130"/>
      <c r="E173" s="60" t="s">
        <v>769</v>
      </c>
      <c r="F173" s="1"/>
      <c r="G173" s="1"/>
    </row>
    <row r="174" spans="1:7" s="123" customFormat="1" x14ac:dyDescent="0.6">
      <c r="A174" s="599" t="s">
        <v>288</v>
      </c>
      <c r="B174" s="689" t="s">
        <v>120</v>
      </c>
      <c r="C174" s="599">
        <v>11657744</v>
      </c>
      <c r="D174" s="130"/>
      <c r="E174" s="60"/>
      <c r="F174" s="1"/>
      <c r="G174" s="1"/>
    </row>
    <row r="175" spans="1:7" s="123" customFormat="1" x14ac:dyDescent="0.6">
      <c r="A175" s="599" t="s">
        <v>1370</v>
      </c>
      <c r="B175" s="689" t="s">
        <v>117</v>
      </c>
      <c r="C175" s="686" t="s">
        <v>804</v>
      </c>
      <c r="D175" s="130"/>
      <c r="E175" s="60"/>
      <c r="F175" s="1"/>
      <c r="G175" s="1"/>
    </row>
    <row r="176" spans="1:7" s="123" customFormat="1" x14ac:dyDescent="0.6">
      <c r="A176" s="599"/>
      <c r="B176" s="689" t="s">
        <v>809</v>
      </c>
      <c r="C176" s="686" t="s">
        <v>804</v>
      </c>
      <c r="D176" s="130"/>
      <c r="E176" s="60"/>
      <c r="F176" s="1"/>
      <c r="G176" s="1"/>
    </row>
    <row r="177" spans="1:7" s="123" customFormat="1" x14ac:dyDescent="0.6">
      <c r="A177" s="599"/>
      <c r="B177" s="689" t="s">
        <v>810</v>
      </c>
      <c r="C177" s="686" t="s">
        <v>804</v>
      </c>
      <c r="D177" s="130"/>
      <c r="E177" s="60"/>
      <c r="F177" s="1"/>
      <c r="G177" s="1"/>
    </row>
    <row r="178" spans="1:7" s="123" customFormat="1" x14ac:dyDescent="0.6">
      <c r="A178" s="599" t="s">
        <v>1371</v>
      </c>
      <c r="B178" s="689" t="s">
        <v>117</v>
      </c>
      <c r="C178" s="686" t="s">
        <v>804</v>
      </c>
      <c r="D178" s="130"/>
      <c r="E178" s="60"/>
      <c r="F178" s="1"/>
      <c r="G178" s="1"/>
    </row>
    <row r="179" spans="1:7" s="123" customFormat="1" x14ac:dyDescent="0.6">
      <c r="A179" s="599"/>
      <c r="B179" s="689" t="s">
        <v>809</v>
      </c>
      <c r="C179" s="686" t="s">
        <v>804</v>
      </c>
      <c r="D179" s="130"/>
      <c r="E179" s="60"/>
      <c r="F179" s="1"/>
      <c r="G179" s="1"/>
    </row>
    <row r="180" spans="1:7" s="123" customFormat="1" x14ac:dyDescent="0.6">
      <c r="A180" s="599"/>
      <c r="B180" s="689" t="s">
        <v>810</v>
      </c>
      <c r="C180" s="686" t="s">
        <v>804</v>
      </c>
      <c r="D180" s="130"/>
      <c r="E180" s="60"/>
      <c r="F180" s="1"/>
      <c r="G180" s="1"/>
    </row>
    <row r="181" spans="1:7" s="123" customFormat="1" x14ac:dyDescent="0.6">
      <c r="A181" s="599" t="s">
        <v>1372</v>
      </c>
      <c r="B181" s="689" t="s">
        <v>117</v>
      </c>
      <c r="C181" s="686" t="s">
        <v>804</v>
      </c>
      <c r="D181" s="130"/>
      <c r="E181" s="60"/>
      <c r="F181" s="1"/>
      <c r="G181" s="1"/>
    </row>
    <row r="182" spans="1:7" s="123" customFormat="1" x14ac:dyDescent="0.6">
      <c r="A182" s="599"/>
      <c r="B182" s="689" t="s">
        <v>809</v>
      </c>
      <c r="C182" s="686" t="s">
        <v>804</v>
      </c>
      <c r="D182" s="130"/>
      <c r="E182" s="60"/>
      <c r="F182" s="1"/>
      <c r="G182" s="1"/>
    </row>
    <row r="183" spans="1:7" s="123" customFormat="1" x14ac:dyDescent="0.6">
      <c r="A183" s="599"/>
      <c r="B183" s="689" t="s">
        <v>810</v>
      </c>
      <c r="C183" s="686" t="s">
        <v>804</v>
      </c>
      <c r="D183" s="130"/>
      <c r="E183" s="60"/>
      <c r="F183" s="1"/>
      <c r="G183" s="1"/>
    </row>
    <row r="184" spans="1:7" s="123" customFormat="1" ht="15.9" thickBot="1" x14ac:dyDescent="0.65">
      <c r="A184" s="124" t="s">
        <v>1373</v>
      </c>
      <c r="B184" s="690" t="s">
        <v>120</v>
      </c>
      <c r="C184" s="598" t="s">
        <v>804</v>
      </c>
      <c r="D184" s="131"/>
      <c r="E184" s="60"/>
      <c r="F184" s="1"/>
      <c r="G184" s="1"/>
    </row>
    <row r="185" spans="1:7" s="748" customFormat="1" ht="15.9" thickTop="1" x14ac:dyDescent="0.6">
      <c r="A185" s="1060" t="s">
        <v>4</v>
      </c>
      <c r="B185" s="688"/>
      <c r="C185" s="789">
        <f>SUM(C186:C199)</f>
        <v>7830000</v>
      </c>
      <c r="D185" s="724"/>
      <c r="E185" s="60"/>
      <c r="F185" s="1"/>
      <c r="G185" s="1"/>
    </row>
    <row r="186" spans="1:7" s="123" customFormat="1" x14ac:dyDescent="0.6">
      <c r="A186" s="599" t="s">
        <v>1374</v>
      </c>
      <c r="B186" s="689" t="s">
        <v>836</v>
      </c>
      <c r="C186" s="686" t="s">
        <v>804</v>
      </c>
      <c r="D186" s="130"/>
      <c r="E186" s="60"/>
      <c r="F186" s="1"/>
      <c r="G186" s="1"/>
    </row>
    <row r="187" spans="1:7" s="123" customFormat="1" x14ac:dyDescent="0.6">
      <c r="A187" s="599" t="s">
        <v>1375</v>
      </c>
      <c r="B187" s="689" t="s">
        <v>836</v>
      </c>
      <c r="C187" s="686" t="s">
        <v>804</v>
      </c>
      <c r="D187" s="130"/>
      <c r="E187" s="60" t="s">
        <v>769</v>
      </c>
      <c r="F187" s="1"/>
      <c r="G187" s="1"/>
    </row>
    <row r="188" spans="1:7" s="123" customFormat="1" x14ac:dyDescent="0.6">
      <c r="A188" s="599" t="s">
        <v>817</v>
      </c>
      <c r="B188" s="689" t="s">
        <v>117</v>
      </c>
      <c r="C188" s="686" t="s">
        <v>804</v>
      </c>
      <c r="D188" s="130"/>
      <c r="E188" s="60" t="s">
        <v>769</v>
      </c>
      <c r="F188" s="1"/>
      <c r="G188" s="1"/>
    </row>
    <row r="189" spans="1:7" s="123" customFormat="1" x14ac:dyDescent="0.6">
      <c r="A189" s="599"/>
      <c r="B189" s="689" t="s">
        <v>809</v>
      </c>
      <c r="C189" s="686" t="s">
        <v>804</v>
      </c>
      <c r="D189" s="130"/>
      <c r="E189" s="60" t="s">
        <v>769</v>
      </c>
      <c r="F189" s="1"/>
      <c r="G189" s="1"/>
    </row>
    <row r="190" spans="1:7" s="123" customFormat="1" x14ac:dyDescent="0.6">
      <c r="A190" s="599"/>
      <c r="B190" s="689" t="s">
        <v>810</v>
      </c>
      <c r="C190" s="599">
        <v>3030000</v>
      </c>
      <c r="D190" s="130"/>
      <c r="E190" s="60" t="s">
        <v>769</v>
      </c>
      <c r="F190" s="1"/>
      <c r="G190" s="1"/>
    </row>
    <row r="191" spans="1:7" s="123" customFormat="1" x14ac:dyDescent="0.6">
      <c r="A191" s="599" t="s">
        <v>1376</v>
      </c>
      <c r="B191" s="689" t="s">
        <v>819</v>
      </c>
      <c r="C191" s="686" t="s">
        <v>804</v>
      </c>
      <c r="D191" s="130"/>
      <c r="E191" s="60" t="s">
        <v>769</v>
      </c>
      <c r="F191" s="1"/>
      <c r="G191" s="1"/>
    </row>
    <row r="192" spans="1:7" s="123" customFormat="1" x14ac:dyDescent="0.6">
      <c r="A192" s="599" t="s">
        <v>818</v>
      </c>
      <c r="B192" s="689" t="s">
        <v>117</v>
      </c>
      <c r="C192" s="686" t="s">
        <v>804</v>
      </c>
      <c r="D192" s="130"/>
      <c r="E192" s="60" t="s">
        <v>769</v>
      </c>
      <c r="F192" s="1"/>
      <c r="G192" s="1"/>
    </row>
    <row r="193" spans="1:7" s="123" customFormat="1" x14ac:dyDescent="0.6">
      <c r="A193" s="599"/>
      <c r="B193" s="689" t="s">
        <v>809</v>
      </c>
      <c r="C193" s="686" t="s">
        <v>804</v>
      </c>
      <c r="D193" s="130"/>
      <c r="E193" s="60" t="s">
        <v>769</v>
      </c>
      <c r="F193" s="1"/>
      <c r="G193" s="1"/>
    </row>
    <row r="194" spans="1:7" s="123" customFormat="1" x14ac:dyDescent="0.6">
      <c r="A194" s="599"/>
      <c r="B194" s="689" t="s">
        <v>810</v>
      </c>
      <c r="C194" s="686" t="s">
        <v>804</v>
      </c>
      <c r="D194" s="130"/>
      <c r="E194" s="60" t="s">
        <v>769</v>
      </c>
      <c r="F194" s="1"/>
      <c r="G194" s="1"/>
    </row>
    <row r="195" spans="1:7" s="123" customFormat="1" x14ac:dyDescent="0.6">
      <c r="A195" s="599"/>
      <c r="B195" s="689" t="s">
        <v>819</v>
      </c>
      <c r="C195" s="686" t="s">
        <v>804</v>
      </c>
      <c r="D195" s="130"/>
      <c r="E195" s="60" t="s">
        <v>769</v>
      </c>
      <c r="F195" s="1"/>
      <c r="G195" s="1"/>
    </row>
    <row r="196" spans="1:7" s="123" customFormat="1" x14ac:dyDescent="0.6">
      <c r="A196" s="599" t="s">
        <v>1377</v>
      </c>
      <c r="B196" s="689"/>
      <c r="C196" s="660">
        <v>4800000</v>
      </c>
      <c r="D196" s="130"/>
      <c r="E196" s="60"/>
      <c r="F196" s="1"/>
      <c r="G196" s="1"/>
    </row>
    <row r="197" spans="1:7" s="123" customFormat="1" x14ac:dyDescent="0.6">
      <c r="A197" s="599" t="s">
        <v>1378</v>
      </c>
      <c r="B197" s="689" t="s">
        <v>117</v>
      </c>
      <c r="C197" s="686" t="s">
        <v>804</v>
      </c>
      <c r="D197" s="130"/>
      <c r="E197" s="60" t="s">
        <v>769</v>
      </c>
      <c r="F197" s="1"/>
      <c r="G197" s="1"/>
    </row>
    <row r="198" spans="1:7" s="123" customFormat="1" x14ac:dyDescent="0.6">
      <c r="A198" s="599"/>
      <c r="B198" s="689" t="s">
        <v>809</v>
      </c>
      <c r="C198" s="686" t="s">
        <v>804</v>
      </c>
      <c r="D198" s="130"/>
      <c r="E198" s="60" t="s">
        <v>769</v>
      </c>
      <c r="F198" s="1"/>
      <c r="G198" s="1"/>
    </row>
    <row r="199" spans="1:7" s="123" customFormat="1" ht="15.9" thickBot="1" x14ac:dyDescent="0.65">
      <c r="A199" s="124"/>
      <c r="B199" s="690" t="s">
        <v>810</v>
      </c>
      <c r="C199" s="598" t="s">
        <v>804</v>
      </c>
      <c r="D199" s="131"/>
      <c r="E199" s="60" t="s">
        <v>769</v>
      </c>
      <c r="F199" s="1"/>
      <c r="G199" s="1"/>
    </row>
    <row r="200" spans="1:7" s="748" customFormat="1" ht="15.9" thickTop="1" x14ac:dyDescent="0.6">
      <c r="A200" s="1060" t="s">
        <v>5</v>
      </c>
      <c r="B200" s="688"/>
      <c r="C200" s="827">
        <f>SUM(C201:C203)</f>
        <v>402284662</v>
      </c>
      <c r="D200" s="724"/>
      <c r="E200" s="60"/>
      <c r="F200" s="1"/>
      <c r="G200" s="1"/>
    </row>
    <row r="201" spans="1:7" s="123" customFormat="1" x14ac:dyDescent="0.6">
      <c r="A201" s="599" t="s">
        <v>757</v>
      </c>
      <c r="B201" s="689" t="s">
        <v>120</v>
      </c>
      <c r="C201" s="660">
        <v>170031</v>
      </c>
      <c r="D201" s="130"/>
      <c r="E201" s="60" t="s">
        <v>769</v>
      </c>
      <c r="F201" s="1"/>
      <c r="G201" s="1"/>
    </row>
    <row r="202" spans="1:7" s="123" customFormat="1" x14ac:dyDescent="0.6">
      <c r="A202" s="599" t="s">
        <v>1380</v>
      </c>
      <c r="B202" s="689"/>
      <c r="C202" s="660">
        <v>149256561</v>
      </c>
      <c r="D202" s="130"/>
      <c r="E202" s="60"/>
      <c r="F202" s="1"/>
      <c r="G202" s="1"/>
    </row>
    <row r="203" spans="1:7" s="123" customFormat="1" ht="15.9" thickBot="1" x14ac:dyDescent="0.65">
      <c r="A203" s="124" t="s">
        <v>1379</v>
      </c>
      <c r="B203" s="690" t="s">
        <v>812</v>
      </c>
      <c r="C203" s="1079">
        <v>252858070</v>
      </c>
      <c r="D203" s="131"/>
      <c r="E203" s="60" t="s">
        <v>769</v>
      </c>
      <c r="F203" s="1"/>
      <c r="G203" s="1"/>
    </row>
    <row r="204" spans="1:7" s="748" customFormat="1" ht="15.9" thickTop="1" x14ac:dyDescent="0.6">
      <c r="A204" s="1060" t="s">
        <v>6</v>
      </c>
      <c r="B204" s="688"/>
      <c r="C204" s="789">
        <f>SUM(C205:C265)</f>
        <v>488772001</v>
      </c>
      <c r="D204" s="724"/>
      <c r="E204" s="60"/>
      <c r="F204" s="1"/>
      <c r="G204" s="1"/>
    </row>
    <row r="205" spans="1:7" s="123" customFormat="1" x14ac:dyDescent="0.6">
      <c r="A205" s="599" t="s">
        <v>571</v>
      </c>
      <c r="B205" s="689" t="s">
        <v>117</v>
      </c>
      <c r="C205" s="599">
        <v>1797218</v>
      </c>
      <c r="D205" s="130"/>
      <c r="E205" s="60"/>
      <c r="F205" s="1"/>
      <c r="G205" s="1"/>
    </row>
    <row r="206" spans="1:7" s="123" customFormat="1" x14ac:dyDescent="0.6">
      <c r="A206" s="599"/>
      <c r="B206" s="689" t="s">
        <v>810</v>
      </c>
      <c r="C206" s="599">
        <v>2159762</v>
      </c>
      <c r="D206" s="130"/>
      <c r="E206" s="60"/>
      <c r="F206" s="1"/>
      <c r="G206" s="1"/>
    </row>
    <row r="207" spans="1:7" s="123" customFormat="1" x14ac:dyDescent="0.6">
      <c r="A207" s="599"/>
      <c r="B207" s="689" t="s">
        <v>811</v>
      </c>
      <c r="C207" s="599">
        <v>2143020</v>
      </c>
      <c r="D207" s="130"/>
      <c r="E207" s="60"/>
      <c r="F207" s="1"/>
      <c r="G207" s="1"/>
    </row>
    <row r="208" spans="1:7" s="123" customFormat="1" x14ac:dyDescent="0.6">
      <c r="A208" s="599"/>
      <c r="B208" s="689" t="s">
        <v>120</v>
      </c>
      <c r="C208" s="686" t="s">
        <v>804</v>
      </c>
      <c r="D208" s="130"/>
      <c r="E208" s="60"/>
      <c r="F208" s="1"/>
      <c r="G208" s="1"/>
    </row>
    <row r="209" spans="1:7" s="123" customFormat="1" x14ac:dyDescent="0.6">
      <c r="A209" s="599" t="s">
        <v>572</v>
      </c>
      <c r="B209" s="689" t="s">
        <v>117</v>
      </c>
      <c r="C209" s="599">
        <v>12934077</v>
      </c>
      <c r="D209" s="130"/>
      <c r="E209" s="60"/>
      <c r="F209" s="1"/>
      <c r="G209" s="1"/>
    </row>
    <row r="210" spans="1:7" s="123" customFormat="1" x14ac:dyDescent="0.6">
      <c r="A210" s="599"/>
      <c r="B210" s="689" t="s">
        <v>810</v>
      </c>
      <c r="C210" s="599">
        <v>15543206</v>
      </c>
      <c r="D210" s="130"/>
      <c r="E210" s="60"/>
      <c r="F210" s="1"/>
      <c r="G210" s="1"/>
    </row>
    <row r="211" spans="1:7" s="123" customFormat="1" x14ac:dyDescent="0.6">
      <c r="A211" s="599"/>
      <c r="B211" s="689" t="s">
        <v>811</v>
      </c>
      <c r="C211" s="599">
        <v>15422716</v>
      </c>
      <c r="D211" s="130"/>
      <c r="E211" s="60"/>
      <c r="F211" s="1"/>
      <c r="G211" s="1"/>
    </row>
    <row r="212" spans="1:7" s="123" customFormat="1" x14ac:dyDescent="0.6">
      <c r="A212" s="599"/>
      <c r="B212" s="689" t="s">
        <v>120</v>
      </c>
      <c r="C212" s="686" t="s">
        <v>804</v>
      </c>
      <c r="D212" s="130"/>
      <c r="E212" s="60"/>
      <c r="F212" s="1"/>
      <c r="G212" s="1"/>
    </row>
    <row r="213" spans="1:7" s="123" customFormat="1" x14ac:dyDescent="0.6">
      <c r="A213" s="599" t="s">
        <v>1381</v>
      </c>
      <c r="B213" s="689" t="s">
        <v>117</v>
      </c>
      <c r="C213" s="686" t="s">
        <v>804</v>
      </c>
      <c r="D213" s="130"/>
      <c r="E213" s="60"/>
      <c r="F213" s="1"/>
      <c r="G213" s="1"/>
    </row>
    <row r="214" spans="1:7" s="123" customFormat="1" x14ac:dyDescent="0.6">
      <c r="A214" s="599"/>
      <c r="B214" s="689" t="s">
        <v>810</v>
      </c>
      <c r="C214" s="686" t="s">
        <v>804</v>
      </c>
      <c r="D214" s="130"/>
      <c r="E214" s="60"/>
      <c r="F214" s="1"/>
      <c r="G214" s="1"/>
    </row>
    <row r="215" spans="1:7" s="123" customFormat="1" x14ac:dyDescent="0.6">
      <c r="A215" s="599"/>
      <c r="B215" s="689" t="s">
        <v>811</v>
      </c>
      <c r="C215" s="686" t="s">
        <v>804</v>
      </c>
      <c r="D215" s="130"/>
      <c r="E215" s="60"/>
      <c r="F215" s="1"/>
      <c r="G215" s="1"/>
    </row>
    <row r="216" spans="1:7" s="123" customFormat="1" x14ac:dyDescent="0.6">
      <c r="A216" s="599"/>
      <c r="B216" s="689" t="s">
        <v>120</v>
      </c>
      <c r="C216" s="686" t="s">
        <v>804</v>
      </c>
      <c r="D216" s="130"/>
      <c r="E216" s="60"/>
      <c r="F216" s="1"/>
      <c r="G216" s="1"/>
    </row>
    <row r="217" spans="1:7" s="123" customFormat="1" x14ac:dyDescent="0.6">
      <c r="A217" s="599" t="s">
        <v>1382</v>
      </c>
      <c r="B217" s="689" t="s">
        <v>117</v>
      </c>
      <c r="C217" s="686" t="s">
        <v>804</v>
      </c>
      <c r="D217" s="130"/>
      <c r="E217" s="60"/>
      <c r="F217" s="1"/>
      <c r="G217" s="1"/>
    </row>
    <row r="218" spans="1:7" s="123" customFormat="1" x14ac:dyDescent="0.6">
      <c r="A218" s="599"/>
      <c r="B218" s="689" t="s">
        <v>810</v>
      </c>
      <c r="C218" s="686" t="s">
        <v>804</v>
      </c>
      <c r="D218" s="130"/>
      <c r="E218" s="60"/>
      <c r="F218" s="1"/>
      <c r="G218" s="1"/>
    </row>
    <row r="219" spans="1:7" s="123" customFormat="1" x14ac:dyDescent="0.6">
      <c r="A219" s="599"/>
      <c r="B219" s="689" t="s">
        <v>811</v>
      </c>
      <c r="C219" s="686" t="s">
        <v>804</v>
      </c>
      <c r="D219" s="130"/>
      <c r="E219" s="60"/>
      <c r="F219" s="1"/>
      <c r="G219" s="1"/>
    </row>
    <row r="220" spans="1:7" s="123" customFormat="1" x14ac:dyDescent="0.6">
      <c r="A220" s="599"/>
      <c r="B220" s="689" t="s">
        <v>120</v>
      </c>
      <c r="C220" s="686" t="s">
        <v>804</v>
      </c>
      <c r="D220" s="130"/>
      <c r="E220" s="60"/>
      <c r="F220" s="1"/>
      <c r="G220" s="1"/>
    </row>
    <row r="221" spans="1:7" s="123" customFormat="1" x14ac:dyDescent="0.6">
      <c r="A221" s="599" t="s">
        <v>573</v>
      </c>
      <c r="B221" s="689" t="s">
        <v>117</v>
      </c>
      <c r="C221" s="599">
        <v>4419389</v>
      </c>
      <c r="D221" s="130"/>
      <c r="E221" s="60"/>
      <c r="F221" s="1"/>
      <c r="G221" s="1"/>
    </row>
    <row r="222" spans="1:7" s="123" customFormat="1" x14ac:dyDescent="0.6">
      <c r="A222" s="599"/>
      <c r="B222" s="689" t="s">
        <v>810</v>
      </c>
      <c r="C222" s="599">
        <v>5310891</v>
      </c>
      <c r="D222" s="130"/>
      <c r="E222" s="60"/>
      <c r="F222" s="1"/>
      <c r="G222" s="1"/>
    </row>
    <row r="223" spans="1:7" s="123" customFormat="1" x14ac:dyDescent="0.6">
      <c r="A223" s="599"/>
      <c r="B223" s="689" t="s">
        <v>811</v>
      </c>
      <c r="C223" s="599">
        <v>5269721</v>
      </c>
      <c r="D223" s="130"/>
      <c r="E223" s="60"/>
      <c r="F223" s="1"/>
      <c r="G223" s="1"/>
    </row>
    <row r="224" spans="1:7" s="123" customFormat="1" x14ac:dyDescent="0.6">
      <c r="A224" s="599"/>
      <c r="B224" s="689" t="s">
        <v>120</v>
      </c>
      <c r="C224" s="686" t="s">
        <v>804</v>
      </c>
      <c r="D224" s="130"/>
      <c r="E224" s="60"/>
      <c r="F224" s="1"/>
      <c r="G224" s="1"/>
    </row>
    <row r="225" spans="1:7" s="123" customFormat="1" x14ac:dyDescent="0.6">
      <c r="A225" s="599" t="s">
        <v>574</v>
      </c>
      <c r="B225" s="689" t="s">
        <v>117</v>
      </c>
      <c r="C225" s="599">
        <v>79843620</v>
      </c>
      <c r="D225" s="130"/>
      <c r="E225" s="60"/>
      <c r="F225" s="1"/>
      <c r="G225" s="1"/>
    </row>
    <row r="226" spans="1:7" s="123" customFormat="1" x14ac:dyDescent="0.6">
      <c r="A226" s="599"/>
      <c r="B226" s="689" t="s">
        <v>810</v>
      </c>
      <c r="C226" s="599">
        <v>95950090</v>
      </c>
      <c r="D226" s="130"/>
      <c r="E226" s="60"/>
      <c r="F226" s="1"/>
      <c r="G226" s="1"/>
    </row>
    <row r="227" spans="1:7" s="123" customFormat="1" x14ac:dyDescent="0.6">
      <c r="A227" s="599"/>
      <c r="B227" s="689" t="s">
        <v>811</v>
      </c>
      <c r="C227" s="599">
        <v>95206289</v>
      </c>
      <c r="D227" s="130"/>
      <c r="E227" s="60"/>
      <c r="F227" s="1"/>
      <c r="G227" s="1"/>
    </row>
    <row r="228" spans="1:7" s="123" customFormat="1" x14ac:dyDescent="0.6">
      <c r="A228" s="599"/>
      <c r="B228" s="689" t="s">
        <v>120</v>
      </c>
      <c r="C228" s="686" t="s">
        <v>804</v>
      </c>
      <c r="D228" s="130"/>
      <c r="E228" s="114"/>
      <c r="F228" s="70"/>
      <c r="G228" s="1"/>
    </row>
    <row r="229" spans="1:7" s="123" customFormat="1" x14ac:dyDescent="0.6">
      <c r="A229" s="599" t="s">
        <v>1383</v>
      </c>
      <c r="B229" s="689" t="s">
        <v>117</v>
      </c>
      <c r="C229" s="599">
        <v>14731295</v>
      </c>
      <c r="D229" s="130"/>
      <c r="E229" s="114"/>
      <c r="F229" s="70"/>
      <c r="G229" s="1"/>
    </row>
    <row r="230" spans="1:7" s="123" customFormat="1" x14ac:dyDescent="0.6">
      <c r="A230" s="599"/>
      <c r="B230" s="689" t="s">
        <v>810</v>
      </c>
      <c r="C230" s="599">
        <v>17702969</v>
      </c>
      <c r="D230" s="130"/>
      <c r="E230" s="114"/>
      <c r="F230" s="70"/>
      <c r="G230" s="1"/>
    </row>
    <row r="231" spans="1:7" s="123" customFormat="1" x14ac:dyDescent="0.6">
      <c r="A231" s="599"/>
      <c r="B231" s="689" t="s">
        <v>811</v>
      </c>
      <c r="C231" s="599">
        <v>17565736</v>
      </c>
      <c r="D231" s="130"/>
      <c r="E231" s="114"/>
      <c r="F231" s="70"/>
      <c r="G231" s="1"/>
    </row>
    <row r="232" spans="1:7" s="123" customFormat="1" x14ac:dyDescent="0.6">
      <c r="A232" s="599"/>
      <c r="B232" s="689" t="s">
        <v>120</v>
      </c>
      <c r="C232" s="686" t="s">
        <v>804</v>
      </c>
      <c r="D232" s="130"/>
      <c r="E232" s="114"/>
      <c r="F232" s="70"/>
      <c r="G232" s="1"/>
    </row>
    <row r="233" spans="1:7" s="123" customFormat="1" x14ac:dyDescent="0.6">
      <c r="A233" s="599" t="s">
        <v>1384</v>
      </c>
      <c r="B233" s="689" t="s">
        <v>117</v>
      </c>
      <c r="C233" s="686" t="s">
        <v>804</v>
      </c>
      <c r="D233" s="130"/>
      <c r="E233" s="114"/>
      <c r="F233" s="70"/>
      <c r="G233" s="1"/>
    </row>
    <row r="234" spans="1:7" s="123" customFormat="1" x14ac:dyDescent="0.6">
      <c r="A234" s="599"/>
      <c r="B234" s="689" t="s">
        <v>810</v>
      </c>
      <c r="C234" s="686" t="s">
        <v>804</v>
      </c>
      <c r="D234" s="130"/>
      <c r="E234" s="114"/>
      <c r="F234" s="70"/>
      <c r="G234" s="1"/>
    </row>
    <row r="235" spans="1:7" s="123" customFormat="1" x14ac:dyDescent="0.6">
      <c r="A235" s="599"/>
      <c r="B235" s="689" t="s">
        <v>811</v>
      </c>
      <c r="C235" s="686" t="s">
        <v>804</v>
      </c>
      <c r="D235" s="130"/>
      <c r="E235" s="114"/>
      <c r="F235" s="70"/>
      <c r="G235" s="1"/>
    </row>
    <row r="236" spans="1:7" s="123" customFormat="1" x14ac:dyDescent="0.6">
      <c r="A236" s="599"/>
      <c r="B236" s="689" t="s">
        <v>120</v>
      </c>
      <c r="C236" s="686" t="s">
        <v>804</v>
      </c>
      <c r="D236" s="130"/>
      <c r="E236" s="114"/>
      <c r="F236" s="70"/>
      <c r="G236" s="1"/>
    </row>
    <row r="237" spans="1:7" s="123" customFormat="1" x14ac:dyDescent="0.6">
      <c r="A237" s="599" t="s">
        <v>1385</v>
      </c>
      <c r="B237" s="689" t="s">
        <v>117</v>
      </c>
      <c r="C237" s="686" t="s">
        <v>804</v>
      </c>
      <c r="D237" s="130"/>
      <c r="E237" s="114"/>
      <c r="F237" s="70"/>
      <c r="G237" s="1"/>
    </row>
    <row r="238" spans="1:7" s="123" customFormat="1" x14ac:dyDescent="0.6">
      <c r="A238" s="599"/>
      <c r="B238" s="689" t="s">
        <v>810</v>
      </c>
      <c r="C238" s="686" t="s">
        <v>804</v>
      </c>
      <c r="D238" s="130"/>
      <c r="E238" s="114"/>
      <c r="F238" s="70"/>
      <c r="G238" s="1"/>
    </row>
    <row r="239" spans="1:7" s="123" customFormat="1" x14ac:dyDescent="0.6">
      <c r="A239" s="599"/>
      <c r="B239" s="689" t="s">
        <v>811</v>
      </c>
      <c r="C239" s="686" t="s">
        <v>804</v>
      </c>
      <c r="D239" s="130"/>
      <c r="E239" s="114"/>
      <c r="F239" s="70"/>
      <c r="G239" s="1"/>
    </row>
    <row r="240" spans="1:7" s="123" customFormat="1" x14ac:dyDescent="0.6">
      <c r="A240" s="599"/>
      <c r="B240" s="689" t="s">
        <v>120</v>
      </c>
      <c r="C240" s="686" t="s">
        <v>804</v>
      </c>
      <c r="D240" s="130"/>
      <c r="E240" s="114"/>
      <c r="F240" s="70"/>
      <c r="G240" s="1"/>
    </row>
    <row r="241" spans="1:7" s="123" customFormat="1" x14ac:dyDescent="0.6">
      <c r="A241" s="599" t="s">
        <v>1386</v>
      </c>
      <c r="B241" s="689" t="s">
        <v>117</v>
      </c>
      <c r="C241" s="599">
        <v>13847418</v>
      </c>
      <c r="D241" s="130"/>
      <c r="E241" s="114"/>
      <c r="F241" s="70"/>
      <c r="G241" s="1"/>
    </row>
    <row r="242" spans="1:7" s="123" customFormat="1" x14ac:dyDescent="0.6">
      <c r="A242" s="599"/>
      <c r="B242" s="689" t="s">
        <v>810</v>
      </c>
      <c r="C242" s="599">
        <v>16640791</v>
      </c>
      <c r="D242" s="130"/>
      <c r="E242" s="114"/>
      <c r="F242" s="70"/>
      <c r="G242" s="1"/>
    </row>
    <row r="243" spans="1:7" s="123" customFormat="1" x14ac:dyDescent="0.6">
      <c r="A243" s="599"/>
      <c r="B243" s="689" t="s">
        <v>811</v>
      </c>
      <c r="C243" s="599">
        <v>16511792</v>
      </c>
      <c r="D243" s="130"/>
      <c r="E243" s="114"/>
      <c r="F243" s="70"/>
      <c r="G243" s="1"/>
    </row>
    <row r="244" spans="1:7" s="123" customFormat="1" x14ac:dyDescent="0.6">
      <c r="A244" s="599"/>
      <c r="B244" s="689" t="s">
        <v>120</v>
      </c>
      <c r="C244" s="686" t="s">
        <v>804</v>
      </c>
      <c r="D244" s="130"/>
      <c r="E244" s="114"/>
      <c r="F244" s="70"/>
      <c r="G244" s="1"/>
    </row>
    <row r="245" spans="1:7" s="123" customFormat="1" x14ac:dyDescent="0.6">
      <c r="A245" s="599" t="s">
        <v>1387</v>
      </c>
      <c r="B245" s="689" t="s">
        <v>117</v>
      </c>
      <c r="C245" s="599">
        <v>883878</v>
      </c>
      <c r="D245" s="130"/>
      <c r="E245" s="114"/>
      <c r="F245" s="70"/>
      <c r="G245" s="1"/>
    </row>
    <row r="246" spans="1:7" s="123" customFormat="1" x14ac:dyDescent="0.6">
      <c r="A246" s="599"/>
      <c r="B246" s="689" t="s">
        <v>810</v>
      </c>
      <c r="C246" s="599">
        <v>1062178</v>
      </c>
      <c r="D246" s="130"/>
      <c r="E246" s="114"/>
      <c r="F246" s="70"/>
      <c r="G246" s="1"/>
    </row>
    <row r="247" spans="1:7" s="123" customFormat="1" x14ac:dyDescent="0.6">
      <c r="A247" s="599"/>
      <c r="B247" s="689" t="s">
        <v>811</v>
      </c>
      <c r="C247" s="599">
        <v>1053944</v>
      </c>
      <c r="D247" s="130"/>
      <c r="E247" s="114"/>
      <c r="F247" s="70"/>
      <c r="G247" s="1"/>
    </row>
    <row r="248" spans="1:7" s="123" customFormat="1" x14ac:dyDescent="0.6">
      <c r="A248" s="599"/>
      <c r="B248" s="689" t="s">
        <v>120</v>
      </c>
      <c r="C248" s="686" t="s">
        <v>804</v>
      </c>
      <c r="D248" s="130"/>
      <c r="E248" s="114"/>
      <c r="F248" s="70"/>
      <c r="G248" s="1"/>
    </row>
    <row r="249" spans="1:7" s="123" customFormat="1" x14ac:dyDescent="0.6">
      <c r="A249" s="599" t="s">
        <v>1388</v>
      </c>
      <c r="B249" s="689" t="s">
        <v>117</v>
      </c>
      <c r="C249" s="686" t="s">
        <v>804</v>
      </c>
      <c r="D249" s="130"/>
      <c r="E249" s="114"/>
      <c r="F249" s="70"/>
      <c r="G249" s="1"/>
    </row>
    <row r="250" spans="1:7" s="123" customFormat="1" x14ac:dyDescent="0.6">
      <c r="A250" s="599"/>
      <c r="B250" s="689" t="s">
        <v>810</v>
      </c>
      <c r="C250" s="686" t="s">
        <v>804</v>
      </c>
      <c r="D250" s="130"/>
      <c r="E250" s="114"/>
      <c r="F250" s="70"/>
      <c r="G250" s="1"/>
    </row>
    <row r="251" spans="1:7" s="123" customFormat="1" x14ac:dyDescent="0.6">
      <c r="A251" s="599"/>
      <c r="B251" s="689" t="s">
        <v>811</v>
      </c>
      <c r="C251" s="686" t="s">
        <v>804</v>
      </c>
      <c r="D251" s="130"/>
      <c r="E251" s="114"/>
      <c r="F251" s="70"/>
      <c r="G251" s="1"/>
    </row>
    <row r="252" spans="1:7" s="123" customFormat="1" x14ac:dyDescent="0.6">
      <c r="A252" s="599"/>
      <c r="B252" s="689" t="s">
        <v>120</v>
      </c>
      <c r="C252" s="686" t="s">
        <v>804</v>
      </c>
      <c r="D252" s="130"/>
      <c r="E252" s="114"/>
      <c r="F252" s="70"/>
      <c r="G252" s="1"/>
    </row>
    <row r="253" spans="1:7" s="123" customFormat="1" x14ac:dyDescent="0.6">
      <c r="A253" s="599" t="s">
        <v>1363</v>
      </c>
      <c r="B253" s="689" t="s">
        <v>117</v>
      </c>
      <c r="C253" s="599">
        <v>80138</v>
      </c>
      <c r="D253" s="130"/>
      <c r="E253" s="114"/>
      <c r="F253" s="70"/>
      <c r="G253" s="1"/>
    </row>
    <row r="254" spans="1:7" s="123" customFormat="1" x14ac:dyDescent="0.6">
      <c r="A254" s="599"/>
      <c r="B254" s="689" t="s">
        <v>809</v>
      </c>
      <c r="C254" s="686" t="s">
        <v>804</v>
      </c>
      <c r="D254" s="130"/>
      <c r="E254" s="114"/>
      <c r="F254" s="70"/>
      <c r="G254" s="1"/>
    </row>
    <row r="255" spans="1:7" s="123" customFormat="1" x14ac:dyDescent="0.6">
      <c r="A255" s="599"/>
      <c r="B255" s="689" t="s">
        <v>810</v>
      </c>
      <c r="C255" s="599">
        <v>96304</v>
      </c>
      <c r="D255" s="130"/>
      <c r="E255" s="114"/>
      <c r="F255" s="70"/>
      <c r="G255" s="1"/>
    </row>
    <row r="256" spans="1:7" s="123" customFormat="1" x14ac:dyDescent="0.6">
      <c r="A256" s="599"/>
      <c r="B256" s="689" t="s">
        <v>811</v>
      </c>
      <c r="C256" s="599">
        <v>95558</v>
      </c>
      <c r="D256" s="130"/>
      <c r="E256" s="114"/>
      <c r="F256" s="70"/>
      <c r="G256" s="1"/>
    </row>
    <row r="257" spans="1:7" s="123" customFormat="1" x14ac:dyDescent="0.6">
      <c r="A257" s="599"/>
      <c r="B257" s="689" t="s">
        <v>120</v>
      </c>
      <c r="C257" s="686" t="s">
        <v>804</v>
      </c>
      <c r="D257" s="130"/>
      <c r="E257" s="114"/>
      <c r="F257" s="70"/>
      <c r="G257" s="1"/>
    </row>
    <row r="258" spans="1:7" s="123" customFormat="1" x14ac:dyDescent="0.6">
      <c r="A258" s="599" t="s">
        <v>1389</v>
      </c>
      <c r="B258" s="689" t="s">
        <v>117</v>
      </c>
      <c r="C258" s="599">
        <v>5748048</v>
      </c>
      <c r="D258" s="130"/>
      <c r="E258" s="114"/>
      <c r="F258" s="70"/>
      <c r="G258" s="1"/>
    </row>
    <row r="259" spans="1:7" s="123" customFormat="1" x14ac:dyDescent="0.6">
      <c r="A259" s="599"/>
      <c r="B259" s="689" t="s">
        <v>810</v>
      </c>
      <c r="C259" s="599">
        <v>43170582</v>
      </c>
      <c r="D259" s="130"/>
      <c r="E259" s="114"/>
      <c r="F259" s="70"/>
      <c r="G259" s="1"/>
    </row>
    <row r="260" spans="1:7" s="123" customFormat="1" x14ac:dyDescent="0.6">
      <c r="A260" s="599"/>
      <c r="B260" s="689" t="s">
        <v>811</v>
      </c>
      <c r="C260" s="599">
        <v>3581371</v>
      </c>
      <c r="D260" s="130"/>
      <c r="E260" s="114"/>
      <c r="F260" s="70"/>
      <c r="G260" s="1"/>
    </row>
    <row r="261" spans="1:7" s="123" customFormat="1" x14ac:dyDescent="0.6">
      <c r="A261" s="599"/>
      <c r="B261" s="689" t="s">
        <v>120</v>
      </c>
      <c r="C261" s="686" t="s">
        <v>804</v>
      </c>
      <c r="D261" s="130"/>
      <c r="E261" s="114"/>
      <c r="F261" s="70"/>
      <c r="G261" s="1"/>
    </row>
    <row r="262" spans="1:7" s="123" customFormat="1" x14ac:dyDescent="0.6">
      <c r="A262" s="599" t="s">
        <v>1390</v>
      </c>
      <c r="B262" s="689" t="s">
        <v>117</v>
      </c>
      <c r="C262" s="686" t="s">
        <v>804</v>
      </c>
      <c r="D262" s="130"/>
      <c r="E262" s="114"/>
      <c r="F262" s="70"/>
      <c r="G262" s="1"/>
    </row>
    <row r="263" spans="1:7" s="123" customFormat="1" x14ac:dyDescent="0.6">
      <c r="A263" s="599"/>
      <c r="B263" s="689" t="s">
        <v>810</v>
      </c>
      <c r="C263" s="686" t="s">
        <v>804</v>
      </c>
      <c r="D263" s="130"/>
      <c r="E263" s="114"/>
      <c r="F263" s="70"/>
      <c r="G263" s="1"/>
    </row>
    <row r="264" spans="1:7" s="123" customFormat="1" x14ac:dyDescent="0.6">
      <c r="A264" s="599"/>
      <c r="B264" s="689" t="s">
        <v>811</v>
      </c>
      <c r="C264" s="686" t="s">
        <v>804</v>
      </c>
      <c r="D264" s="130"/>
      <c r="E264" s="114"/>
      <c r="F264" s="70"/>
      <c r="G264" s="1"/>
    </row>
    <row r="265" spans="1:7" s="123" customFormat="1" ht="15.9" thickBot="1" x14ac:dyDescent="0.65">
      <c r="A265" s="124"/>
      <c r="B265" s="690" t="s">
        <v>120</v>
      </c>
      <c r="C265" s="598" t="s">
        <v>804</v>
      </c>
      <c r="D265" s="131"/>
      <c r="E265" s="114"/>
      <c r="F265" s="70"/>
      <c r="G265" s="1"/>
    </row>
    <row r="266" spans="1:7" s="748" customFormat="1" ht="15.9" thickTop="1" x14ac:dyDescent="0.6">
      <c r="A266" s="1060" t="s">
        <v>7</v>
      </c>
      <c r="B266" s="688"/>
      <c r="C266" s="789">
        <f>SUM(C267:C295)</f>
        <v>38401452</v>
      </c>
      <c r="D266" s="724"/>
      <c r="E266" s="114"/>
      <c r="F266" s="70"/>
      <c r="G266" s="1"/>
    </row>
    <row r="267" spans="1:7" s="748" customFormat="1" x14ac:dyDescent="0.6">
      <c r="A267" s="599" t="s">
        <v>991</v>
      </c>
      <c r="B267" s="689" t="s">
        <v>810</v>
      </c>
      <c r="C267" s="599">
        <v>11616965</v>
      </c>
      <c r="D267" s="726"/>
      <c r="E267" s="114" t="s">
        <v>769</v>
      </c>
      <c r="F267" s="70"/>
      <c r="G267" s="1"/>
    </row>
    <row r="268" spans="1:7" s="748" customFormat="1" x14ac:dyDescent="0.6">
      <c r="A268" s="599"/>
      <c r="B268" s="689" t="s">
        <v>814</v>
      </c>
      <c r="C268" s="599">
        <v>7465867</v>
      </c>
      <c r="D268" s="726"/>
      <c r="E268" s="114" t="s">
        <v>769</v>
      </c>
      <c r="F268" s="70"/>
      <c r="G268" s="1"/>
    </row>
    <row r="269" spans="1:7" s="748" customFormat="1" x14ac:dyDescent="0.6">
      <c r="A269" s="599" t="s">
        <v>992</v>
      </c>
      <c r="B269" s="689" t="s">
        <v>810</v>
      </c>
      <c r="C269" s="599">
        <v>7392614</v>
      </c>
      <c r="D269" s="726"/>
      <c r="E269" s="114" t="s">
        <v>769</v>
      </c>
      <c r="F269" s="70"/>
      <c r="G269" s="1"/>
    </row>
    <row r="270" spans="1:7" s="748" customFormat="1" x14ac:dyDescent="0.6">
      <c r="A270" s="599"/>
      <c r="B270" s="689" t="s">
        <v>814</v>
      </c>
      <c r="C270" s="599">
        <v>4751006</v>
      </c>
      <c r="D270" s="726"/>
      <c r="E270" s="114" t="s">
        <v>769</v>
      </c>
      <c r="F270" s="70"/>
      <c r="G270" s="1"/>
    </row>
    <row r="271" spans="1:7" s="748" customFormat="1" x14ac:dyDescent="0.6">
      <c r="A271" s="599" t="s">
        <v>820</v>
      </c>
      <c r="B271" s="689" t="s">
        <v>810</v>
      </c>
      <c r="C271" s="599">
        <v>7000000</v>
      </c>
      <c r="D271" s="726"/>
      <c r="E271" s="114" t="s">
        <v>769</v>
      </c>
      <c r="F271" s="70"/>
      <c r="G271" s="1"/>
    </row>
    <row r="272" spans="1:7" s="748" customFormat="1" x14ac:dyDescent="0.6">
      <c r="A272" s="599" t="s">
        <v>1391</v>
      </c>
      <c r="B272" s="689" t="s">
        <v>809</v>
      </c>
      <c r="C272" s="686" t="s">
        <v>804</v>
      </c>
      <c r="D272" s="726"/>
      <c r="E272" s="114"/>
      <c r="F272" s="70"/>
      <c r="G272" s="1"/>
    </row>
    <row r="273" spans="1:7" s="748" customFormat="1" x14ac:dyDescent="0.6">
      <c r="A273" s="599"/>
      <c r="B273" s="689" t="s">
        <v>810</v>
      </c>
      <c r="C273" s="686" t="s">
        <v>804</v>
      </c>
      <c r="D273" s="726"/>
      <c r="E273" s="114"/>
      <c r="F273" s="70"/>
      <c r="G273" s="1"/>
    </row>
    <row r="274" spans="1:7" s="748" customFormat="1" x14ac:dyDescent="0.6">
      <c r="A274" s="599"/>
      <c r="B274" s="689" t="s">
        <v>120</v>
      </c>
      <c r="C274" s="686" t="s">
        <v>804</v>
      </c>
      <c r="D274" s="726"/>
      <c r="E274" s="114"/>
      <c r="F274" s="70"/>
      <c r="G274" s="1"/>
    </row>
    <row r="275" spans="1:7" s="748" customFormat="1" x14ac:dyDescent="0.6">
      <c r="A275" s="599" t="s">
        <v>1392</v>
      </c>
      <c r="B275" s="689" t="s">
        <v>809</v>
      </c>
      <c r="C275" s="686" t="s">
        <v>804</v>
      </c>
      <c r="D275" s="726"/>
      <c r="E275" s="114"/>
      <c r="F275" s="70"/>
      <c r="G275" s="1"/>
    </row>
    <row r="276" spans="1:7" s="748" customFormat="1" x14ac:dyDescent="0.6">
      <c r="A276" s="599"/>
      <c r="B276" s="689" t="s">
        <v>810</v>
      </c>
      <c r="C276" s="686" t="s">
        <v>804</v>
      </c>
      <c r="D276" s="726"/>
      <c r="E276" s="114"/>
      <c r="F276" s="70"/>
      <c r="G276" s="1"/>
    </row>
    <row r="277" spans="1:7" s="748" customFormat="1" x14ac:dyDescent="0.6">
      <c r="A277" s="599"/>
      <c r="B277" s="689" t="s">
        <v>120</v>
      </c>
      <c r="C277" s="686" t="s">
        <v>804</v>
      </c>
      <c r="D277" s="726"/>
      <c r="E277" s="114"/>
      <c r="F277" s="70"/>
      <c r="G277" s="1"/>
    </row>
    <row r="278" spans="1:7" s="748" customFormat="1" x14ac:dyDescent="0.6">
      <c r="A278" s="599" t="s">
        <v>1393</v>
      </c>
      <c r="B278" s="689" t="s">
        <v>809</v>
      </c>
      <c r="C278" s="686" t="s">
        <v>804</v>
      </c>
      <c r="D278" s="726"/>
      <c r="E278" s="114"/>
      <c r="F278" s="70"/>
      <c r="G278" s="1"/>
    </row>
    <row r="279" spans="1:7" s="748" customFormat="1" x14ac:dyDescent="0.6">
      <c r="A279" s="599"/>
      <c r="B279" s="689" t="s">
        <v>810</v>
      </c>
      <c r="C279" s="686" t="s">
        <v>804</v>
      </c>
      <c r="D279" s="726"/>
      <c r="E279" s="114"/>
      <c r="F279" s="70"/>
      <c r="G279" s="1"/>
    </row>
    <row r="280" spans="1:7" s="748" customFormat="1" x14ac:dyDescent="0.6">
      <c r="A280" s="599"/>
      <c r="B280" s="689" t="s">
        <v>120</v>
      </c>
      <c r="C280" s="686" t="s">
        <v>804</v>
      </c>
      <c r="D280" s="726"/>
      <c r="E280" s="114"/>
      <c r="F280" s="70"/>
      <c r="G280" s="1"/>
    </row>
    <row r="281" spans="1:7" s="748" customFormat="1" x14ac:dyDescent="0.6">
      <c r="A281" s="599" t="s">
        <v>1394</v>
      </c>
      <c r="B281" s="689" t="s">
        <v>809</v>
      </c>
      <c r="C281" s="686" t="s">
        <v>804</v>
      </c>
      <c r="D281" s="726"/>
      <c r="E281" s="114"/>
      <c r="F281" s="70"/>
      <c r="G281" s="1"/>
    </row>
    <row r="282" spans="1:7" s="748" customFormat="1" x14ac:dyDescent="0.6">
      <c r="A282" s="599"/>
      <c r="B282" s="689" t="s">
        <v>810</v>
      </c>
      <c r="C282" s="686" t="s">
        <v>804</v>
      </c>
      <c r="D282" s="726"/>
      <c r="E282" s="114"/>
      <c r="F282" s="70"/>
      <c r="G282" s="1"/>
    </row>
    <row r="283" spans="1:7" s="748" customFormat="1" x14ac:dyDescent="0.6">
      <c r="A283" s="599"/>
      <c r="B283" s="689" t="s">
        <v>120</v>
      </c>
      <c r="C283" s="686" t="s">
        <v>804</v>
      </c>
      <c r="D283" s="726"/>
      <c r="E283" s="114"/>
      <c r="F283" s="70"/>
      <c r="G283" s="1"/>
    </row>
    <row r="284" spans="1:7" s="748" customFormat="1" x14ac:dyDescent="0.6">
      <c r="A284" s="599" t="s">
        <v>1395</v>
      </c>
      <c r="B284" s="689" t="s">
        <v>809</v>
      </c>
      <c r="C284" s="686" t="s">
        <v>804</v>
      </c>
      <c r="D284" s="726"/>
      <c r="E284" s="114"/>
      <c r="F284" s="70"/>
      <c r="G284" s="1"/>
    </row>
    <row r="285" spans="1:7" s="748" customFormat="1" x14ac:dyDescent="0.6">
      <c r="A285" s="599"/>
      <c r="B285" s="689" t="s">
        <v>810</v>
      </c>
      <c r="C285" s="686" t="s">
        <v>804</v>
      </c>
      <c r="D285" s="726"/>
      <c r="E285" s="114"/>
      <c r="F285" s="70"/>
      <c r="G285" s="1"/>
    </row>
    <row r="286" spans="1:7" s="748" customFormat="1" x14ac:dyDescent="0.6">
      <c r="A286" s="599"/>
      <c r="B286" s="689" t="s">
        <v>120</v>
      </c>
      <c r="C286" s="686" t="s">
        <v>804</v>
      </c>
      <c r="D286" s="726"/>
      <c r="E286" s="114"/>
      <c r="F286" s="70"/>
      <c r="G286" s="1"/>
    </row>
    <row r="287" spans="1:7" s="748" customFormat="1" x14ac:dyDescent="0.6">
      <c r="A287" s="599" t="s">
        <v>1396</v>
      </c>
      <c r="B287" s="689" t="s">
        <v>809</v>
      </c>
      <c r="C287" s="686" t="s">
        <v>804</v>
      </c>
      <c r="D287" s="726"/>
      <c r="E287" s="114"/>
      <c r="F287" s="70"/>
      <c r="G287" s="1"/>
    </row>
    <row r="288" spans="1:7" s="748" customFormat="1" x14ac:dyDescent="0.6">
      <c r="A288" s="599"/>
      <c r="B288" s="689" t="s">
        <v>810</v>
      </c>
      <c r="C288" s="686" t="s">
        <v>804</v>
      </c>
      <c r="D288" s="726"/>
      <c r="E288" s="114"/>
      <c r="F288" s="70"/>
      <c r="G288" s="1"/>
    </row>
    <row r="289" spans="1:7" s="748" customFormat="1" x14ac:dyDescent="0.6">
      <c r="A289" s="599"/>
      <c r="B289" s="689" t="s">
        <v>120</v>
      </c>
      <c r="C289" s="686" t="s">
        <v>804</v>
      </c>
      <c r="D289" s="726"/>
      <c r="E289" s="114"/>
      <c r="F289" s="70"/>
      <c r="G289" s="1"/>
    </row>
    <row r="290" spans="1:7" s="748" customFormat="1" x14ac:dyDescent="0.6">
      <c r="A290" s="599" t="s">
        <v>1397</v>
      </c>
      <c r="B290" s="689" t="s">
        <v>809</v>
      </c>
      <c r="C290" s="686" t="s">
        <v>804</v>
      </c>
      <c r="D290" s="726"/>
      <c r="E290" s="114"/>
      <c r="F290" s="70"/>
      <c r="G290" s="1"/>
    </row>
    <row r="291" spans="1:7" s="748" customFormat="1" x14ac:dyDescent="0.6">
      <c r="A291" s="599"/>
      <c r="B291" s="689" t="s">
        <v>810</v>
      </c>
      <c r="C291" s="686" t="s">
        <v>804</v>
      </c>
      <c r="D291" s="726"/>
      <c r="E291" s="114"/>
      <c r="F291" s="70"/>
      <c r="G291" s="1"/>
    </row>
    <row r="292" spans="1:7" s="748" customFormat="1" x14ac:dyDescent="0.6">
      <c r="A292" s="599"/>
      <c r="B292" s="689" t="s">
        <v>120</v>
      </c>
      <c r="C292" s="686" t="s">
        <v>804</v>
      </c>
      <c r="D292" s="726"/>
      <c r="E292" s="114"/>
      <c r="F292" s="70"/>
      <c r="G292" s="1"/>
    </row>
    <row r="293" spans="1:7" s="748" customFormat="1" x14ac:dyDescent="0.6">
      <c r="A293" s="599" t="s">
        <v>1363</v>
      </c>
      <c r="B293" s="689" t="s">
        <v>809</v>
      </c>
      <c r="C293" s="686" t="s">
        <v>804</v>
      </c>
      <c r="D293" s="726"/>
      <c r="E293" s="114"/>
      <c r="F293" s="70"/>
      <c r="G293" s="1"/>
    </row>
    <row r="294" spans="1:7" s="748" customFormat="1" x14ac:dyDescent="0.6">
      <c r="A294" s="599"/>
      <c r="B294" s="689" t="s">
        <v>810</v>
      </c>
      <c r="C294" s="599">
        <v>175000</v>
      </c>
      <c r="D294" s="726"/>
      <c r="E294" s="114"/>
      <c r="F294" s="70"/>
      <c r="G294" s="1"/>
    </row>
    <row r="295" spans="1:7" s="123" customFormat="1" ht="15.9" thickBot="1" x14ac:dyDescent="0.65">
      <c r="A295" s="124"/>
      <c r="B295" s="690" t="s">
        <v>120</v>
      </c>
      <c r="C295" s="598" t="s">
        <v>804</v>
      </c>
      <c r="D295" s="131"/>
      <c r="E295" s="114"/>
      <c r="F295" s="70"/>
      <c r="G295" s="1"/>
    </row>
    <row r="296" spans="1:7" s="748" customFormat="1" ht="15.9" thickTop="1" x14ac:dyDescent="0.6">
      <c r="A296" s="1060" t="s">
        <v>8</v>
      </c>
      <c r="B296" s="688"/>
      <c r="C296" s="789">
        <f>SUM(C297:C319)</f>
        <v>342286642</v>
      </c>
      <c r="D296" s="724"/>
      <c r="E296" s="114"/>
      <c r="F296" s="70"/>
      <c r="G296" s="1"/>
    </row>
    <row r="297" spans="1:7" s="123" customFormat="1" x14ac:dyDescent="0.6">
      <c r="A297" s="599" t="s">
        <v>821</v>
      </c>
      <c r="B297" s="689" t="s">
        <v>819</v>
      </c>
      <c r="C297" s="660">
        <v>119000000</v>
      </c>
      <c r="D297" s="130"/>
      <c r="E297" s="114"/>
      <c r="F297" s="70"/>
      <c r="G297" s="1"/>
    </row>
    <row r="298" spans="1:7" s="123" customFormat="1" x14ac:dyDescent="0.6">
      <c r="A298" s="599" t="s">
        <v>1005</v>
      </c>
      <c r="B298" s="689" t="s">
        <v>117</v>
      </c>
      <c r="C298" s="660">
        <v>2955665</v>
      </c>
      <c r="D298" s="130"/>
      <c r="E298" s="114"/>
      <c r="F298" s="70"/>
      <c r="G298" s="1"/>
    </row>
    <row r="299" spans="1:7" s="123" customFormat="1" x14ac:dyDescent="0.6">
      <c r="A299" s="599"/>
      <c r="B299" s="689" t="s">
        <v>810</v>
      </c>
      <c r="C299" s="660">
        <v>16531980</v>
      </c>
      <c r="D299" s="130"/>
      <c r="E299" s="114"/>
      <c r="F299" s="70"/>
      <c r="G299" s="1"/>
    </row>
    <row r="300" spans="1:7" s="123" customFormat="1" x14ac:dyDescent="0.6">
      <c r="A300" s="599"/>
      <c r="B300" s="689" t="s">
        <v>819</v>
      </c>
      <c r="C300" s="660">
        <v>14706045</v>
      </c>
      <c r="D300" s="130"/>
      <c r="E300" s="114"/>
      <c r="F300" s="70"/>
      <c r="G300" s="1"/>
    </row>
    <row r="301" spans="1:7" s="123" customFormat="1" x14ac:dyDescent="0.6">
      <c r="A301" s="599"/>
      <c r="B301" s="689" t="s">
        <v>1400</v>
      </c>
      <c r="C301" s="660">
        <v>9861198</v>
      </c>
      <c r="D301" s="130"/>
      <c r="E301" s="114"/>
      <c r="F301" s="70"/>
      <c r="G301" s="1"/>
    </row>
    <row r="302" spans="1:7" s="123" customFormat="1" x14ac:dyDescent="0.6">
      <c r="A302" s="599"/>
      <c r="B302" s="689" t="s">
        <v>816</v>
      </c>
      <c r="C302" s="660">
        <v>1399555</v>
      </c>
      <c r="D302" s="130"/>
      <c r="E302" s="114"/>
      <c r="F302" s="70"/>
      <c r="G302" s="1"/>
    </row>
    <row r="303" spans="1:7" s="123" customFormat="1" x14ac:dyDescent="0.6">
      <c r="A303" s="599" t="s">
        <v>1363</v>
      </c>
      <c r="B303" s="689" t="s">
        <v>810</v>
      </c>
      <c r="C303" s="686" t="s">
        <v>804</v>
      </c>
      <c r="D303" s="130"/>
      <c r="E303" s="114"/>
      <c r="F303" s="70"/>
      <c r="G303" s="1"/>
    </row>
    <row r="304" spans="1:7" s="123" customFormat="1" x14ac:dyDescent="0.6">
      <c r="A304" s="599" t="s">
        <v>735</v>
      </c>
      <c r="B304" s="689" t="s">
        <v>117</v>
      </c>
      <c r="C304" s="686" t="s">
        <v>804</v>
      </c>
      <c r="D304" s="130"/>
      <c r="E304" s="114" t="s">
        <v>769</v>
      </c>
      <c r="F304" s="70"/>
      <c r="G304" s="1"/>
    </row>
    <row r="305" spans="1:7" s="123" customFormat="1" x14ac:dyDescent="0.6">
      <c r="A305" s="599"/>
      <c r="B305" s="689" t="s">
        <v>809</v>
      </c>
      <c r="C305" s="686" t="s">
        <v>804</v>
      </c>
      <c r="D305" s="130"/>
      <c r="E305" s="114" t="s">
        <v>769</v>
      </c>
      <c r="F305" s="70"/>
      <c r="G305" s="1"/>
    </row>
    <row r="306" spans="1:7" s="123" customFormat="1" x14ac:dyDescent="0.6">
      <c r="A306" s="599"/>
      <c r="B306" s="689" t="s">
        <v>810</v>
      </c>
      <c r="C306" s="686" t="s">
        <v>804</v>
      </c>
      <c r="D306" s="130"/>
      <c r="E306" s="114" t="s">
        <v>769</v>
      </c>
      <c r="F306" s="70"/>
      <c r="G306" s="1"/>
    </row>
    <row r="307" spans="1:7" s="123" customFormat="1" x14ac:dyDescent="0.6">
      <c r="A307" s="599"/>
      <c r="B307" s="689" t="s">
        <v>811</v>
      </c>
      <c r="C307" s="686" t="s">
        <v>804</v>
      </c>
      <c r="D307" s="130"/>
      <c r="E307" s="114" t="s">
        <v>769</v>
      </c>
      <c r="F307" s="70"/>
      <c r="G307" s="1"/>
    </row>
    <row r="308" spans="1:7" s="123" customFormat="1" x14ac:dyDescent="0.6">
      <c r="A308" s="599"/>
      <c r="B308" s="689" t="s">
        <v>120</v>
      </c>
      <c r="C308" s="686" t="s">
        <v>804</v>
      </c>
      <c r="D308" s="130"/>
      <c r="E308" s="114" t="s">
        <v>769</v>
      </c>
      <c r="F308" s="70"/>
      <c r="G308" s="1"/>
    </row>
    <row r="309" spans="1:7" s="123" customFormat="1" x14ac:dyDescent="0.6">
      <c r="A309" s="599"/>
      <c r="B309" s="689" t="s">
        <v>819</v>
      </c>
      <c r="C309" s="686" t="s">
        <v>804</v>
      </c>
      <c r="D309" s="130"/>
      <c r="E309" s="114" t="s">
        <v>769</v>
      </c>
      <c r="F309" s="70"/>
      <c r="G309" s="1"/>
    </row>
    <row r="310" spans="1:7" s="123" customFormat="1" x14ac:dyDescent="0.6">
      <c r="A310" s="599" t="s">
        <v>1401</v>
      </c>
      <c r="B310" s="689" t="s">
        <v>810</v>
      </c>
      <c r="C310" s="660">
        <v>118101454</v>
      </c>
      <c r="D310" s="130"/>
      <c r="E310" s="114" t="s">
        <v>769</v>
      </c>
      <c r="F310" s="70"/>
      <c r="G310" s="1"/>
    </row>
    <row r="311" spans="1:7" s="123" customFormat="1" x14ac:dyDescent="0.6">
      <c r="A311" s="599"/>
      <c r="B311" s="689" t="s">
        <v>819</v>
      </c>
      <c r="C311" s="660">
        <v>59730745</v>
      </c>
      <c r="D311" s="130"/>
      <c r="E311" s="114" t="s">
        <v>769</v>
      </c>
      <c r="F311" s="70"/>
      <c r="G311" s="1"/>
    </row>
    <row r="312" spans="1:7" s="123" customFormat="1" x14ac:dyDescent="0.6">
      <c r="A312" s="599" t="s">
        <v>1402</v>
      </c>
      <c r="B312" s="689" t="s">
        <v>117</v>
      </c>
      <c r="C312" s="686" t="s">
        <v>804</v>
      </c>
      <c r="D312" s="130"/>
      <c r="E312" s="114" t="s">
        <v>769</v>
      </c>
      <c r="F312" s="70"/>
      <c r="G312" s="1"/>
    </row>
    <row r="313" spans="1:7" s="123" customFormat="1" x14ac:dyDescent="0.6">
      <c r="A313" s="599"/>
      <c r="B313" s="689" t="s">
        <v>809</v>
      </c>
      <c r="C313" s="686" t="s">
        <v>804</v>
      </c>
      <c r="D313" s="130"/>
      <c r="E313" s="114" t="s">
        <v>769</v>
      </c>
      <c r="F313" s="70"/>
      <c r="G313" s="1"/>
    </row>
    <row r="314" spans="1:7" s="123" customFormat="1" x14ac:dyDescent="0.6">
      <c r="A314" s="599"/>
      <c r="B314" s="689" t="s">
        <v>810</v>
      </c>
      <c r="C314" s="686" t="s">
        <v>804</v>
      </c>
      <c r="D314" s="130"/>
      <c r="E314" s="114" t="s">
        <v>769</v>
      </c>
      <c r="F314" s="70"/>
      <c r="G314" s="1"/>
    </row>
    <row r="315" spans="1:7" s="123" customFormat="1" x14ac:dyDescent="0.6">
      <c r="A315" s="599"/>
      <c r="B315" s="689" t="s">
        <v>811</v>
      </c>
      <c r="C315" s="686" t="s">
        <v>804</v>
      </c>
      <c r="D315" s="130"/>
      <c r="E315" s="114" t="s">
        <v>769</v>
      </c>
      <c r="F315" s="70"/>
      <c r="G315" s="1"/>
    </row>
    <row r="316" spans="1:7" s="123" customFormat="1" x14ac:dyDescent="0.6">
      <c r="A316" s="599"/>
      <c r="B316" s="689" t="s">
        <v>120</v>
      </c>
      <c r="C316" s="686" t="s">
        <v>804</v>
      </c>
      <c r="D316" s="130"/>
      <c r="E316" s="114" t="s">
        <v>769</v>
      </c>
      <c r="F316" s="70"/>
      <c r="G316" s="1"/>
    </row>
    <row r="317" spans="1:7" s="123" customFormat="1" x14ac:dyDescent="0.6">
      <c r="A317" s="599"/>
      <c r="B317" s="689" t="s">
        <v>819</v>
      </c>
      <c r="C317" s="686" t="s">
        <v>804</v>
      </c>
      <c r="D317" s="130"/>
      <c r="E317" s="114" t="s">
        <v>769</v>
      </c>
      <c r="F317" s="70"/>
      <c r="G317" s="1"/>
    </row>
    <row r="318" spans="1:7" s="123" customFormat="1" x14ac:dyDescent="0.6">
      <c r="A318" s="599" t="s">
        <v>1403</v>
      </c>
      <c r="B318" s="689" t="s">
        <v>810</v>
      </c>
      <c r="C318" s="686" t="s">
        <v>804</v>
      </c>
      <c r="D318" s="130"/>
      <c r="E318" s="114" t="s">
        <v>769</v>
      </c>
      <c r="F318" s="70"/>
      <c r="G318" s="1"/>
    </row>
    <row r="319" spans="1:7" s="123" customFormat="1" ht="15.9" thickBot="1" x14ac:dyDescent="0.65">
      <c r="A319" s="124"/>
      <c r="B319" s="690" t="s">
        <v>819</v>
      </c>
      <c r="C319" s="598" t="s">
        <v>804</v>
      </c>
      <c r="D319" s="131"/>
      <c r="E319" s="114" t="s">
        <v>769</v>
      </c>
      <c r="F319" s="70"/>
      <c r="G319" s="1"/>
    </row>
    <row r="320" spans="1:7" s="748" customFormat="1" ht="15.9" thickTop="1" x14ac:dyDescent="0.6">
      <c r="A320" s="1060" t="s">
        <v>9</v>
      </c>
      <c r="B320" s="688"/>
      <c r="C320" s="789">
        <f>SUM(C321:C330)</f>
        <v>779404069</v>
      </c>
      <c r="D320" s="724"/>
      <c r="E320" s="114"/>
      <c r="F320" s="70"/>
      <c r="G320" s="1"/>
    </row>
    <row r="321" spans="1:7" s="123" customFormat="1" x14ac:dyDescent="0.6">
      <c r="A321" s="599" t="s">
        <v>1398</v>
      </c>
      <c r="B321" s="689" t="s">
        <v>810</v>
      </c>
      <c r="C321" s="599">
        <v>30219788</v>
      </c>
      <c r="D321" s="130"/>
      <c r="E321" s="114" t="s">
        <v>769</v>
      </c>
      <c r="F321" s="70"/>
      <c r="G321" s="1"/>
    </row>
    <row r="322" spans="1:7" s="123" customFormat="1" x14ac:dyDescent="0.6">
      <c r="A322" s="599"/>
      <c r="B322" s="689" t="s">
        <v>811</v>
      </c>
      <c r="C322" s="599">
        <v>680212</v>
      </c>
      <c r="D322" s="130"/>
      <c r="E322" s="114" t="s">
        <v>769</v>
      </c>
      <c r="F322" s="70"/>
      <c r="G322" s="1"/>
    </row>
    <row r="323" spans="1:7" s="123" customFormat="1" x14ac:dyDescent="0.6">
      <c r="A323" s="599" t="s">
        <v>1399</v>
      </c>
      <c r="B323" s="689" t="s">
        <v>809</v>
      </c>
      <c r="C323" s="599">
        <v>310000000</v>
      </c>
      <c r="D323" s="130"/>
      <c r="E323" s="114"/>
      <c r="F323" s="70"/>
      <c r="G323" s="1"/>
    </row>
    <row r="324" spans="1:7" s="123" customFormat="1" x14ac:dyDescent="0.6">
      <c r="A324" s="599" t="s">
        <v>1363</v>
      </c>
      <c r="B324" s="689" t="s">
        <v>810</v>
      </c>
      <c r="C324" s="686" t="s">
        <v>804</v>
      </c>
      <c r="D324" s="130"/>
      <c r="E324" s="114"/>
      <c r="F324" s="70"/>
      <c r="G324" s="1"/>
    </row>
    <row r="325" spans="1:7" s="123" customFormat="1" x14ac:dyDescent="0.6">
      <c r="A325" s="599" t="s">
        <v>1234</v>
      </c>
      <c r="B325" s="689"/>
      <c r="C325" s="599">
        <v>213176413</v>
      </c>
      <c r="D325" s="130"/>
      <c r="E325" s="114"/>
      <c r="F325" s="70"/>
      <c r="G325" s="1"/>
    </row>
    <row r="326" spans="1:7" s="123" customFormat="1" x14ac:dyDescent="0.6">
      <c r="A326" s="599"/>
      <c r="B326" s="689" t="s">
        <v>811</v>
      </c>
      <c r="C326" s="599">
        <v>4798348</v>
      </c>
      <c r="D326" s="130"/>
      <c r="E326" s="114"/>
      <c r="F326" s="70"/>
      <c r="G326" s="1"/>
    </row>
    <row r="327" spans="1:7" s="123" customFormat="1" x14ac:dyDescent="0.6">
      <c r="A327" s="599"/>
      <c r="B327" s="689" t="s">
        <v>120</v>
      </c>
      <c r="C327" s="686" t="s">
        <v>804</v>
      </c>
      <c r="D327" s="130"/>
      <c r="E327" s="114"/>
      <c r="F327" s="70"/>
      <c r="G327" s="1"/>
    </row>
    <row r="328" spans="1:7" s="123" customFormat="1" x14ac:dyDescent="0.6">
      <c r="A328" s="599" t="s">
        <v>1013</v>
      </c>
      <c r="B328" s="689" t="s">
        <v>810</v>
      </c>
      <c r="C328" s="599">
        <v>215674726</v>
      </c>
      <c r="D328" s="130"/>
      <c r="E328" s="114"/>
      <c r="F328" s="70"/>
      <c r="G328" s="1"/>
    </row>
    <row r="329" spans="1:7" s="123" customFormat="1" x14ac:dyDescent="0.6">
      <c r="A329" s="599"/>
      <c r="B329" s="689" t="s">
        <v>811</v>
      </c>
      <c r="C329" s="599">
        <v>4854582</v>
      </c>
      <c r="D329" s="130"/>
      <c r="E329" s="114"/>
      <c r="F329" s="70"/>
      <c r="G329" s="1"/>
    </row>
    <row r="330" spans="1:7" s="123" customFormat="1" ht="15.9" thickBot="1" x14ac:dyDescent="0.65">
      <c r="A330" s="124"/>
      <c r="B330" s="690" t="s">
        <v>120</v>
      </c>
      <c r="C330" s="598" t="s">
        <v>804</v>
      </c>
      <c r="D330" s="131"/>
      <c r="E330" s="114"/>
      <c r="F330" s="70"/>
      <c r="G330" s="1"/>
    </row>
    <row r="331" spans="1:7" s="748" customFormat="1" ht="15.9" thickTop="1" x14ac:dyDescent="0.6">
      <c r="A331" s="1060" t="s">
        <v>10</v>
      </c>
      <c r="B331" s="688"/>
      <c r="C331" s="789"/>
      <c r="D331" s="724"/>
      <c r="E331" s="114"/>
      <c r="F331" s="70"/>
      <c r="G331" s="1"/>
    </row>
    <row r="332" spans="1:7" s="123" customFormat="1" x14ac:dyDescent="0.6">
      <c r="A332" s="599" t="s">
        <v>1404</v>
      </c>
      <c r="B332" s="689" t="s">
        <v>117</v>
      </c>
      <c r="C332" s="686" t="s">
        <v>804</v>
      </c>
      <c r="D332" s="130"/>
      <c r="E332" s="114" t="s">
        <v>769</v>
      </c>
      <c r="F332" s="70"/>
      <c r="G332" s="1"/>
    </row>
    <row r="333" spans="1:7" s="123" customFormat="1" x14ac:dyDescent="0.6">
      <c r="A333" s="599"/>
      <c r="B333" s="689" t="s">
        <v>809</v>
      </c>
      <c r="C333" s="686" t="s">
        <v>804</v>
      </c>
      <c r="D333" s="130"/>
      <c r="E333" s="114" t="s">
        <v>769</v>
      </c>
      <c r="F333" s="70"/>
      <c r="G333" s="1"/>
    </row>
    <row r="334" spans="1:7" s="123" customFormat="1" x14ac:dyDescent="0.6">
      <c r="A334" s="599"/>
      <c r="B334" s="689" t="s">
        <v>810</v>
      </c>
      <c r="C334" s="686" t="s">
        <v>804</v>
      </c>
      <c r="D334" s="130"/>
      <c r="E334" s="114" t="s">
        <v>769</v>
      </c>
      <c r="F334" s="70"/>
      <c r="G334" s="1"/>
    </row>
    <row r="335" spans="1:7" s="123" customFormat="1" x14ac:dyDescent="0.6">
      <c r="A335" s="599" t="s">
        <v>1405</v>
      </c>
      <c r="B335" s="689" t="s">
        <v>117</v>
      </c>
      <c r="C335" s="686" t="s">
        <v>804</v>
      </c>
      <c r="D335" s="130"/>
      <c r="E335" s="114" t="s">
        <v>769</v>
      </c>
      <c r="F335" s="70"/>
      <c r="G335" s="1"/>
    </row>
    <row r="336" spans="1:7" s="123" customFormat="1" x14ac:dyDescent="0.6">
      <c r="A336" s="599"/>
      <c r="B336" s="689" t="s">
        <v>809</v>
      </c>
      <c r="C336" s="686" t="s">
        <v>804</v>
      </c>
      <c r="D336" s="130"/>
      <c r="E336" s="114" t="s">
        <v>769</v>
      </c>
      <c r="F336" s="70"/>
      <c r="G336" s="1"/>
    </row>
    <row r="337" spans="1:7" s="123" customFormat="1" ht="15.9" thickBot="1" x14ac:dyDescent="0.65">
      <c r="A337" s="124"/>
      <c r="B337" s="690" t="s">
        <v>810</v>
      </c>
      <c r="C337" s="598" t="s">
        <v>804</v>
      </c>
      <c r="D337" s="131"/>
      <c r="E337" s="114" t="s">
        <v>769</v>
      </c>
      <c r="F337" s="70"/>
      <c r="G337" s="1"/>
    </row>
    <row r="338" spans="1:7" s="748" customFormat="1" ht="15.9" thickTop="1" x14ac:dyDescent="0.6">
      <c r="A338" s="1060" t="s">
        <v>11</v>
      </c>
      <c r="B338" s="688"/>
      <c r="C338" s="749">
        <f>SUM(C339:C351)</f>
        <v>19881914429</v>
      </c>
      <c r="D338" s="724"/>
      <c r="E338" s="114"/>
      <c r="F338" s="70"/>
      <c r="G338" s="1"/>
    </row>
    <row r="339" spans="1:7" s="123" customFormat="1" x14ac:dyDescent="0.6">
      <c r="A339" s="599" t="s">
        <v>1208</v>
      </c>
      <c r="B339" s="689" t="s">
        <v>810</v>
      </c>
      <c r="C339" s="830">
        <v>133068327</v>
      </c>
      <c r="D339" s="832"/>
      <c r="E339" s="114"/>
      <c r="F339" s="70"/>
      <c r="G339" s="1"/>
    </row>
    <row r="340" spans="1:7" s="123" customFormat="1" x14ac:dyDescent="0.6">
      <c r="A340" s="599"/>
      <c r="B340" s="689" t="s">
        <v>811</v>
      </c>
      <c r="C340" s="1402" t="s">
        <v>804</v>
      </c>
      <c r="D340" s="633"/>
      <c r="E340" s="114"/>
      <c r="F340" s="70"/>
      <c r="G340" s="1"/>
    </row>
    <row r="341" spans="1:7" s="123" customFormat="1" x14ac:dyDescent="0.6">
      <c r="A341" s="599"/>
      <c r="B341" s="689" t="s">
        <v>120</v>
      </c>
      <c r="C341" s="829">
        <v>281468689</v>
      </c>
      <c r="D341" s="633"/>
      <c r="E341" s="114"/>
      <c r="F341" s="70"/>
      <c r="G341" s="1"/>
    </row>
    <row r="342" spans="1:7" s="123" customFormat="1" x14ac:dyDescent="0.6">
      <c r="A342" s="599" t="s">
        <v>575</v>
      </c>
      <c r="B342" s="689" t="s">
        <v>120</v>
      </c>
      <c r="C342" s="1402" t="s">
        <v>804</v>
      </c>
      <c r="D342" s="633"/>
      <c r="E342" s="114"/>
      <c r="F342" s="70"/>
      <c r="G342" s="1"/>
    </row>
    <row r="343" spans="1:7" s="123" customFormat="1" x14ac:dyDescent="0.6">
      <c r="A343" s="599" t="s">
        <v>1207</v>
      </c>
      <c r="B343" s="689" t="s">
        <v>810</v>
      </c>
      <c r="C343" s="1402" t="s">
        <v>804</v>
      </c>
      <c r="D343" s="633"/>
      <c r="E343" s="114"/>
      <c r="F343" s="70"/>
      <c r="G343" s="1"/>
    </row>
    <row r="344" spans="1:7" s="123" customFormat="1" x14ac:dyDescent="0.6">
      <c r="A344" s="599"/>
      <c r="B344" s="689" t="s">
        <v>811</v>
      </c>
      <c r="C344" s="1402" t="s">
        <v>804</v>
      </c>
      <c r="D344" s="633"/>
      <c r="E344" s="114"/>
      <c r="F344" s="70"/>
      <c r="G344" s="1"/>
    </row>
    <row r="345" spans="1:7" s="123" customFormat="1" x14ac:dyDescent="0.6">
      <c r="A345" s="599"/>
      <c r="B345" s="689" t="s">
        <v>120</v>
      </c>
      <c r="C345" s="1402" t="s">
        <v>804</v>
      </c>
      <c r="D345" s="633"/>
      <c r="E345" s="114"/>
      <c r="F345" s="70"/>
      <c r="G345" s="1"/>
    </row>
    <row r="346" spans="1:7" s="123" customFormat="1" x14ac:dyDescent="0.6">
      <c r="A346" s="599" t="s">
        <v>1406</v>
      </c>
      <c r="B346" s="689"/>
      <c r="C346" s="829">
        <v>10009700000</v>
      </c>
      <c r="D346" s="633"/>
      <c r="E346" s="114"/>
      <c r="F346" s="70"/>
      <c r="G346" s="1"/>
    </row>
    <row r="347" spans="1:7" s="123" customFormat="1" x14ac:dyDescent="0.6">
      <c r="A347" s="599" t="s">
        <v>1407</v>
      </c>
      <c r="B347" s="689"/>
      <c r="C347" s="829">
        <v>9188200000</v>
      </c>
      <c r="D347" s="633"/>
      <c r="E347" s="114"/>
      <c r="F347" s="70"/>
      <c r="G347" s="1"/>
    </row>
    <row r="348" spans="1:7" s="123" customFormat="1" x14ac:dyDescent="0.6">
      <c r="A348" s="599" t="s">
        <v>1363</v>
      </c>
      <c r="B348" s="689"/>
      <c r="C348" s="1402" t="s">
        <v>804</v>
      </c>
      <c r="D348" s="633"/>
      <c r="E348" s="114"/>
      <c r="F348" s="70"/>
      <c r="G348" s="1"/>
    </row>
    <row r="349" spans="1:7" s="123" customFormat="1" x14ac:dyDescent="0.6">
      <c r="A349" s="599" t="s">
        <v>317</v>
      </c>
      <c r="B349" s="689" t="s">
        <v>810</v>
      </c>
      <c r="C349" s="829">
        <v>86503514</v>
      </c>
      <c r="D349" s="633"/>
      <c r="E349" s="114" t="s">
        <v>769</v>
      </c>
      <c r="F349" s="70"/>
      <c r="G349" s="1"/>
    </row>
    <row r="350" spans="1:7" s="123" customFormat="1" x14ac:dyDescent="0.6">
      <c r="A350" s="599"/>
      <c r="B350" s="689" t="s">
        <v>811</v>
      </c>
      <c r="C350" s="1402" t="s">
        <v>804</v>
      </c>
      <c r="D350" s="633"/>
      <c r="E350" s="114" t="s">
        <v>769</v>
      </c>
      <c r="F350" s="70"/>
      <c r="G350" s="1"/>
    </row>
    <row r="351" spans="1:7" s="123" customFormat="1" ht="15.9" thickBot="1" x14ac:dyDescent="0.65">
      <c r="A351" s="124"/>
      <c r="B351" s="690" t="s">
        <v>120</v>
      </c>
      <c r="C351" s="831">
        <v>182973899</v>
      </c>
      <c r="D351" s="635"/>
      <c r="E351" s="114" t="s">
        <v>769</v>
      </c>
      <c r="F351" s="70"/>
      <c r="G351" s="1"/>
    </row>
    <row r="352" spans="1:7" s="748" customFormat="1" ht="15.9" thickTop="1" x14ac:dyDescent="0.6">
      <c r="A352" s="1060" t="s">
        <v>12</v>
      </c>
      <c r="B352" s="688"/>
      <c r="C352" s="789"/>
      <c r="D352" s="724"/>
      <c r="E352" s="114"/>
      <c r="F352" s="70"/>
      <c r="G352" s="1"/>
    </row>
    <row r="353" spans="1:7" s="123" customFormat="1" ht="15.9" thickBot="1" x14ac:dyDescent="0.65">
      <c r="A353" s="124"/>
      <c r="B353" s="690"/>
      <c r="C353" s="124"/>
      <c r="D353" s="131"/>
      <c r="E353" s="114"/>
      <c r="F353" s="70"/>
      <c r="G353" s="1"/>
    </row>
    <row r="354" spans="1:7" s="748" customFormat="1" ht="15.9" thickTop="1" x14ac:dyDescent="0.6">
      <c r="A354" s="1060" t="s">
        <v>13</v>
      </c>
      <c r="B354" s="688"/>
      <c r="C354" s="789"/>
      <c r="D354" s="724"/>
      <c r="E354" s="114"/>
      <c r="F354" s="70"/>
      <c r="G354" s="1"/>
    </row>
    <row r="355" spans="1:7" s="123" customFormat="1" x14ac:dyDescent="0.6">
      <c r="A355" s="599" t="s">
        <v>721</v>
      </c>
      <c r="B355" s="689" t="s">
        <v>810</v>
      </c>
      <c r="C355" s="686" t="s">
        <v>804</v>
      </c>
      <c r="D355" s="130"/>
      <c r="E355" s="114" t="s">
        <v>769</v>
      </c>
      <c r="F355" s="70"/>
      <c r="G355" s="1"/>
    </row>
    <row r="356" spans="1:7" s="123" customFormat="1" x14ac:dyDescent="0.6">
      <c r="A356" s="599"/>
      <c r="B356" s="689" t="s">
        <v>814</v>
      </c>
      <c r="C356" s="686" t="s">
        <v>804</v>
      </c>
      <c r="D356" s="130"/>
      <c r="E356" s="114" t="s">
        <v>769</v>
      </c>
      <c r="F356" s="70"/>
      <c r="G356" s="1"/>
    </row>
    <row r="357" spans="1:7" s="123" customFormat="1" ht="15.9" thickBot="1" x14ac:dyDescent="0.65">
      <c r="A357" s="124" t="s">
        <v>1408</v>
      </c>
      <c r="B357" s="690" t="s">
        <v>120</v>
      </c>
      <c r="C357" s="598" t="s">
        <v>804</v>
      </c>
      <c r="D357" s="131"/>
      <c r="E357" s="114"/>
      <c r="F357" s="70"/>
      <c r="G357" s="1"/>
    </row>
    <row r="358" spans="1:7" s="748" customFormat="1" ht="15.9" thickTop="1" x14ac:dyDescent="0.6">
      <c r="A358" s="1060" t="s">
        <v>14</v>
      </c>
      <c r="B358" s="688"/>
      <c r="C358" s="777">
        <f>SUM(C359:C407)</f>
        <v>1743490231</v>
      </c>
      <c r="D358" s="778"/>
      <c r="E358" s="114"/>
      <c r="F358" s="70"/>
      <c r="G358" s="1"/>
    </row>
    <row r="359" spans="1:7" s="748" customFormat="1" x14ac:dyDescent="0.6">
      <c r="A359" s="599" t="s">
        <v>1409</v>
      </c>
      <c r="B359" s="689" t="s">
        <v>117</v>
      </c>
      <c r="C359" s="1402" t="s">
        <v>804</v>
      </c>
      <c r="D359" s="1403"/>
      <c r="E359" s="114"/>
      <c r="F359" s="70"/>
      <c r="G359" s="1"/>
    </row>
    <row r="360" spans="1:7" s="748" customFormat="1" x14ac:dyDescent="0.6">
      <c r="A360" s="599"/>
      <c r="B360" s="689" t="s">
        <v>809</v>
      </c>
      <c r="C360" s="779">
        <v>49761084</v>
      </c>
      <c r="D360" s="1403"/>
      <c r="E360" s="114"/>
      <c r="F360" s="70"/>
      <c r="G360" s="1"/>
    </row>
    <row r="361" spans="1:7" s="748" customFormat="1" x14ac:dyDescent="0.6">
      <c r="A361" s="599"/>
      <c r="B361" s="689" t="s">
        <v>810</v>
      </c>
      <c r="C361" s="779">
        <v>175785016</v>
      </c>
      <c r="D361" s="1403"/>
      <c r="E361" s="114"/>
      <c r="F361" s="70"/>
      <c r="G361" s="1"/>
    </row>
    <row r="362" spans="1:7" s="748" customFormat="1" x14ac:dyDescent="0.6">
      <c r="A362" s="599" t="s">
        <v>1410</v>
      </c>
      <c r="B362" s="689" t="s">
        <v>117</v>
      </c>
      <c r="C362" s="1402" t="s">
        <v>804</v>
      </c>
      <c r="D362" s="1403"/>
      <c r="E362" s="114"/>
      <c r="F362" s="70"/>
      <c r="G362" s="1"/>
    </row>
    <row r="363" spans="1:7" s="748" customFormat="1" x14ac:dyDescent="0.6">
      <c r="A363" s="599"/>
      <c r="B363" s="689" t="s">
        <v>809</v>
      </c>
      <c r="C363" s="779">
        <v>1144006</v>
      </c>
      <c r="D363" s="1403"/>
      <c r="E363" s="114"/>
      <c r="F363" s="70"/>
      <c r="G363" s="1"/>
    </row>
    <row r="364" spans="1:7" s="748" customFormat="1" x14ac:dyDescent="0.6">
      <c r="A364" s="599"/>
      <c r="B364" s="689" t="s">
        <v>810</v>
      </c>
      <c r="C364" s="779">
        <v>4041294</v>
      </c>
      <c r="D364" s="1403"/>
      <c r="E364" s="114"/>
      <c r="F364" s="70"/>
      <c r="G364" s="1"/>
    </row>
    <row r="365" spans="1:7" s="748" customFormat="1" x14ac:dyDescent="0.6">
      <c r="A365" s="599" t="s">
        <v>1411</v>
      </c>
      <c r="B365" s="689" t="s">
        <v>117</v>
      </c>
      <c r="C365" s="1402" t="s">
        <v>804</v>
      </c>
      <c r="D365" s="1403"/>
      <c r="E365" s="114"/>
      <c r="F365" s="70"/>
      <c r="G365" s="1"/>
    </row>
    <row r="366" spans="1:7" s="748" customFormat="1" x14ac:dyDescent="0.6">
      <c r="A366" s="599"/>
      <c r="B366" s="689" t="s">
        <v>809</v>
      </c>
      <c r="C366" s="1402" t="s">
        <v>804</v>
      </c>
      <c r="D366" s="1403"/>
      <c r="E366" s="114"/>
      <c r="F366" s="70"/>
      <c r="G366" s="1"/>
    </row>
    <row r="367" spans="1:7" s="748" customFormat="1" x14ac:dyDescent="0.6">
      <c r="A367" s="599"/>
      <c r="B367" s="689" t="s">
        <v>810</v>
      </c>
      <c r="C367" s="1402" t="s">
        <v>804</v>
      </c>
      <c r="D367" s="1403"/>
      <c r="E367" s="114"/>
      <c r="F367" s="70"/>
      <c r="G367" s="1"/>
    </row>
    <row r="368" spans="1:7" s="748" customFormat="1" x14ac:dyDescent="0.6">
      <c r="A368" s="599" t="s">
        <v>1412</v>
      </c>
      <c r="B368" s="689" t="s">
        <v>117</v>
      </c>
      <c r="C368" s="1402" t="s">
        <v>804</v>
      </c>
      <c r="D368" s="1403"/>
      <c r="E368" s="114"/>
      <c r="F368" s="70"/>
      <c r="G368" s="1"/>
    </row>
    <row r="369" spans="1:7" s="748" customFormat="1" x14ac:dyDescent="0.6">
      <c r="A369" s="599"/>
      <c r="B369" s="689" t="s">
        <v>809</v>
      </c>
      <c r="C369" s="1402" t="s">
        <v>804</v>
      </c>
      <c r="D369" s="1403"/>
      <c r="E369" s="114"/>
      <c r="F369" s="70"/>
      <c r="G369" s="1"/>
    </row>
    <row r="370" spans="1:7" s="748" customFormat="1" x14ac:dyDescent="0.6">
      <c r="A370" s="599"/>
      <c r="B370" s="689" t="s">
        <v>810</v>
      </c>
      <c r="C370" s="1402" t="s">
        <v>804</v>
      </c>
      <c r="D370" s="1403"/>
      <c r="E370" s="114"/>
      <c r="F370" s="70"/>
      <c r="G370" s="1"/>
    </row>
    <row r="371" spans="1:7" s="748" customFormat="1" x14ac:dyDescent="0.6">
      <c r="A371" s="599" t="s">
        <v>1413</v>
      </c>
      <c r="B371" s="689" t="s">
        <v>117</v>
      </c>
      <c r="C371" s="1402" t="s">
        <v>804</v>
      </c>
      <c r="D371" s="1403"/>
      <c r="E371" s="114"/>
      <c r="F371" s="70"/>
      <c r="G371" s="1"/>
    </row>
    <row r="372" spans="1:7" s="748" customFormat="1" x14ac:dyDescent="0.6">
      <c r="A372" s="599"/>
      <c r="B372" s="689" t="s">
        <v>809</v>
      </c>
      <c r="C372" s="1402" t="s">
        <v>804</v>
      </c>
      <c r="D372" s="1403"/>
      <c r="E372" s="114"/>
      <c r="F372" s="70"/>
      <c r="G372" s="1"/>
    </row>
    <row r="373" spans="1:7" s="748" customFormat="1" x14ac:dyDescent="0.6">
      <c r="A373" s="599"/>
      <c r="B373" s="689" t="s">
        <v>810</v>
      </c>
      <c r="C373" s="1402" t="s">
        <v>804</v>
      </c>
      <c r="D373" s="1403"/>
      <c r="E373" s="114"/>
      <c r="F373" s="70"/>
      <c r="G373" s="1"/>
    </row>
    <row r="374" spans="1:7" s="748" customFormat="1" x14ac:dyDescent="0.6">
      <c r="A374" s="599" t="s">
        <v>1414</v>
      </c>
      <c r="B374" s="689" t="s">
        <v>117</v>
      </c>
      <c r="C374" s="1402" t="s">
        <v>804</v>
      </c>
      <c r="D374" s="1403"/>
      <c r="E374" s="114"/>
      <c r="F374" s="70"/>
      <c r="G374" s="1"/>
    </row>
    <row r="375" spans="1:7" s="748" customFormat="1" x14ac:dyDescent="0.6">
      <c r="A375" s="599"/>
      <c r="B375" s="689" t="s">
        <v>809</v>
      </c>
      <c r="C375" s="1402" t="s">
        <v>804</v>
      </c>
      <c r="D375" s="1403"/>
      <c r="E375" s="114"/>
      <c r="F375" s="70"/>
      <c r="G375" s="1"/>
    </row>
    <row r="376" spans="1:7" s="748" customFormat="1" x14ac:dyDescent="0.6">
      <c r="A376" s="599"/>
      <c r="B376" s="689" t="s">
        <v>810</v>
      </c>
      <c r="C376" s="1402" t="s">
        <v>804</v>
      </c>
      <c r="D376" s="1403"/>
      <c r="E376" s="114"/>
      <c r="F376" s="70"/>
      <c r="G376" s="1"/>
    </row>
    <row r="377" spans="1:7" s="748" customFormat="1" x14ac:dyDescent="0.6">
      <c r="A377" s="599" t="s">
        <v>1415</v>
      </c>
      <c r="B377" s="689" t="s">
        <v>117</v>
      </c>
      <c r="C377" s="1402" t="s">
        <v>804</v>
      </c>
      <c r="D377" s="1403"/>
      <c r="E377" s="114"/>
      <c r="F377" s="70"/>
      <c r="G377" s="1"/>
    </row>
    <row r="378" spans="1:7" s="748" customFormat="1" x14ac:dyDescent="0.6">
      <c r="A378" s="599"/>
      <c r="B378" s="689" t="s">
        <v>809</v>
      </c>
      <c r="C378" s="1402" t="s">
        <v>804</v>
      </c>
      <c r="D378" s="1403"/>
      <c r="E378" s="114"/>
      <c r="F378" s="70"/>
      <c r="G378" s="1"/>
    </row>
    <row r="379" spans="1:7" s="748" customFormat="1" x14ac:dyDescent="0.6">
      <c r="A379" s="599"/>
      <c r="B379" s="689" t="s">
        <v>810</v>
      </c>
      <c r="C379" s="1402" t="s">
        <v>804</v>
      </c>
      <c r="D379" s="1403"/>
      <c r="E379" s="114"/>
      <c r="F379" s="70"/>
      <c r="G379" s="1"/>
    </row>
    <row r="380" spans="1:7" s="748" customFormat="1" x14ac:dyDescent="0.6">
      <c r="A380" s="599" t="s">
        <v>1416</v>
      </c>
      <c r="B380" s="689" t="s">
        <v>117</v>
      </c>
      <c r="C380" s="1402" t="s">
        <v>804</v>
      </c>
      <c r="D380" s="1403"/>
      <c r="E380" s="114"/>
      <c r="F380" s="70"/>
      <c r="G380" s="1"/>
    </row>
    <row r="381" spans="1:7" s="748" customFormat="1" x14ac:dyDescent="0.6">
      <c r="A381" s="599"/>
      <c r="B381" s="689" t="s">
        <v>809</v>
      </c>
      <c r="C381" s="1402" t="s">
        <v>804</v>
      </c>
      <c r="D381" s="1403"/>
      <c r="E381" s="114"/>
      <c r="F381" s="70"/>
      <c r="G381" s="1"/>
    </row>
    <row r="382" spans="1:7" s="748" customFormat="1" x14ac:dyDescent="0.6">
      <c r="A382" s="599"/>
      <c r="B382" s="689" t="s">
        <v>810</v>
      </c>
      <c r="C382" s="1402" t="s">
        <v>804</v>
      </c>
      <c r="D382" s="1403"/>
      <c r="E382" s="114"/>
      <c r="F382" s="70"/>
      <c r="G382" s="1"/>
    </row>
    <row r="383" spans="1:7" s="748" customFormat="1" x14ac:dyDescent="0.6">
      <c r="A383" s="599" t="s">
        <v>1417</v>
      </c>
      <c r="B383" s="689" t="s">
        <v>117</v>
      </c>
      <c r="C383" s="1402" t="s">
        <v>804</v>
      </c>
      <c r="D383" s="1403"/>
      <c r="E383" s="114"/>
      <c r="F383" s="70"/>
      <c r="G383" s="1"/>
    </row>
    <row r="384" spans="1:7" s="748" customFormat="1" x14ac:dyDescent="0.6">
      <c r="A384" s="599"/>
      <c r="B384" s="689" t="s">
        <v>809</v>
      </c>
      <c r="C384" s="1402" t="s">
        <v>804</v>
      </c>
      <c r="D384" s="1403"/>
      <c r="E384" s="114"/>
      <c r="F384" s="70"/>
      <c r="G384" s="1"/>
    </row>
    <row r="385" spans="1:7" s="748" customFormat="1" x14ac:dyDescent="0.6">
      <c r="A385" s="599"/>
      <c r="B385" s="689" t="s">
        <v>810</v>
      </c>
      <c r="C385" s="1402" t="s">
        <v>804</v>
      </c>
      <c r="D385" s="1403"/>
      <c r="E385" s="114"/>
      <c r="F385" s="70"/>
      <c r="G385" s="1"/>
    </row>
    <row r="386" spans="1:7" s="748" customFormat="1" x14ac:dyDescent="0.6">
      <c r="A386" s="599" t="s">
        <v>1418</v>
      </c>
      <c r="B386" s="689" t="s">
        <v>117</v>
      </c>
      <c r="C386" s="1402" t="s">
        <v>804</v>
      </c>
      <c r="D386" s="1403"/>
      <c r="E386" s="114"/>
      <c r="F386" s="70"/>
      <c r="G386" s="1"/>
    </row>
    <row r="387" spans="1:7" s="748" customFormat="1" x14ac:dyDescent="0.6">
      <c r="A387" s="599"/>
      <c r="B387" s="689" t="s">
        <v>809</v>
      </c>
      <c r="C387" s="1402" t="s">
        <v>804</v>
      </c>
      <c r="D387" s="1403"/>
      <c r="E387" s="114"/>
      <c r="F387" s="70"/>
      <c r="G387" s="1"/>
    </row>
    <row r="388" spans="1:7" s="748" customFormat="1" x14ac:dyDescent="0.6">
      <c r="A388" s="599"/>
      <c r="B388" s="689" t="s">
        <v>810</v>
      </c>
      <c r="C388" s="1402" t="s">
        <v>804</v>
      </c>
      <c r="D388" s="1403"/>
      <c r="E388" s="114"/>
      <c r="F388" s="70"/>
      <c r="G388" s="1"/>
    </row>
    <row r="389" spans="1:7" s="748" customFormat="1" x14ac:dyDescent="0.6">
      <c r="A389" s="599" t="s">
        <v>822</v>
      </c>
      <c r="B389" s="689" t="s">
        <v>117</v>
      </c>
      <c r="C389" s="1402" t="s">
        <v>804</v>
      </c>
      <c r="D389" s="1403"/>
      <c r="E389" s="114"/>
      <c r="F389" s="70"/>
      <c r="G389" s="1"/>
    </row>
    <row r="390" spans="1:7" s="748" customFormat="1" x14ac:dyDescent="0.6">
      <c r="A390" s="599"/>
      <c r="B390" s="689" t="s">
        <v>809</v>
      </c>
      <c r="C390" s="779">
        <v>5694615</v>
      </c>
      <c r="D390" s="1403"/>
      <c r="E390" s="114"/>
      <c r="F390" s="70"/>
      <c r="G390" s="1"/>
    </row>
    <row r="391" spans="1:7" s="748" customFormat="1" x14ac:dyDescent="0.6">
      <c r="A391" s="599"/>
      <c r="B391" s="689" t="s">
        <v>810</v>
      </c>
      <c r="C391" s="779">
        <v>20116685</v>
      </c>
      <c r="D391" s="1403"/>
      <c r="E391" s="114"/>
      <c r="F391" s="70"/>
      <c r="G391" s="1"/>
    </row>
    <row r="392" spans="1:7" s="748" customFormat="1" x14ac:dyDescent="0.6">
      <c r="A392" s="599" t="s">
        <v>1419</v>
      </c>
      <c r="B392" s="689" t="s">
        <v>117</v>
      </c>
      <c r="C392" s="1402" t="s">
        <v>804</v>
      </c>
      <c r="D392" s="1403"/>
      <c r="E392" s="114"/>
      <c r="F392" s="70"/>
      <c r="G392" s="1"/>
    </row>
    <row r="393" spans="1:7" s="748" customFormat="1" x14ac:dyDescent="0.6">
      <c r="A393" s="599"/>
      <c r="B393" s="689" t="s">
        <v>809</v>
      </c>
      <c r="C393" s="779">
        <v>4039509</v>
      </c>
      <c r="D393" s="1403"/>
      <c r="E393" s="114"/>
      <c r="F393" s="70"/>
      <c r="G393" s="1"/>
    </row>
    <row r="394" spans="1:7" s="748" customFormat="1" x14ac:dyDescent="0.6">
      <c r="A394" s="599"/>
      <c r="B394" s="689" t="s">
        <v>810</v>
      </c>
      <c r="C394" s="779">
        <v>14269891</v>
      </c>
      <c r="D394" s="1403"/>
      <c r="E394" s="114"/>
      <c r="F394" s="70"/>
      <c r="G394" s="1"/>
    </row>
    <row r="395" spans="1:7" s="748" customFormat="1" x14ac:dyDescent="0.6">
      <c r="A395" s="599" t="s">
        <v>823</v>
      </c>
      <c r="B395" s="689" t="s">
        <v>117</v>
      </c>
      <c r="C395" s="1402" t="s">
        <v>804</v>
      </c>
      <c r="D395" s="1403"/>
      <c r="E395" s="114"/>
      <c r="F395" s="70"/>
      <c r="G395" s="1"/>
    </row>
    <row r="396" spans="1:7" s="748" customFormat="1" x14ac:dyDescent="0.6">
      <c r="A396" s="599"/>
      <c r="B396" s="689" t="s">
        <v>809</v>
      </c>
      <c r="C396" s="779">
        <v>1000726</v>
      </c>
      <c r="D396" s="1403"/>
      <c r="E396" s="114"/>
      <c r="F396" s="70"/>
      <c r="G396" s="1"/>
    </row>
    <row r="397" spans="1:7" s="748" customFormat="1" x14ac:dyDescent="0.6">
      <c r="A397" s="599"/>
      <c r="B397" s="689" t="s">
        <v>810</v>
      </c>
      <c r="C397" s="779">
        <v>307604200</v>
      </c>
      <c r="D397" s="1403"/>
      <c r="E397" s="114"/>
      <c r="F397" s="70"/>
      <c r="G397" s="1"/>
    </row>
    <row r="398" spans="1:7" s="748" customFormat="1" x14ac:dyDescent="0.6">
      <c r="A398" s="599"/>
      <c r="B398" s="689" t="s">
        <v>120</v>
      </c>
      <c r="C398" s="779">
        <v>209783205</v>
      </c>
      <c r="D398" s="1403"/>
      <c r="E398" s="114"/>
      <c r="F398" s="70"/>
      <c r="G398" s="1"/>
    </row>
    <row r="399" spans="1:7" s="748" customFormat="1" x14ac:dyDescent="0.6">
      <c r="A399" s="599" t="s">
        <v>1420</v>
      </c>
      <c r="B399" s="689" t="s">
        <v>117</v>
      </c>
      <c r="C399" s="1402" t="s">
        <v>804</v>
      </c>
      <c r="D399" s="1403"/>
      <c r="E399" s="114"/>
      <c r="F399" s="70"/>
      <c r="G399" s="1"/>
    </row>
    <row r="400" spans="1:7" s="748" customFormat="1" x14ac:dyDescent="0.6">
      <c r="A400" s="599"/>
      <c r="B400" s="689" t="s">
        <v>809</v>
      </c>
      <c r="C400" s="779">
        <v>96574133</v>
      </c>
      <c r="D400" s="1403"/>
      <c r="E400" s="114"/>
      <c r="F400" s="70"/>
      <c r="G400" s="1"/>
    </row>
    <row r="401" spans="1:7" s="748" customFormat="1" x14ac:dyDescent="0.6">
      <c r="A401" s="599"/>
      <c r="B401" s="689" t="s">
        <v>810</v>
      </c>
      <c r="C401" s="779">
        <v>341155867</v>
      </c>
      <c r="D401" s="1403"/>
      <c r="E401" s="114"/>
      <c r="F401" s="70"/>
      <c r="G401" s="1"/>
    </row>
    <row r="402" spans="1:7" s="748" customFormat="1" x14ac:dyDescent="0.6">
      <c r="A402" s="599" t="s">
        <v>1410</v>
      </c>
      <c r="B402" s="689" t="s">
        <v>117</v>
      </c>
      <c r="C402" s="1402" t="s">
        <v>804</v>
      </c>
      <c r="D402" s="1403"/>
      <c r="E402" s="114"/>
      <c r="F402" s="70"/>
      <c r="G402" s="1"/>
    </row>
    <row r="403" spans="1:7" s="748" customFormat="1" x14ac:dyDescent="0.6">
      <c r="A403" s="599"/>
      <c r="B403" s="689" t="s">
        <v>809</v>
      </c>
      <c r="C403" s="1402" t="s">
        <v>804</v>
      </c>
      <c r="D403" s="1403"/>
      <c r="E403" s="114"/>
      <c r="F403" s="70"/>
      <c r="G403" s="1"/>
    </row>
    <row r="404" spans="1:7" s="748" customFormat="1" x14ac:dyDescent="0.6">
      <c r="A404" s="599"/>
      <c r="B404" s="689" t="s">
        <v>810</v>
      </c>
      <c r="C404" s="1402" t="s">
        <v>804</v>
      </c>
      <c r="D404" s="1403"/>
      <c r="E404" s="114"/>
      <c r="F404" s="70"/>
      <c r="G404" s="1"/>
    </row>
    <row r="405" spans="1:7" s="123" customFormat="1" x14ac:dyDescent="0.6">
      <c r="A405" s="599" t="s">
        <v>1421</v>
      </c>
      <c r="B405" s="689" t="s">
        <v>117</v>
      </c>
      <c r="C405" s="1402" t="s">
        <v>804</v>
      </c>
      <c r="D405" s="780"/>
      <c r="E405" s="114"/>
      <c r="F405" s="70"/>
      <c r="G405" s="1"/>
    </row>
    <row r="406" spans="1:7" s="123" customFormat="1" x14ac:dyDescent="0.6">
      <c r="A406" s="599"/>
      <c r="B406" s="689" t="s">
        <v>809</v>
      </c>
      <c r="C406" s="779">
        <v>113074669</v>
      </c>
      <c r="D406" s="780"/>
      <c r="E406" s="114"/>
      <c r="F406" s="70"/>
      <c r="G406" s="1"/>
    </row>
    <row r="407" spans="1:7" s="123" customFormat="1" ht="15.9" thickBot="1" x14ac:dyDescent="0.65">
      <c r="A407" s="124"/>
      <c r="B407" s="690" t="s">
        <v>810</v>
      </c>
      <c r="C407" s="781">
        <v>399445331</v>
      </c>
      <c r="D407" s="782"/>
      <c r="E407" s="114"/>
      <c r="F407" s="70"/>
      <c r="G407" s="1"/>
    </row>
    <row r="408" spans="1:7" s="748" customFormat="1" ht="15.9" thickTop="1" x14ac:dyDescent="0.6">
      <c r="A408" s="1060" t="s">
        <v>15</v>
      </c>
      <c r="B408" s="688"/>
      <c r="C408" s="789">
        <f>SUM(C409:C410)</f>
        <v>76650321</v>
      </c>
      <c r="D408" s="724">
        <f>SUM(D409:D410)</f>
        <v>0</v>
      </c>
      <c r="E408" s="114"/>
      <c r="F408" s="70"/>
      <c r="G408" s="1"/>
    </row>
    <row r="409" spans="1:7" s="123" customFormat="1" x14ac:dyDescent="0.6">
      <c r="A409" s="599" t="s">
        <v>1422</v>
      </c>
      <c r="B409" s="689" t="s">
        <v>810</v>
      </c>
      <c r="C409" s="599">
        <v>76650321</v>
      </c>
      <c r="D409" s="130"/>
      <c r="E409" s="114" t="s">
        <v>769</v>
      </c>
      <c r="F409" s="70"/>
      <c r="G409" s="1"/>
    </row>
    <row r="410" spans="1:7" s="123" customFormat="1" ht="15.9" thickBot="1" x14ac:dyDescent="0.65">
      <c r="A410" s="124" t="s">
        <v>340</v>
      </c>
      <c r="B410" s="690" t="s">
        <v>45</v>
      </c>
      <c r="C410" s="598" t="s">
        <v>804</v>
      </c>
      <c r="D410" s="131"/>
      <c r="E410" s="114" t="s">
        <v>769</v>
      </c>
      <c r="F410" s="70"/>
      <c r="G410" s="1"/>
    </row>
    <row r="411" spans="1:7" s="748" customFormat="1" ht="15.9" thickTop="1" x14ac:dyDescent="0.6">
      <c r="A411" s="1060" t="s">
        <v>16</v>
      </c>
      <c r="B411" s="688"/>
      <c r="C411" s="789">
        <f>SUM(C412:C423)</f>
        <v>19061784</v>
      </c>
      <c r="D411" s="724">
        <f>SUM(D412:D423)</f>
        <v>0</v>
      </c>
      <c r="E411" s="114"/>
      <c r="F411" s="70"/>
      <c r="G411" s="1"/>
    </row>
    <row r="412" spans="1:7" s="123" customFormat="1" x14ac:dyDescent="0.6">
      <c r="A412" s="599" t="s">
        <v>1423</v>
      </c>
      <c r="B412" s="689" t="s">
        <v>117</v>
      </c>
      <c r="C412" s="1402" t="s">
        <v>804</v>
      </c>
      <c r="D412" s="130"/>
      <c r="E412" s="114"/>
      <c r="F412" s="70"/>
      <c r="G412" s="1"/>
    </row>
    <row r="413" spans="1:7" s="123" customFormat="1" x14ac:dyDescent="0.6">
      <c r="A413" s="599"/>
      <c r="B413" s="689" t="s">
        <v>809</v>
      </c>
      <c r="C413" s="1402" t="s">
        <v>804</v>
      </c>
      <c r="D413" s="130"/>
      <c r="E413" s="114"/>
      <c r="F413" s="70"/>
      <c r="G413" s="1"/>
    </row>
    <row r="414" spans="1:7" s="123" customFormat="1" x14ac:dyDescent="0.6">
      <c r="A414" s="599"/>
      <c r="B414" s="689" t="s">
        <v>810</v>
      </c>
      <c r="C414" s="1402" t="s">
        <v>804</v>
      </c>
      <c r="D414" s="130"/>
      <c r="E414" s="114"/>
      <c r="F414" s="70"/>
      <c r="G414" s="1"/>
    </row>
    <row r="415" spans="1:7" s="123" customFormat="1" x14ac:dyDescent="0.6">
      <c r="A415" s="599" t="s">
        <v>824</v>
      </c>
      <c r="B415" s="689" t="s">
        <v>117</v>
      </c>
      <c r="C415" s="599">
        <v>1830168</v>
      </c>
      <c r="D415" s="130"/>
      <c r="E415" s="114"/>
      <c r="F415" s="70"/>
      <c r="G415" s="1"/>
    </row>
    <row r="416" spans="1:7" s="123" customFormat="1" x14ac:dyDescent="0.6">
      <c r="A416" s="599"/>
      <c r="B416" s="689" t="s">
        <v>809</v>
      </c>
      <c r="C416" s="599">
        <v>1830168</v>
      </c>
      <c r="D416" s="130"/>
      <c r="E416" s="114"/>
      <c r="F416" s="70"/>
      <c r="G416" s="1"/>
    </row>
    <row r="417" spans="1:7" s="123" customFormat="1" x14ac:dyDescent="0.6">
      <c r="A417" s="599"/>
      <c r="B417" s="689" t="s">
        <v>810</v>
      </c>
      <c r="C417" s="599">
        <v>1830168</v>
      </c>
      <c r="D417" s="130"/>
      <c r="E417" s="114"/>
      <c r="F417" s="70"/>
      <c r="G417" s="1"/>
    </row>
    <row r="418" spans="1:7" s="123" customFormat="1" x14ac:dyDescent="0.6">
      <c r="A418" s="599" t="s">
        <v>342</v>
      </c>
      <c r="B418" s="689" t="s">
        <v>117</v>
      </c>
      <c r="C418" s="1402" t="s">
        <v>804</v>
      </c>
      <c r="D418" s="130"/>
      <c r="E418" s="114" t="s">
        <v>769</v>
      </c>
      <c r="F418" s="70"/>
      <c r="G418" s="1"/>
    </row>
    <row r="419" spans="1:7" s="123" customFormat="1" x14ac:dyDescent="0.6">
      <c r="A419" s="599"/>
      <c r="B419" s="689" t="s">
        <v>809</v>
      </c>
      <c r="C419" s="1402" t="s">
        <v>804</v>
      </c>
      <c r="D419" s="130"/>
      <c r="E419" s="114" t="s">
        <v>769</v>
      </c>
      <c r="F419" s="70"/>
      <c r="G419" s="1"/>
    </row>
    <row r="420" spans="1:7" s="123" customFormat="1" x14ac:dyDescent="0.6">
      <c r="A420" s="599"/>
      <c r="B420" s="689" t="s">
        <v>810</v>
      </c>
      <c r="C420" s="599">
        <v>13571280</v>
      </c>
      <c r="D420" s="130"/>
      <c r="E420" s="114" t="s">
        <v>769</v>
      </c>
      <c r="F420" s="70"/>
      <c r="G420" s="1"/>
    </row>
    <row r="421" spans="1:7" s="123" customFormat="1" x14ac:dyDescent="0.6">
      <c r="A421" s="599" t="s">
        <v>1424</v>
      </c>
      <c r="B421" s="689" t="s">
        <v>117</v>
      </c>
      <c r="C421" s="686" t="s">
        <v>804</v>
      </c>
      <c r="D421" s="130"/>
      <c r="E421" s="114"/>
      <c r="F421" s="70"/>
      <c r="G421" s="1"/>
    </row>
    <row r="422" spans="1:7" s="123" customFormat="1" x14ac:dyDescent="0.6">
      <c r="A422" s="599"/>
      <c r="B422" s="689" t="s">
        <v>809</v>
      </c>
      <c r="C422" s="686" t="s">
        <v>804</v>
      </c>
      <c r="D422" s="130"/>
      <c r="E422" s="114"/>
      <c r="F422" s="70"/>
      <c r="G422" s="1"/>
    </row>
    <row r="423" spans="1:7" s="123" customFormat="1" ht="15.9" thickBot="1" x14ac:dyDescent="0.65">
      <c r="A423" s="124"/>
      <c r="B423" s="690" t="s">
        <v>810</v>
      </c>
      <c r="C423" s="598" t="s">
        <v>804</v>
      </c>
      <c r="D423" s="131"/>
      <c r="E423" s="114"/>
      <c r="F423" s="70"/>
      <c r="G423" s="1"/>
    </row>
    <row r="424" spans="1:7" s="748" customFormat="1" ht="15.9" thickTop="1" x14ac:dyDescent="0.6">
      <c r="A424" s="1060" t="s">
        <v>17</v>
      </c>
      <c r="B424" s="688"/>
      <c r="C424" s="789">
        <f>SUM(C425:C431)</f>
        <v>167928864</v>
      </c>
      <c r="D424" s="724">
        <f>SUM(D425:D431)</f>
        <v>0</v>
      </c>
      <c r="E424" s="114"/>
      <c r="F424" s="70"/>
      <c r="G424" s="1"/>
    </row>
    <row r="425" spans="1:7" s="123" customFormat="1" x14ac:dyDescent="0.6">
      <c r="A425" s="599" t="s">
        <v>341</v>
      </c>
      <c r="B425" s="689" t="s">
        <v>120</v>
      </c>
      <c r="C425" s="599">
        <v>73074965</v>
      </c>
      <c r="D425" s="130"/>
      <c r="E425" s="114" t="s">
        <v>769</v>
      </c>
      <c r="F425" s="70"/>
      <c r="G425" s="1"/>
    </row>
    <row r="426" spans="1:7" s="123" customFormat="1" x14ac:dyDescent="0.6">
      <c r="A426" s="599" t="s">
        <v>1425</v>
      </c>
      <c r="B426" s="689" t="s">
        <v>120</v>
      </c>
      <c r="C426" s="686" t="s">
        <v>804</v>
      </c>
      <c r="D426" s="130"/>
      <c r="E426" s="114"/>
      <c r="F426" s="70"/>
      <c r="G426" s="1"/>
    </row>
    <row r="427" spans="1:7" s="123" customFormat="1" x14ac:dyDescent="0.6">
      <c r="A427" s="599" t="s">
        <v>1426</v>
      </c>
      <c r="B427" s="689"/>
      <c r="C427" s="599">
        <v>94490000</v>
      </c>
      <c r="D427" s="130"/>
      <c r="E427" s="114"/>
      <c r="F427" s="70"/>
      <c r="G427" s="1"/>
    </row>
    <row r="428" spans="1:7" s="123" customFormat="1" x14ac:dyDescent="0.6">
      <c r="A428" s="599" t="s">
        <v>1427</v>
      </c>
      <c r="B428" s="689"/>
      <c r="C428" s="686" t="s">
        <v>804</v>
      </c>
      <c r="D428" s="130"/>
      <c r="E428" s="114"/>
      <c r="F428" s="70"/>
      <c r="G428" s="1"/>
    </row>
    <row r="429" spans="1:7" s="123" customFormat="1" x14ac:dyDescent="0.6">
      <c r="A429" s="599" t="s">
        <v>1428</v>
      </c>
      <c r="B429" s="689"/>
      <c r="C429" s="686" t="s">
        <v>804</v>
      </c>
      <c r="D429" s="130"/>
      <c r="E429" s="114"/>
      <c r="F429" s="70"/>
      <c r="G429" s="1"/>
    </row>
    <row r="430" spans="1:7" s="123" customFormat="1" x14ac:dyDescent="0.6">
      <c r="A430" s="599" t="s">
        <v>576</v>
      </c>
      <c r="B430" s="689"/>
      <c r="C430" s="686" t="s">
        <v>804</v>
      </c>
      <c r="D430" s="130"/>
      <c r="E430" s="114"/>
      <c r="F430" s="70"/>
      <c r="G430" s="1"/>
    </row>
    <row r="431" spans="1:7" s="123" customFormat="1" ht="15.9" thickBot="1" x14ac:dyDescent="0.65">
      <c r="A431" s="124" t="s">
        <v>1429</v>
      </c>
      <c r="B431" s="690"/>
      <c r="C431" s="124">
        <v>363899</v>
      </c>
      <c r="D431" s="131"/>
      <c r="E431" s="114"/>
      <c r="F431" s="70"/>
      <c r="G431" s="1"/>
    </row>
    <row r="432" spans="1:7" s="748" customFormat="1" ht="15.9" thickTop="1" x14ac:dyDescent="0.6">
      <c r="A432" s="1060" t="s">
        <v>18</v>
      </c>
      <c r="B432" s="688"/>
      <c r="C432" s="789">
        <f>SUM(C433:C442)</f>
        <v>174162522</v>
      </c>
      <c r="D432" s="724">
        <f>SUM(D433:D442)</f>
        <v>0</v>
      </c>
      <c r="E432" s="114"/>
      <c r="F432" s="70"/>
      <c r="G432" s="1"/>
    </row>
    <row r="433" spans="1:7" s="123" customFormat="1" x14ac:dyDescent="0.6">
      <c r="A433" s="599" t="s">
        <v>1430</v>
      </c>
      <c r="B433" s="689" t="s">
        <v>812</v>
      </c>
      <c r="C433" s="686" t="s">
        <v>804</v>
      </c>
      <c r="D433" s="130"/>
      <c r="E433" s="114" t="s">
        <v>769</v>
      </c>
      <c r="F433" s="70"/>
      <c r="G433" s="1"/>
    </row>
    <row r="434" spans="1:7" s="123" customFormat="1" x14ac:dyDescent="0.6">
      <c r="A434" s="599" t="s">
        <v>299</v>
      </c>
      <c r="B434" s="689" t="s">
        <v>810</v>
      </c>
      <c r="C434" s="599">
        <v>31538462</v>
      </c>
      <c r="D434" s="130"/>
      <c r="E434" s="114" t="s">
        <v>769</v>
      </c>
      <c r="F434" s="70"/>
      <c r="G434" s="1"/>
    </row>
    <row r="435" spans="1:7" s="123" customFormat="1" x14ac:dyDescent="0.6">
      <c r="A435" s="599" t="s">
        <v>301</v>
      </c>
      <c r="B435" s="689" t="s">
        <v>819</v>
      </c>
      <c r="C435" s="599">
        <v>103000000</v>
      </c>
      <c r="D435" s="130"/>
      <c r="E435" s="114" t="s">
        <v>769</v>
      </c>
      <c r="F435" s="70"/>
      <c r="G435" s="1"/>
    </row>
    <row r="436" spans="1:7" s="123" customFormat="1" x14ac:dyDescent="0.6">
      <c r="A436" s="599" t="s">
        <v>302</v>
      </c>
      <c r="B436" s="689" t="s">
        <v>810</v>
      </c>
      <c r="C436" s="599">
        <v>39390060</v>
      </c>
      <c r="D436" s="130"/>
      <c r="E436" s="114" t="s">
        <v>769</v>
      </c>
      <c r="F436" s="70"/>
      <c r="G436" s="1"/>
    </row>
    <row r="437" spans="1:7" s="123" customFormat="1" x14ac:dyDescent="0.6">
      <c r="A437" s="599" t="s">
        <v>577</v>
      </c>
      <c r="B437" s="689" t="s">
        <v>819</v>
      </c>
      <c r="C437" s="686" t="s">
        <v>804</v>
      </c>
      <c r="D437" s="130"/>
      <c r="E437" s="114"/>
      <c r="F437" s="70"/>
      <c r="G437" s="1"/>
    </row>
    <row r="438" spans="1:7" s="123" customFormat="1" x14ac:dyDescent="0.6">
      <c r="A438" s="599" t="s">
        <v>578</v>
      </c>
      <c r="B438" s="689"/>
      <c r="C438" s="686" t="s">
        <v>804</v>
      </c>
      <c r="D438" s="130"/>
      <c r="E438" s="114" t="s">
        <v>769</v>
      </c>
      <c r="F438" s="70"/>
      <c r="G438" s="1"/>
    </row>
    <row r="439" spans="1:7" s="123" customFormat="1" x14ac:dyDescent="0.6">
      <c r="A439" s="599" t="s">
        <v>579</v>
      </c>
      <c r="B439" s="689"/>
      <c r="C439" s="686" t="s">
        <v>804</v>
      </c>
      <c r="D439" s="130"/>
      <c r="E439" s="114"/>
      <c r="F439" s="70"/>
      <c r="G439" s="1"/>
    </row>
    <row r="440" spans="1:7" s="123" customFormat="1" x14ac:dyDescent="0.6">
      <c r="A440" s="599" t="s">
        <v>1431</v>
      </c>
      <c r="B440" s="689" t="s">
        <v>819</v>
      </c>
      <c r="C440" s="686" t="s">
        <v>804</v>
      </c>
      <c r="D440" s="130"/>
      <c r="E440" s="114"/>
      <c r="F440" s="70"/>
      <c r="G440" s="1"/>
    </row>
    <row r="441" spans="1:7" s="123" customFormat="1" x14ac:dyDescent="0.6">
      <c r="A441" s="599" t="s">
        <v>1432</v>
      </c>
      <c r="B441" s="689"/>
      <c r="C441" s="686" t="s">
        <v>804</v>
      </c>
      <c r="D441" s="130"/>
      <c r="E441" s="114"/>
      <c r="F441" s="70"/>
      <c r="G441" s="1"/>
    </row>
    <row r="442" spans="1:7" s="123" customFormat="1" ht="15.9" thickBot="1" x14ac:dyDescent="0.65">
      <c r="A442" s="124" t="s">
        <v>580</v>
      </c>
      <c r="B442" s="690"/>
      <c r="C442" s="598">
        <v>234000</v>
      </c>
      <c r="D442" s="131"/>
      <c r="E442" s="114"/>
      <c r="F442" s="70"/>
      <c r="G442" s="1"/>
    </row>
    <row r="443" spans="1:7" s="748" customFormat="1" ht="15.9" thickTop="1" x14ac:dyDescent="0.6">
      <c r="A443" s="1060" t="s">
        <v>19</v>
      </c>
      <c r="B443" s="688"/>
      <c r="C443" s="746">
        <f>SUM(C444:C456)</f>
        <v>5507527535</v>
      </c>
      <c r="D443" s="724">
        <f>SUM(D444:D456)</f>
        <v>0</v>
      </c>
      <c r="E443" s="114"/>
      <c r="F443" s="70"/>
      <c r="G443" s="1"/>
    </row>
    <row r="444" spans="1:7" s="123" customFormat="1" x14ac:dyDescent="0.6">
      <c r="A444" s="599" t="s">
        <v>346</v>
      </c>
      <c r="B444" s="689" t="s">
        <v>810</v>
      </c>
      <c r="C444" s="127">
        <v>59044197</v>
      </c>
      <c r="D444" s="130"/>
      <c r="E444" s="114" t="s">
        <v>769</v>
      </c>
      <c r="F444" s="70"/>
      <c r="G444" s="1"/>
    </row>
    <row r="445" spans="1:7" s="123" customFormat="1" x14ac:dyDescent="0.6">
      <c r="A445" s="599" t="s">
        <v>348</v>
      </c>
      <c r="B445" s="689"/>
      <c r="C445" s="127">
        <v>212196781</v>
      </c>
      <c r="D445" s="130"/>
      <c r="E445" s="114" t="s">
        <v>769</v>
      </c>
      <c r="F445" s="70"/>
      <c r="G445" s="1"/>
    </row>
    <row r="446" spans="1:7" s="123" customFormat="1" x14ac:dyDescent="0.6">
      <c r="A446" s="599" t="s">
        <v>349</v>
      </c>
      <c r="B446" s="689"/>
      <c r="C446" s="127">
        <v>176286557</v>
      </c>
      <c r="D446" s="130"/>
      <c r="E446" s="114" t="s">
        <v>769</v>
      </c>
      <c r="F446" s="70"/>
      <c r="G446" s="1"/>
    </row>
    <row r="447" spans="1:7" s="123" customFormat="1" x14ac:dyDescent="0.6">
      <c r="A447" s="599" t="s">
        <v>350</v>
      </c>
      <c r="B447" s="689"/>
      <c r="C447" s="686" t="s">
        <v>804</v>
      </c>
      <c r="D447" s="130"/>
      <c r="E447" s="114" t="s">
        <v>769</v>
      </c>
      <c r="F447" s="70"/>
      <c r="G447" s="1"/>
    </row>
    <row r="448" spans="1:7" s="123" customFormat="1" x14ac:dyDescent="0.6">
      <c r="A448" s="599"/>
      <c r="B448" s="689" t="s">
        <v>814</v>
      </c>
      <c r="C448" s="686" t="s">
        <v>804</v>
      </c>
      <c r="D448" s="130"/>
      <c r="E448" s="114" t="s">
        <v>769</v>
      </c>
      <c r="F448" s="70"/>
      <c r="G448" s="1"/>
    </row>
    <row r="449" spans="1:7" s="123" customFormat="1" x14ac:dyDescent="0.6">
      <c r="A449" s="599" t="s">
        <v>1433</v>
      </c>
      <c r="B449" s="689" t="s">
        <v>819</v>
      </c>
      <c r="C449" s="686" t="s">
        <v>804</v>
      </c>
      <c r="D449" s="130"/>
      <c r="E449" s="114" t="s">
        <v>769</v>
      </c>
      <c r="F449" s="70"/>
      <c r="G449" s="1"/>
    </row>
    <row r="450" spans="1:7" s="123" customFormat="1" x14ac:dyDescent="0.6">
      <c r="A450" s="599" t="s">
        <v>356</v>
      </c>
      <c r="B450" s="689" t="s">
        <v>810</v>
      </c>
      <c r="C450" s="686" t="s">
        <v>804</v>
      </c>
      <c r="D450" s="130"/>
      <c r="E450" s="114" t="s">
        <v>769</v>
      </c>
      <c r="F450" s="70"/>
      <c r="G450" s="1"/>
    </row>
    <row r="451" spans="1:7" s="123" customFormat="1" x14ac:dyDescent="0.6">
      <c r="A451" s="599" t="s">
        <v>1036</v>
      </c>
      <c r="B451" s="689"/>
      <c r="C451" s="686" t="s">
        <v>804</v>
      </c>
      <c r="D451" s="130"/>
      <c r="E451" s="114" t="s">
        <v>769</v>
      </c>
      <c r="F451" s="70"/>
      <c r="G451" s="1"/>
    </row>
    <row r="452" spans="1:7" s="123" customFormat="1" x14ac:dyDescent="0.6">
      <c r="A452" s="599" t="s">
        <v>1213</v>
      </c>
      <c r="B452" s="689"/>
      <c r="C452" s="686" t="s">
        <v>804</v>
      </c>
      <c r="D452" s="130"/>
      <c r="E452" s="114" t="s">
        <v>769</v>
      </c>
      <c r="F452" s="70"/>
      <c r="G452" s="1"/>
    </row>
    <row r="453" spans="1:7" s="123" customFormat="1" x14ac:dyDescent="0.6">
      <c r="A453" s="599"/>
      <c r="B453" s="689" t="s">
        <v>819</v>
      </c>
      <c r="C453" s="686" t="s">
        <v>804</v>
      </c>
      <c r="D453" s="130"/>
      <c r="E453" s="114" t="s">
        <v>769</v>
      </c>
      <c r="F453" s="70"/>
      <c r="G453" s="1"/>
    </row>
    <row r="454" spans="1:7" s="123" customFormat="1" x14ac:dyDescent="0.6">
      <c r="A454" s="599" t="s">
        <v>1434</v>
      </c>
      <c r="B454" s="689" t="s">
        <v>810</v>
      </c>
      <c r="C454" s="686" t="s">
        <v>804</v>
      </c>
      <c r="D454" s="130"/>
      <c r="E454" s="114" t="s">
        <v>769</v>
      </c>
      <c r="F454" s="70"/>
      <c r="G454" s="1"/>
    </row>
    <row r="455" spans="1:7" s="123" customFormat="1" x14ac:dyDescent="0.6">
      <c r="A455" s="599"/>
      <c r="B455" s="689" t="s">
        <v>814</v>
      </c>
      <c r="C455" s="686" t="s">
        <v>804</v>
      </c>
      <c r="D455" s="130"/>
      <c r="E455" s="114" t="s">
        <v>769</v>
      </c>
      <c r="F455" s="70"/>
      <c r="G455" s="1"/>
    </row>
    <row r="456" spans="1:7" s="123" customFormat="1" ht="15.9" thickBot="1" x14ac:dyDescent="0.65">
      <c r="A456" s="124" t="s">
        <v>1435</v>
      </c>
      <c r="B456" s="690" t="s">
        <v>819</v>
      </c>
      <c r="C456" s="127">
        <v>5060000000</v>
      </c>
      <c r="D456" s="131"/>
      <c r="E456" s="114" t="s">
        <v>769</v>
      </c>
      <c r="F456" s="70"/>
      <c r="G456" s="1"/>
    </row>
    <row r="457" spans="1:7" s="636" customFormat="1" ht="15.9" thickTop="1" x14ac:dyDescent="0.6">
      <c r="A457" s="1404" t="s">
        <v>20</v>
      </c>
      <c r="B457" s="833"/>
      <c r="C457" s="834">
        <f>SUM(C458:C478)</f>
        <v>891833160</v>
      </c>
      <c r="D457" s="754">
        <f>SUM(D458:D478)</f>
        <v>0</v>
      </c>
      <c r="E457" s="114"/>
      <c r="F457" s="70"/>
      <c r="G457" s="1"/>
    </row>
    <row r="458" spans="1:7" s="637" customFormat="1" x14ac:dyDescent="0.6">
      <c r="A458" s="835" t="s">
        <v>1117</v>
      </c>
      <c r="B458" s="836" t="s">
        <v>810</v>
      </c>
      <c r="C458" s="835">
        <v>56230000</v>
      </c>
      <c r="D458" s="638"/>
      <c r="E458" s="114" t="s">
        <v>769</v>
      </c>
      <c r="F458" s="70"/>
      <c r="G458" s="1"/>
    </row>
    <row r="459" spans="1:7" s="637" customFormat="1" x14ac:dyDescent="0.6">
      <c r="A459" s="835"/>
      <c r="B459" s="836" t="s">
        <v>825</v>
      </c>
      <c r="C459" s="835">
        <v>32310041</v>
      </c>
      <c r="D459" s="638"/>
      <c r="E459" s="114" t="s">
        <v>769</v>
      </c>
      <c r="F459" s="70"/>
      <c r="G459" s="1"/>
    </row>
    <row r="460" spans="1:7" s="637" customFormat="1" x14ac:dyDescent="0.6">
      <c r="A460" s="835" t="s">
        <v>452</v>
      </c>
      <c r="B460" s="836" t="s">
        <v>809</v>
      </c>
      <c r="C460" s="686" t="s">
        <v>804</v>
      </c>
      <c r="D460" s="638"/>
      <c r="E460" s="114"/>
      <c r="F460" s="70"/>
      <c r="G460" s="1"/>
    </row>
    <row r="461" spans="1:7" s="637" customFormat="1" x14ac:dyDescent="0.6">
      <c r="A461" s="835"/>
      <c r="B461" s="836" t="s">
        <v>810</v>
      </c>
      <c r="C461" s="686" t="s">
        <v>804</v>
      </c>
      <c r="D461" s="638"/>
      <c r="E461" s="114"/>
      <c r="F461" s="70"/>
      <c r="G461" s="1"/>
    </row>
    <row r="462" spans="1:7" s="637" customFormat="1" x14ac:dyDescent="0.6">
      <c r="A462" s="835" t="s">
        <v>453</v>
      </c>
      <c r="B462" s="836" t="s">
        <v>809</v>
      </c>
      <c r="C462" s="686" t="s">
        <v>804</v>
      </c>
      <c r="D462" s="638"/>
      <c r="E462" s="114"/>
      <c r="F462" s="70"/>
      <c r="G462" s="1"/>
    </row>
    <row r="463" spans="1:7" s="637" customFormat="1" x14ac:dyDescent="0.6">
      <c r="A463" s="835"/>
      <c r="B463" s="836" t="s">
        <v>810</v>
      </c>
      <c r="C463" s="686" t="s">
        <v>804</v>
      </c>
      <c r="D463" s="638"/>
      <c r="E463" s="114"/>
      <c r="F463" s="70"/>
      <c r="G463" s="1"/>
    </row>
    <row r="464" spans="1:7" s="637" customFormat="1" x14ac:dyDescent="0.6">
      <c r="A464" s="835" t="s">
        <v>1436</v>
      </c>
      <c r="B464" s="836"/>
      <c r="C464" s="835">
        <v>121137621</v>
      </c>
      <c r="D464" s="638"/>
      <c r="E464" s="114"/>
      <c r="F464" s="70"/>
      <c r="G464" s="1"/>
    </row>
    <row r="465" spans="1:7" s="637" customFormat="1" x14ac:dyDescent="0.6">
      <c r="A465" s="835" t="s">
        <v>1437</v>
      </c>
      <c r="B465" s="836"/>
      <c r="C465" s="835">
        <v>85968635</v>
      </c>
      <c r="D465" s="638"/>
      <c r="E465" s="114"/>
      <c r="F465" s="70"/>
      <c r="G465" s="1"/>
    </row>
    <row r="466" spans="1:7" s="637" customFormat="1" x14ac:dyDescent="0.6">
      <c r="A466" s="835" t="s">
        <v>1438</v>
      </c>
      <c r="B466" s="836"/>
      <c r="C466" s="835">
        <v>66430308</v>
      </c>
      <c r="D466" s="638"/>
      <c r="E466" s="114"/>
      <c r="F466" s="70"/>
      <c r="G466" s="1"/>
    </row>
    <row r="467" spans="1:7" s="637" customFormat="1" x14ac:dyDescent="0.6">
      <c r="A467" s="835" t="s">
        <v>1439</v>
      </c>
      <c r="B467" s="836"/>
      <c r="C467" s="835">
        <v>15630661</v>
      </c>
      <c r="D467" s="638"/>
      <c r="E467" s="114"/>
      <c r="F467" s="70"/>
      <c r="G467" s="1"/>
    </row>
    <row r="468" spans="1:7" s="637" customFormat="1" x14ac:dyDescent="0.6">
      <c r="A468" s="835" t="s">
        <v>1440</v>
      </c>
      <c r="B468" s="836"/>
      <c r="C468" s="835">
        <v>27353656</v>
      </c>
      <c r="D468" s="638"/>
      <c r="E468" s="114"/>
      <c r="F468" s="70"/>
      <c r="G468" s="1"/>
    </row>
    <row r="469" spans="1:7" s="637" customFormat="1" x14ac:dyDescent="0.6">
      <c r="A469" s="835" t="s">
        <v>1441</v>
      </c>
      <c r="B469" s="836"/>
      <c r="C469" s="835">
        <v>253998238</v>
      </c>
      <c r="D469" s="638"/>
      <c r="E469" s="114"/>
      <c r="F469" s="70"/>
      <c r="G469" s="1"/>
    </row>
    <row r="470" spans="1:7" s="637" customFormat="1" x14ac:dyDescent="0.6">
      <c r="A470" s="835" t="s">
        <v>1442</v>
      </c>
      <c r="B470" s="836"/>
      <c r="C470" s="686" t="s">
        <v>804</v>
      </c>
      <c r="D470" s="638"/>
      <c r="E470" s="114"/>
      <c r="F470" s="70"/>
      <c r="G470" s="1"/>
    </row>
    <row r="471" spans="1:7" s="637" customFormat="1" x14ac:dyDescent="0.6">
      <c r="A471" s="835" t="s">
        <v>1443</v>
      </c>
      <c r="B471" s="836"/>
      <c r="C471" s="686" t="s">
        <v>804</v>
      </c>
      <c r="D471" s="638"/>
      <c r="E471" s="114"/>
      <c r="F471" s="70"/>
      <c r="G471" s="1"/>
    </row>
    <row r="472" spans="1:7" s="637" customFormat="1" x14ac:dyDescent="0.6">
      <c r="A472" s="835" t="s">
        <v>1444</v>
      </c>
      <c r="B472" s="836" t="s">
        <v>809</v>
      </c>
      <c r="C472" s="686" t="s">
        <v>804</v>
      </c>
      <c r="D472" s="638"/>
      <c r="E472" s="114"/>
      <c r="F472" s="70"/>
      <c r="G472" s="1"/>
    </row>
    <row r="473" spans="1:7" s="637" customFormat="1" x14ac:dyDescent="0.6">
      <c r="A473" s="835"/>
      <c r="B473" s="836" t="s">
        <v>810</v>
      </c>
      <c r="C473" s="686" t="s">
        <v>804</v>
      </c>
      <c r="D473" s="638"/>
      <c r="E473" s="114"/>
      <c r="F473" s="70"/>
      <c r="G473" s="1"/>
    </row>
    <row r="474" spans="1:7" s="637" customFormat="1" x14ac:dyDescent="0.6">
      <c r="A474" s="835" t="s">
        <v>1445</v>
      </c>
      <c r="B474" s="836" t="s">
        <v>809</v>
      </c>
      <c r="C474" s="686" t="s">
        <v>804</v>
      </c>
      <c r="D474" s="638"/>
      <c r="E474" s="114"/>
      <c r="F474" s="70"/>
      <c r="G474" s="1"/>
    </row>
    <row r="475" spans="1:7" s="637" customFormat="1" x14ac:dyDescent="0.6">
      <c r="A475" s="835"/>
      <c r="B475" s="836" t="s">
        <v>810</v>
      </c>
      <c r="C475" s="686" t="s">
        <v>804</v>
      </c>
      <c r="D475" s="638"/>
      <c r="E475" s="114"/>
      <c r="F475" s="70"/>
      <c r="G475" s="1"/>
    </row>
    <row r="476" spans="1:7" s="637" customFormat="1" x14ac:dyDescent="0.6">
      <c r="A476" s="835"/>
      <c r="B476" s="836" t="s">
        <v>814</v>
      </c>
      <c r="C476" s="686" t="s">
        <v>804</v>
      </c>
      <c r="D476" s="638"/>
      <c r="E476" s="114"/>
      <c r="F476" s="70"/>
      <c r="G476" s="1"/>
    </row>
    <row r="477" spans="1:7" s="637" customFormat="1" x14ac:dyDescent="0.6">
      <c r="A477" s="835" t="s">
        <v>581</v>
      </c>
      <c r="B477" s="836" t="s">
        <v>809</v>
      </c>
      <c r="C477" s="835">
        <v>5723199</v>
      </c>
      <c r="D477" s="638"/>
      <c r="E477" s="114"/>
      <c r="F477" s="70"/>
      <c r="G477" s="1"/>
    </row>
    <row r="478" spans="1:7" s="637" customFormat="1" ht="15.9" thickBot="1" x14ac:dyDescent="0.65">
      <c r="A478" s="639"/>
      <c r="B478" s="837" t="s">
        <v>810</v>
      </c>
      <c r="C478" s="639">
        <v>227050801</v>
      </c>
      <c r="D478" s="640"/>
      <c r="E478" s="114"/>
      <c r="F478" s="70"/>
      <c r="G478" s="1"/>
    </row>
    <row r="479" spans="1:7" s="192" customFormat="1" ht="15.9" thickTop="1" x14ac:dyDescent="0.6">
      <c r="A479" s="78" t="s">
        <v>38</v>
      </c>
      <c r="B479" s="691"/>
      <c r="C479" s="790">
        <f>SUM(C480:C504)</f>
        <v>23987977</v>
      </c>
      <c r="D479" s="728">
        <f>SUM(D480:D504)</f>
        <v>0</v>
      </c>
      <c r="E479" s="114"/>
      <c r="F479" s="70"/>
      <c r="G479" s="1"/>
    </row>
    <row r="480" spans="1:7" x14ac:dyDescent="0.6">
      <c r="A480" s="118" t="s">
        <v>459</v>
      </c>
      <c r="B480" s="692" t="s">
        <v>117</v>
      </c>
      <c r="C480" s="686" t="s">
        <v>804</v>
      </c>
      <c r="D480" s="607"/>
    </row>
    <row r="481" spans="1:5" x14ac:dyDescent="0.6">
      <c r="A481" s="118"/>
      <c r="B481" s="692" t="s">
        <v>809</v>
      </c>
      <c r="C481" s="244">
        <v>17790</v>
      </c>
      <c r="D481" s="607"/>
    </row>
    <row r="482" spans="1:5" x14ac:dyDescent="0.6">
      <c r="A482" s="118"/>
      <c r="B482" s="692" t="s">
        <v>810</v>
      </c>
      <c r="C482" s="244">
        <v>2026</v>
      </c>
      <c r="D482" s="607"/>
    </row>
    <row r="483" spans="1:5" x14ac:dyDescent="0.6">
      <c r="A483" s="118"/>
      <c r="B483" s="692" t="s">
        <v>811</v>
      </c>
      <c r="C483" s="244">
        <v>11118</v>
      </c>
      <c r="D483" s="607"/>
    </row>
    <row r="484" spans="1:5" x14ac:dyDescent="0.6">
      <c r="A484" s="118"/>
      <c r="B484" s="692" t="s">
        <v>120</v>
      </c>
      <c r="C484" s="244">
        <v>4059</v>
      </c>
      <c r="D484" s="607"/>
    </row>
    <row r="485" spans="1:5" x14ac:dyDescent="0.6">
      <c r="A485" s="118" t="s">
        <v>261</v>
      </c>
      <c r="B485" s="692" t="s">
        <v>120</v>
      </c>
      <c r="C485" s="244">
        <v>79125</v>
      </c>
      <c r="D485" s="607"/>
    </row>
    <row r="486" spans="1:5" x14ac:dyDescent="0.6">
      <c r="A486" s="118" t="s">
        <v>582</v>
      </c>
      <c r="B486" s="692" t="s">
        <v>809</v>
      </c>
      <c r="C486" s="244">
        <v>12111848</v>
      </c>
      <c r="D486" s="607"/>
    </row>
    <row r="487" spans="1:5" x14ac:dyDescent="0.6">
      <c r="A487" s="118"/>
      <c r="B487" s="692" t="s">
        <v>810</v>
      </c>
      <c r="C487" s="244">
        <v>1379074</v>
      </c>
      <c r="D487" s="607"/>
    </row>
    <row r="488" spans="1:5" x14ac:dyDescent="0.6">
      <c r="A488" s="118"/>
      <c r="B488" s="692" t="s">
        <v>811</v>
      </c>
      <c r="C488" s="244">
        <v>7569741</v>
      </c>
      <c r="D488" s="607"/>
    </row>
    <row r="489" spans="1:5" x14ac:dyDescent="0.6">
      <c r="A489" s="118"/>
      <c r="B489" s="692" t="s">
        <v>120</v>
      </c>
      <c r="C489" s="244">
        <v>2763673</v>
      </c>
      <c r="D489" s="607"/>
    </row>
    <row r="490" spans="1:5" x14ac:dyDescent="0.6">
      <c r="A490" s="118" t="s">
        <v>1043</v>
      </c>
      <c r="B490" s="692"/>
      <c r="C490" s="686" t="s">
        <v>804</v>
      </c>
      <c r="D490" s="607"/>
    </row>
    <row r="491" spans="1:5" x14ac:dyDescent="0.6">
      <c r="A491" s="118" t="s">
        <v>263</v>
      </c>
      <c r="B491" s="692"/>
      <c r="C491" s="244">
        <v>49523</v>
      </c>
      <c r="D491" s="607"/>
      <c r="E491" s="114" t="s">
        <v>769</v>
      </c>
    </row>
    <row r="492" spans="1:5" x14ac:dyDescent="0.6">
      <c r="A492" s="118" t="s">
        <v>583</v>
      </c>
      <c r="B492" s="692" t="s">
        <v>812</v>
      </c>
      <c r="C492" s="114" t="s">
        <v>804</v>
      </c>
      <c r="D492" s="607"/>
    </row>
    <row r="493" spans="1:5" x14ac:dyDescent="0.6">
      <c r="A493" s="118" t="s">
        <v>455</v>
      </c>
      <c r="B493" s="692" t="s">
        <v>809</v>
      </c>
      <c r="C493" s="114" t="s">
        <v>804</v>
      </c>
      <c r="D493" s="607"/>
    </row>
    <row r="494" spans="1:5" x14ac:dyDescent="0.6">
      <c r="A494" s="118"/>
      <c r="B494" s="692" t="s">
        <v>810</v>
      </c>
      <c r="C494" s="114" t="s">
        <v>804</v>
      </c>
      <c r="D494" s="607"/>
    </row>
    <row r="495" spans="1:5" x14ac:dyDescent="0.6">
      <c r="A495" s="118"/>
      <c r="B495" s="692" t="s">
        <v>811</v>
      </c>
      <c r="C495" s="114" t="s">
        <v>804</v>
      </c>
      <c r="D495" s="607"/>
    </row>
    <row r="496" spans="1:5" x14ac:dyDescent="0.6">
      <c r="A496" s="118"/>
      <c r="B496" s="692" t="s">
        <v>120</v>
      </c>
      <c r="C496" s="114" t="s">
        <v>804</v>
      </c>
      <c r="D496" s="607"/>
    </row>
    <row r="497" spans="1:7" x14ac:dyDescent="0.6">
      <c r="A497" s="118" t="s">
        <v>1282</v>
      </c>
      <c r="B497" s="692" t="s">
        <v>809</v>
      </c>
      <c r="C497" s="114" t="s">
        <v>804</v>
      </c>
      <c r="D497" s="607"/>
    </row>
    <row r="498" spans="1:7" x14ac:dyDescent="0.6">
      <c r="A498" s="118"/>
      <c r="B498" s="692" t="s">
        <v>810</v>
      </c>
      <c r="C498" s="114" t="s">
        <v>804</v>
      </c>
      <c r="D498" s="607"/>
    </row>
    <row r="499" spans="1:7" x14ac:dyDescent="0.6">
      <c r="A499" s="118"/>
      <c r="B499" s="692" t="s">
        <v>811</v>
      </c>
      <c r="C499" s="114" t="s">
        <v>804</v>
      </c>
      <c r="D499" s="607"/>
    </row>
    <row r="500" spans="1:7" x14ac:dyDescent="0.6">
      <c r="A500" s="118"/>
      <c r="B500" s="692" t="s">
        <v>120</v>
      </c>
      <c r="C500" s="114" t="s">
        <v>804</v>
      </c>
      <c r="D500" s="607"/>
    </row>
    <row r="501" spans="1:7" x14ac:dyDescent="0.6">
      <c r="A501" s="118" t="s">
        <v>1449</v>
      </c>
      <c r="B501" s="692" t="s">
        <v>836</v>
      </c>
      <c r="C501" s="114" t="s">
        <v>804</v>
      </c>
      <c r="D501" s="607"/>
    </row>
    <row r="502" spans="1:7" x14ac:dyDescent="0.6">
      <c r="A502" s="118" t="s">
        <v>458</v>
      </c>
      <c r="B502" s="692" t="s">
        <v>117</v>
      </c>
      <c r="C502" s="114" t="s">
        <v>804</v>
      </c>
      <c r="D502" s="607"/>
    </row>
    <row r="503" spans="1:7" x14ac:dyDescent="0.6">
      <c r="A503" s="118"/>
      <c r="B503" s="692" t="s">
        <v>809</v>
      </c>
      <c r="C503" s="114" t="s">
        <v>804</v>
      </c>
      <c r="D503" s="607"/>
    </row>
    <row r="504" spans="1:7" ht="15.9" thickBot="1" x14ac:dyDescent="0.65">
      <c r="A504" s="16"/>
      <c r="B504" s="47" t="s">
        <v>810</v>
      </c>
      <c r="C504" s="594" t="s">
        <v>804</v>
      </c>
      <c r="D504" s="624"/>
    </row>
    <row r="505" spans="1:7" s="748" customFormat="1" ht="15.9" thickTop="1" x14ac:dyDescent="0.6">
      <c r="A505" s="1060" t="s">
        <v>39</v>
      </c>
      <c r="B505" s="688"/>
      <c r="C505" s="791">
        <f>SUM(C506:C508)</f>
        <v>536346476</v>
      </c>
      <c r="D505" s="724">
        <f>SUM(D507:D508)</f>
        <v>0</v>
      </c>
      <c r="E505" s="114"/>
      <c r="F505" s="70"/>
      <c r="G505" s="1"/>
    </row>
    <row r="506" spans="1:7" s="123" customFormat="1" x14ac:dyDescent="0.6">
      <c r="A506" s="599" t="s">
        <v>1450</v>
      </c>
      <c r="B506" s="689" t="s">
        <v>810</v>
      </c>
      <c r="C506" s="600">
        <v>500000000</v>
      </c>
      <c r="D506" s="130"/>
      <c r="E506" s="114"/>
      <c r="F506" s="70"/>
      <c r="G506" s="1"/>
    </row>
    <row r="507" spans="1:7" s="123" customFormat="1" x14ac:dyDescent="0.6">
      <c r="A507" s="599" t="s">
        <v>826</v>
      </c>
      <c r="B507" s="689" t="s">
        <v>810</v>
      </c>
      <c r="C507" s="600">
        <v>25267576</v>
      </c>
      <c r="D507" s="130"/>
      <c r="E507" s="114" t="s">
        <v>769</v>
      </c>
      <c r="F507" s="70"/>
      <c r="G507" s="1"/>
    </row>
    <row r="508" spans="1:7" s="145" customFormat="1" ht="15.9" thickBot="1" x14ac:dyDescent="0.65">
      <c r="A508" s="147"/>
      <c r="B508" s="693" t="s">
        <v>827</v>
      </c>
      <c r="C508" s="147">
        <v>11078900</v>
      </c>
      <c r="D508" s="148"/>
      <c r="E508" s="114" t="s">
        <v>769</v>
      </c>
      <c r="F508" s="70"/>
      <c r="G508" s="1"/>
    </row>
    <row r="509" spans="1:7" s="748" customFormat="1" ht="15.9" thickTop="1" x14ac:dyDescent="0.6">
      <c r="A509" s="1060" t="s">
        <v>40</v>
      </c>
      <c r="B509" s="688"/>
      <c r="C509" s="792">
        <f>SUM(C510:C516)</f>
        <v>30019168</v>
      </c>
      <c r="D509" s="731"/>
      <c r="E509" s="114"/>
      <c r="F509" s="70"/>
      <c r="G509" s="1"/>
    </row>
    <row r="510" spans="1:7" s="123" customFormat="1" x14ac:dyDescent="0.6">
      <c r="A510" s="599" t="s">
        <v>1363</v>
      </c>
      <c r="B510" s="689" t="s">
        <v>117</v>
      </c>
      <c r="C510" s="1406" t="s">
        <v>804</v>
      </c>
      <c r="D510" s="602"/>
      <c r="E510" s="114"/>
      <c r="F510" s="70"/>
      <c r="G510" s="1"/>
    </row>
    <row r="511" spans="1:7" s="123" customFormat="1" x14ac:dyDescent="0.6">
      <c r="A511" s="599"/>
      <c r="B511" s="689" t="s">
        <v>810</v>
      </c>
      <c r="C511" s="1406" t="s">
        <v>804</v>
      </c>
      <c r="D511" s="602"/>
      <c r="E511" s="114"/>
      <c r="F511" s="70"/>
      <c r="G511" s="1"/>
    </row>
    <row r="512" spans="1:7" s="123" customFormat="1" x14ac:dyDescent="0.6">
      <c r="A512" s="599"/>
      <c r="B512" s="689" t="s">
        <v>120</v>
      </c>
      <c r="C512" s="1406" t="s">
        <v>804</v>
      </c>
      <c r="D512" s="602"/>
      <c r="E512" s="114"/>
      <c r="F512" s="70"/>
      <c r="G512" s="1"/>
    </row>
    <row r="513" spans="1:7" s="123" customFormat="1" x14ac:dyDescent="0.6">
      <c r="A513" s="599" t="s">
        <v>1057</v>
      </c>
      <c r="B513" s="689" t="s">
        <v>117</v>
      </c>
      <c r="C513" s="601">
        <v>1570001</v>
      </c>
      <c r="D513" s="602"/>
      <c r="E513" s="114" t="s">
        <v>769</v>
      </c>
      <c r="F513" s="70"/>
      <c r="G513" s="1"/>
    </row>
    <row r="514" spans="1:7" s="123" customFormat="1" x14ac:dyDescent="0.6">
      <c r="A514" s="599"/>
      <c r="B514" s="689" t="s">
        <v>809</v>
      </c>
      <c r="C514" s="601">
        <v>2689412</v>
      </c>
      <c r="D514" s="602"/>
      <c r="E514" s="114" t="s">
        <v>769</v>
      </c>
      <c r="F514" s="70"/>
      <c r="G514" s="1"/>
    </row>
    <row r="515" spans="1:7" s="123" customFormat="1" x14ac:dyDescent="0.6">
      <c r="A515" s="599"/>
      <c r="B515" s="689" t="s">
        <v>810</v>
      </c>
      <c r="C515" s="601">
        <v>8201729</v>
      </c>
      <c r="D515" s="602"/>
      <c r="E515" s="114" t="s">
        <v>769</v>
      </c>
      <c r="F515" s="70"/>
      <c r="G515" s="1"/>
    </row>
    <row r="516" spans="1:7" s="123" customFormat="1" ht="15.9" thickBot="1" x14ac:dyDescent="0.65">
      <c r="A516" s="124"/>
      <c r="B516" s="690" t="s">
        <v>120</v>
      </c>
      <c r="C516" s="603">
        <v>17558026</v>
      </c>
      <c r="D516" s="604"/>
      <c r="E516" s="114" t="s">
        <v>769</v>
      </c>
      <c r="F516" s="70"/>
      <c r="G516" s="1"/>
    </row>
    <row r="517" spans="1:7" s="748" customFormat="1" ht="15.9" thickTop="1" x14ac:dyDescent="0.6">
      <c r="A517" s="1060" t="s">
        <v>31</v>
      </c>
      <c r="B517" s="688"/>
      <c r="C517" s="1407">
        <f>SUM(C518:C547)</f>
        <v>22388394546</v>
      </c>
      <c r="D517" s="1408"/>
      <c r="E517" s="114"/>
      <c r="F517" s="70"/>
      <c r="G517" s="1"/>
    </row>
    <row r="518" spans="1:7" s="748" customFormat="1" x14ac:dyDescent="0.6">
      <c r="A518" s="599" t="s">
        <v>1457</v>
      </c>
      <c r="B518" s="689" t="s">
        <v>117</v>
      </c>
      <c r="C518" s="694">
        <v>34805886</v>
      </c>
      <c r="D518" s="1409"/>
      <c r="E518" s="114"/>
      <c r="F518" s="70"/>
      <c r="G518" s="1"/>
    </row>
    <row r="519" spans="1:7" s="748" customFormat="1" x14ac:dyDescent="0.6">
      <c r="A519" s="599"/>
      <c r="B519" s="689" t="s">
        <v>809</v>
      </c>
      <c r="C519" s="694">
        <v>284452805</v>
      </c>
      <c r="D519" s="1409"/>
      <c r="E519" s="114"/>
      <c r="F519" s="70"/>
      <c r="G519" s="1"/>
    </row>
    <row r="520" spans="1:7" s="748" customFormat="1" x14ac:dyDescent="0.6">
      <c r="A520" s="599"/>
      <c r="B520" s="689" t="s">
        <v>810</v>
      </c>
      <c r="C520" s="694">
        <v>680741309</v>
      </c>
      <c r="D520" s="1409"/>
      <c r="E520" s="114"/>
      <c r="F520" s="70"/>
      <c r="G520" s="1"/>
    </row>
    <row r="521" spans="1:7" s="748" customFormat="1" x14ac:dyDescent="0.6">
      <c r="A521" s="599" t="s">
        <v>1458</v>
      </c>
      <c r="B521" s="689" t="s">
        <v>117</v>
      </c>
      <c r="C521" s="694">
        <v>52104411</v>
      </c>
      <c r="D521" s="1409"/>
      <c r="E521" s="114"/>
      <c r="F521" s="70"/>
      <c r="G521" s="1"/>
    </row>
    <row r="522" spans="1:7" s="748" customFormat="1" x14ac:dyDescent="0.6">
      <c r="A522" s="599"/>
      <c r="B522" s="689" t="s">
        <v>809</v>
      </c>
      <c r="C522" s="694">
        <v>425825849</v>
      </c>
      <c r="D522" s="1409"/>
      <c r="E522" s="114"/>
      <c r="F522" s="70"/>
      <c r="G522" s="1"/>
    </row>
    <row r="523" spans="1:7" s="748" customFormat="1" x14ac:dyDescent="0.6">
      <c r="A523" s="599"/>
      <c r="B523" s="689" t="s">
        <v>810</v>
      </c>
      <c r="C523" s="694">
        <v>1019069740</v>
      </c>
      <c r="D523" s="1409"/>
      <c r="E523" s="114"/>
      <c r="F523" s="70"/>
      <c r="G523" s="1"/>
    </row>
    <row r="524" spans="1:7" s="748" customFormat="1" x14ac:dyDescent="0.6">
      <c r="A524" s="599" t="s">
        <v>1459</v>
      </c>
      <c r="B524" s="689"/>
      <c r="C524" s="694">
        <v>366000000</v>
      </c>
      <c r="D524" s="1409"/>
      <c r="E524" s="114"/>
      <c r="F524" s="70"/>
      <c r="G524" s="1"/>
    </row>
    <row r="525" spans="1:7" s="748" customFormat="1" x14ac:dyDescent="0.6">
      <c r="A525" s="599" t="s">
        <v>1460</v>
      </c>
      <c r="B525" s="689" t="s">
        <v>117</v>
      </c>
      <c r="C525" s="694">
        <v>1402796</v>
      </c>
      <c r="D525" s="1409"/>
      <c r="E525" s="114"/>
      <c r="F525" s="70"/>
      <c r="G525" s="1"/>
    </row>
    <row r="526" spans="1:7" s="748" customFormat="1" x14ac:dyDescent="0.6">
      <c r="A526" s="599"/>
      <c r="B526" s="689" t="s">
        <v>809</v>
      </c>
      <c r="C526" s="694">
        <v>11464417</v>
      </c>
      <c r="D526" s="1409"/>
      <c r="E526" s="114"/>
      <c r="F526" s="70"/>
      <c r="G526" s="1"/>
    </row>
    <row r="527" spans="1:7" s="748" customFormat="1" x14ac:dyDescent="0.6">
      <c r="A527" s="599"/>
      <c r="B527" s="689" t="s">
        <v>810</v>
      </c>
      <c r="C527" s="694">
        <v>27435787</v>
      </c>
      <c r="D527" s="1409"/>
      <c r="E527" s="114"/>
      <c r="F527" s="70"/>
      <c r="G527" s="1"/>
    </row>
    <row r="528" spans="1:7" s="748" customFormat="1" x14ac:dyDescent="0.6">
      <c r="A528" s="599" t="s">
        <v>1461</v>
      </c>
      <c r="B528" s="689" t="s">
        <v>117</v>
      </c>
      <c r="C528" s="1065" t="s">
        <v>804</v>
      </c>
      <c r="D528" s="1409"/>
      <c r="E528" s="114"/>
      <c r="F528" s="70"/>
      <c r="G528" s="1"/>
    </row>
    <row r="529" spans="1:7" s="748" customFormat="1" x14ac:dyDescent="0.6">
      <c r="A529" s="599"/>
      <c r="B529" s="689" t="s">
        <v>809</v>
      </c>
      <c r="C529" s="1065" t="s">
        <v>804</v>
      </c>
      <c r="D529" s="1409"/>
      <c r="E529" s="114"/>
      <c r="F529" s="70"/>
      <c r="G529" s="1"/>
    </row>
    <row r="530" spans="1:7" s="748" customFormat="1" x14ac:dyDescent="0.6">
      <c r="A530" s="599"/>
      <c r="B530" s="689" t="s">
        <v>810</v>
      </c>
      <c r="C530" s="1065" t="s">
        <v>804</v>
      </c>
      <c r="D530" s="1409"/>
      <c r="E530" s="114"/>
      <c r="F530" s="70"/>
      <c r="G530" s="1"/>
    </row>
    <row r="531" spans="1:7" s="748" customFormat="1" x14ac:dyDescent="0.6">
      <c r="A531" s="599" t="s">
        <v>1462</v>
      </c>
      <c r="B531" s="689" t="s">
        <v>117</v>
      </c>
      <c r="C531" s="694">
        <v>64043476</v>
      </c>
      <c r="D531" s="1409"/>
      <c r="E531" s="114"/>
      <c r="F531" s="70"/>
      <c r="G531" s="1"/>
    </row>
    <row r="532" spans="1:7" s="748" customFormat="1" x14ac:dyDescent="0.6">
      <c r="A532" s="599"/>
      <c r="B532" s="689" t="s">
        <v>809</v>
      </c>
      <c r="C532" s="694">
        <v>523398444</v>
      </c>
      <c r="D532" s="1409"/>
      <c r="E532" s="114"/>
      <c r="F532" s="70"/>
      <c r="G532" s="1"/>
    </row>
    <row r="533" spans="1:7" s="748" customFormat="1" x14ac:dyDescent="0.6">
      <c r="A533" s="599"/>
      <c r="B533" s="689" t="s">
        <v>810</v>
      </c>
      <c r="C533" s="694">
        <v>1252558080</v>
      </c>
      <c r="D533" s="1409"/>
      <c r="E533" s="114"/>
      <c r="F533" s="70"/>
      <c r="G533" s="1"/>
    </row>
    <row r="534" spans="1:7" s="748" customFormat="1" x14ac:dyDescent="0.6">
      <c r="A534" s="599" t="s">
        <v>1463</v>
      </c>
      <c r="B534" s="689" t="s">
        <v>117</v>
      </c>
      <c r="C534" s="694">
        <v>16637381</v>
      </c>
      <c r="D534" s="1409"/>
      <c r="E534" s="114"/>
      <c r="F534" s="70"/>
      <c r="G534" s="1"/>
    </row>
    <row r="535" spans="1:7" s="748" customFormat="1" x14ac:dyDescent="0.6">
      <c r="A535" s="599"/>
      <c r="B535" s="689" t="s">
        <v>809</v>
      </c>
      <c r="C535" s="694">
        <v>135969813</v>
      </c>
      <c r="D535" s="1409"/>
      <c r="E535" s="114"/>
      <c r="F535" s="70"/>
      <c r="G535" s="1"/>
    </row>
    <row r="536" spans="1:7" s="748" customFormat="1" x14ac:dyDescent="0.6">
      <c r="A536" s="599"/>
      <c r="B536" s="689" t="s">
        <v>810</v>
      </c>
      <c r="C536" s="694">
        <v>325392806</v>
      </c>
      <c r="D536" s="1409"/>
      <c r="E536" s="114"/>
      <c r="F536" s="70"/>
      <c r="G536" s="1"/>
    </row>
    <row r="537" spans="1:7" s="748" customFormat="1" x14ac:dyDescent="0.6">
      <c r="A537" s="599" t="s">
        <v>1464</v>
      </c>
      <c r="B537" s="689" t="s">
        <v>117</v>
      </c>
      <c r="C537" s="694">
        <v>52418193</v>
      </c>
      <c r="D537" s="1409"/>
      <c r="E537" s="114"/>
      <c r="F537" s="70"/>
      <c r="G537" s="1"/>
    </row>
    <row r="538" spans="1:7" s="748" customFormat="1" x14ac:dyDescent="0.6">
      <c r="A538" s="599"/>
      <c r="B538" s="689" t="s">
        <v>809</v>
      </c>
      <c r="C538" s="694">
        <v>428390248</v>
      </c>
      <c r="D538" s="1409"/>
      <c r="E538" s="114"/>
      <c r="F538" s="70"/>
      <c r="G538" s="1"/>
    </row>
    <row r="539" spans="1:7" s="748" customFormat="1" x14ac:dyDescent="0.6">
      <c r="A539" s="599"/>
      <c r="B539" s="689" t="s">
        <v>810</v>
      </c>
      <c r="C539" s="694">
        <v>1025191559</v>
      </c>
      <c r="D539" s="1409"/>
      <c r="E539" s="114"/>
      <c r="F539" s="70"/>
      <c r="G539" s="1"/>
    </row>
    <row r="540" spans="1:7" s="748" customFormat="1" x14ac:dyDescent="0.6">
      <c r="A540" s="599" t="s">
        <v>1314</v>
      </c>
      <c r="B540" s="689" t="s">
        <v>117</v>
      </c>
      <c r="C540" s="694">
        <v>48884572</v>
      </c>
      <c r="D540" s="1409"/>
      <c r="E540" s="114"/>
      <c r="F540" s="70"/>
      <c r="G540" s="1"/>
    </row>
    <row r="541" spans="1:7" s="748" customFormat="1" x14ac:dyDescent="0.6">
      <c r="A541" s="599"/>
      <c r="B541" s="689" t="s">
        <v>809</v>
      </c>
      <c r="C541" s="694">
        <v>399511560</v>
      </c>
      <c r="D541" s="1409"/>
      <c r="E541" s="114"/>
      <c r="F541" s="70"/>
      <c r="G541" s="1"/>
    </row>
    <row r="542" spans="1:7" s="748" customFormat="1" x14ac:dyDescent="0.6">
      <c r="A542" s="599"/>
      <c r="B542" s="689" t="s">
        <v>810</v>
      </c>
      <c r="C542" s="694">
        <v>956095415</v>
      </c>
      <c r="D542" s="1409"/>
      <c r="E542" s="114"/>
      <c r="F542" s="70"/>
      <c r="G542" s="1"/>
    </row>
    <row r="543" spans="1:7" s="748" customFormat="1" x14ac:dyDescent="0.6">
      <c r="A543" s="599" t="s">
        <v>1465</v>
      </c>
      <c r="B543" s="689"/>
      <c r="C543" s="694">
        <v>1904000000</v>
      </c>
      <c r="D543" s="1409"/>
      <c r="E543" s="114"/>
      <c r="F543" s="70"/>
      <c r="G543" s="1"/>
    </row>
    <row r="544" spans="1:7" s="748" customFormat="1" x14ac:dyDescent="0.6">
      <c r="A544" s="599" t="s">
        <v>1466</v>
      </c>
      <c r="B544" s="689" t="s">
        <v>117</v>
      </c>
      <c r="C544" s="694">
        <v>42185159</v>
      </c>
      <c r="D544" s="1409"/>
      <c r="E544" s="114"/>
      <c r="F544" s="70"/>
      <c r="G544" s="1"/>
    </row>
    <row r="545" spans="1:7" s="748" customFormat="1" x14ac:dyDescent="0.6">
      <c r="A545" s="599"/>
      <c r="B545" s="689" t="s">
        <v>809</v>
      </c>
      <c r="C545" s="694">
        <v>344760279</v>
      </c>
      <c r="D545" s="1409"/>
      <c r="E545" s="114"/>
      <c r="F545" s="70"/>
      <c r="G545" s="1"/>
    </row>
    <row r="546" spans="1:7" s="748" customFormat="1" x14ac:dyDescent="0.6">
      <c r="A546" s="599"/>
      <c r="B546" s="689" t="s">
        <v>810</v>
      </c>
      <c r="C546" s="694">
        <v>825054561</v>
      </c>
      <c r="D546" s="1409"/>
      <c r="E546" s="114"/>
      <c r="F546" s="70"/>
      <c r="G546" s="1"/>
    </row>
    <row r="547" spans="1:7" s="697" customFormat="1" ht="15.9" thickBot="1" x14ac:dyDescent="0.65">
      <c r="A547" s="698" t="s">
        <v>1363</v>
      </c>
      <c r="B547" s="699"/>
      <c r="C547" s="698">
        <v>11140600000</v>
      </c>
      <c r="D547" s="700"/>
      <c r="E547" s="114"/>
      <c r="F547" s="70"/>
      <c r="G547" s="1"/>
    </row>
    <row r="548" spans="1:7" s="748" customFormat="1" ht="15.9" thickTop="1" x14ac:dyDescent="0.6">
      <c r="A548" s="1060" t="s">
        <v>47</v>
      </c>
      <c r="B548" s="688"/>
      <c r="C548" s="793">
        <f>SUM(C549:C558)</f>
        <v>312816052122</v>
      </c>
      <c r="D548" s="733">
        <f>SUM(D549:D558)</f>
        <v>0</v>
      </c>
      <c r="E548" s="114"/>
      <c r="F548" s="70"/>
      <c r="G548" s="1"/>
    </row>
    <row r="549" spans="1:7" s="748" customFormat="1" x14ac:dyDescent="0.6">
      <c r="A549" s="599" t="s">
        <v>828</v>
      </c>
      <c r="B549" s="689" t="s">
        <v>831</v>
      </c>
      <c r="C549" s="605">
        <v>16008600000</v>
      </c>
      <c r="D549" s="606"/>
      <c r="E549" s="114" t="s">
        <v>769</v>
      </c>
      <c r="F549" s="70"/>
      <c r="G549" s="1"/>
    </row>
    <row r="550" spans="1:7" s="748" customFormat="1" x14ac:dyDescent="0.6">
      <c r="A550" s="599" t="s">
        <v>1467</v>
      </c>
      <c r="B550" s="689" t="s">
        <v>117</v>
      </c>
      <c r="C550" s="605">
        <v>38564000000</v>
      </c>
      <c r="D550" s="606"/>
      <c r="E550" s="114"/>
      <c r="F550" s="70"/>
      <c r="G550" s="1"/>
    </row>
    <row r="551" spans="1:7" s="748" customFormat="1" x14ac:dyDescent="0.6">
      <c r="A551" s="599" t="s">
        <v>1468</v>
      </c>
      <c r="B551" s="689"/>
      <c r="C551" s="605">
        <v>4670000000</v>
      </c>
      <c r="D551" s="606"/>
      <c r="E551" s="114"/>
      <c r="F551" s="70"/>
      <c r="G551" s="1"/>
    </row>
    <row r="552" spans="1:7" s="748" customFormat="1" x14ac:dyDescent="0.6">
      <c r="A552" s="599" t="s">
        <v>1469</v>
      </c>
      <c r="B552" s="689"/>
      <c r="C552" s="1065" t="s">
        <v>804</v>
      </c>
      <c r="D552" s="606"/>
      <c r="E552" s="114"/>
      <c r="F552" s="70"/>
      <c r="G552" s="1"/>
    </row>
    <row r="553" spans="1:7" s="748" customFormat="1" x14ac:dyDescent="0.6">
      <c r="A553" s="599" t="s">
        <v>1470</v>
      </c>
      <c r="B553" s="689"/>
      <c r="C553" s="1065" t="s">
        <v>804</v>
      </c>
      <c r="D553" s="606"/>
      <c r="E553" s="114"/>
      <c r="F553" s="70"/>
      <c r="G553" s="1"/>
    </row>
    <row r="554" spans="1:7" s="748" customFormat="1" x14ac:dyDescent="0.6">
      <c r="A554" s="599" t="s">
        <v>1471</v>
      </c>
      <c r="B554" s="689"/>
      <c r="C554" s="1065" t="s">
        <v>804</v>
      </c>
      <c r="D554" s="606"/>
      <c r="E554" s="114"/>
      <c r="F554" s="70"/>
      <c r="G554" s="1"/>
    </row>
    <row r="555" spans="1:7" s="748" customFormat="1" x14ac:dyDescent="0.6">
      <c r="A555" s="599" t="s">
        <v>829</v>
      </c>
      <c r="B555" s="689"/>
      <c r="C555" s="605">
        <v>102656000000</v>
      </c>
      <c r="D555" s="606"/>
      <c r="E555" s="114"/>
      <c r="F555" s="70"/>
      <c r="G555" s="1"/>
    </row>
    <row r="556" spans="1:7" s="748" customFormat="1" x14ac:dyDescent="0.6">
      <c r="A556" s="599" t="s">
        <v>830</v>
      </c>
      <c r="B556" s="689" t="s">
        <v>825</v>
      </c>
      <c r="C556" s="605">
        <v>132202000000</v>
      </c>
      <c r="D556" s="606"/>
      <c r="E556" s="114"/>
      <c r="F556" s="70"/>
      <c r="G556" s="1"/>
    </row>
    <row r="557" spans="1:7" s="748" customFormat="1" x14ac:dyDescent="0.6">
      <c r="A557" s="599" t="s">
        <v>1472</v>
      </c>
      <c r="B557" s="689" t="s">
        <v>117</v>
      </c>
      <c r="C557" s="605">
        <v>423052122</v>
      </c>
      <c r="D557" s="606"/>
      <c r="E557" s="114"/>
      <c r="F557" s="70"/>
      <c r="G557" s="1"/>
    </row>
    <row r="558" spans="1:7" s="123" customFormat="1" ht="15.9" thickBot="1" x14ac:dyDescent="0.65">
      <c r="A558" s="124"/>
      <c r="B558" s="690" t="s">
        <v>810</v>
      </c>
      <c r="C558" s="625">
        <v>18292400000</v>
      </c>
      <c r="D558" s="626"/>
      <c r="E558" s="114"/>
      <c r="F558" s="70"/>
      <c r="G558" s="1"/>
    </row>
    <row r="559" spans="1:7" s="120" customFormat="1" ht="15.9" thickTop="1" x14ac:dyDescent="0.6">
      <c r="A559" s="1092" t="s">
        <v>32</v>
      </c>
      <c r="B559" s="708"/>
      <c r="C559" s="790">
        <f>SUM(C560:C588)</f>
        <v>14595830</v>
      </c>
      <c r="D559" s="728">
        <f>SUM(D560:D588)</f>
        <v>0</v>
      </c>
      <c r="E559" s="114"/>
      <c r="F559" s="70"/>
      <c r="G559" s="1"/>
    </row>
    <row r="560" spans="1:7" s="704" customFormat="1" x14ac:dyDescent="0.6">
      <c r="A560" s="701" t="s">
        <v>584</v>
      </c>
      <c r="B560" s="702" t="s">
        <v>809</v>
      </c>
      <c r="C560" s="1065" t="s">
        <v>804</v>
      </c>
      <c r="D560" s="703"/>
      <c r="E560" s="114"/>
      <c r="F560" s="70"/>
      <c r="G560" s="1"/>
    </row>
    <row r="561" spans="1:7" s="704" customFormat="1" x14ac:dyDescent="0.6">
      <c r="A561" s="701"/>
      <c r="B561" s="702" t="s">
        <v>810</v>
      </c>
      <c r="C561" s="1065" t="s">
        <v>804</v>
      </c>
      <c r="D561" s="703"/>
      <c r="E561" s="114"/>
      <c r="F561" s="70"/>
      <c r="G561" s="1"/>
    </row>
    <row r="562" spans="1:7" s="704" customFormat="1" x14ac:dyDescent="0.6">
      <c r="A562" s="701" t="s">
        <v>585</v>
      </c>
      <c r="B562" s="702" t="s">
        <v>809</v>
      </c>
      <c r="C562" s="701">
        <v>69754</v>
      </c>
      <c r="D562" s="703"/>
      <c r="E562" s="114"/>
      <c r="F562" s="70"/>
      <c r="G562" s="1"/>
    </row>
    <row r="563" spans="1:7" s="704" customFormat="1" x14ac:dyDescent="0.6">
      <c r="A563" s="701"/>
      <c r="B563" s="702" t="s">
        <v>810</v>
      </c>
      <c r="C563" s="701">
        <v>75586</v>
      </c>
      <c r="D563" s="703"/>
      <c r="E563" s="114"/>
      <c r="F563" s="70"/>
      <c r="G563" s="1"/>
    </row>
    <row r="564" spans="1:7" s="704" customFormat="1" x14ac:dyDescent="0.6">
      <c r="A564" s="701" t="s">
        <v>1316</v>
      </c>
      <c r="B564" s="702" t="s">
        <v>809</v>
      </c>
      <c r="C564" s="1065" t="s">
        <v>804</v>
      </c>
      <c r="D564" s="703"/>
      <c r="E564" s="114"/>
      <c r="F564" s="70"/>
      <c r="G564" s="1"/>
    </row>
    <row r="565" spans="1:7" s="704" customFormat="1" x14ac:dyDescent="0.6">
      <c r="A565" s="701"/>
      <c r="B565" s="702" t="s">
        <v>810</v>
      </c>
      <c r="C565" s="1065" t="s">
        <v>804</v>
      </c>
      <c r="D565" s="703"/>
      <c r="E565" s="114"/>
      <c r="F565" s="70"/>
      <c r="G565" s="1"/>
    </row>
    <row r="566" spans="1:7" s="704" customFormat="1" x14ac:dyDescent="0.6">
      <c r="A566" s="701" t="s">
        <v>470</v>
      </c>
      <c r="B566" s="702" t="s">
        <v>809</v>
      </c>
      <c r="C566" s="1065" t="s">
        <v>804</v>
      </c>
      <c r="D566" s="703"/>
      <c r="E566" s="114"/>
      <c r="F566" s="70"/>
      <c r="G566" s="1"/>
    </row>
    <row r="567" spans="1:7" s="704" customFormat="1" x14ac:dyDescent="0.6">
      <c r="A567" s="701"/>
      <c r="B567" s="702" t="s">
        <v>810</v>
      </c>
      <c r="C567" s="1065" t="s">
        <v>804</v>
      </c>
      <c r="D567" s="703"/>
      <c r="E567" s="114"/>
      <c r="F567" s="70"/>
      <c r="G567" s="1"/>
    </row>
    <row r="568" spans="1:7" s="704" customFormat="1" x14ac:dyDescent="0.6">
      <c r="A568" s="701" t="s">
        <v>1473</v>
      </c>
      <c r="B568" s="702" t="s">
        <v>809</v>
      </c>
      <c r="C568" s="1065" t="s">
        <v>804</v>
      </c>
      <c r="D568" s="703"/>
      <c r="E568" s="114"/>
      <c r="F568" s="70"/>
      <c r="G568" s="1"/>
    </row>
    <row r="569" spans="1:7" s="704" customFormat="1" x14ac:dyDescent="0.6">
      <c r="A569" s="701"/>
      <c r="B569" s="702" t="s">
        <v>810</v>
      </c>
      <c r="C569" s="1065" t="s">
        <v>804</v>
      </c>
      <c r="D569" s="703"/>
      <c r="E569" s="114"/>
      <c r="F569" s="70"/>
      <c r="G569" s="1"/>
    </row>
    <row r="570" spans="1:7" s="704" customFormat="1" x14ac:dyDescent="0.6">
      <c r="A570" s="701" t="s">
        <v>1474</v>
      </c>
      <c r="B570" s="702" t="s">
        <v>809</v>
      </c>
      <c r="C570" s="1065" t="s">
        <v>804</v>
      </c>
      <c r="D570" s="703"/>
      <c r="E570" s="114"/>
      <c r="F570" s="70"/>
      <c r="G570" s="1"/>
    </row>
    <row r="571" spans="1:7" s="704" customFormat="1" x14ac:dyDescent="0.6">
      <c r="A571" s="701"/>
      <c r="B571" s="702" t="s">
        <v>810</v>
      </c>
      <c r="C571" s="1065" t="s">
        <v>804</v>
      </c>
      <c r="D571" s="703"/>
      <c r="E571" s="114"/>
      <c r="F571" s="70"/>
      <c r="G571" s="1"/>
    </row>
    <row r="572" spans="1:7" s="704" customFormat="1" x14ac:dyDescent="0.6">
      <c r="A572" s="701" t="s">
        <v>1475</v>
      </c>
      <c r="B572" s="702" t="s">
        <v>809</v>
      </c>
      <c r="C572" s="1065" t="s">
        <v>804</v>
      </c>
      <c r="D572" s="703"/>
      <c r="E572" s="114"/>
      <c r="F572" s="70"/>
      <c r="G572" s="1"/>
    </row>
    <row r="573" spans="1:7" s="704" customFormat="1" x14ac:dyDescent="0.6">
      <c r="A573" s="701"/>
      <c r="B573" s="702" t="s">
        <v>810</v>
      </c>
      <c r="C573" s="1065" t="s">
        <v>804</v>
      </c>
      <c r="D573" s="703"/>
      <c r="E573" s="114"/>
      <c r="F573" s="70"/>
      <c r="G573" s="1"/>
    </row>
    <row r="574" spans="1:7" s="704" customFormat="1" x14ac:dyDescent="0.6">
      <c r="A574" s="701" t="s">
        <v>1320</v>
      </c>
      <c r="B574" s="702" t="s">
        <v>809</v>
      </c>
      <c r="C574" s="1065" t="s">
        <v>804</v>
      </c>
      <c r="D574" s="703"/>
      <c r="E574" s="114"/>
      <c r="F574" s="70"/>
      <c r="G574" s="1"/>
    </row>
    <row r="575" spans="1:7" s="704" customFormat="1" x14ac:dyDescent="0.6">
      <c r="A575" s="701"/>
      <c r="B575" s="702" t="s">
        <v>810</v>
      </c>
      <c r="C575" s="1065" t="s">
        <v>804</v>
      </c>
      <c r="D575" s="703"/>
      <c r="E575" s="114"/>
      <c r="F575" s="70"/>
      <c r="G575" s="1"/>
    </row>
    <row r="576" spans="1:7" s="704" customFormat="1" x14ac:dyDescent="0.6">
      <c r="A576" s="701" t="s">
        <v>1321</v>
      </c>
      <c r="B576" s="702" t="s">
        <v>809</v>
      </c>
      <c r="C576" s="1065" t="s">
        <v>804</v>
      </c>
      <c r="D576" s="703"/>
      <c r="E576" s="114"/>
      <c r="F576" s="70"/>
      <c r="G576" s="1"/>
    </row>
    <row r="577" spans="1:7" s="704" customFormat="1" x14ac:dyDescent="0.6">
      <c r="A577" s="701"/>
      <c r="B577" s="702" t="s">
        <v>810</v>
      </c>
      <c r="C577" s="1065" t="s">
        <v>804</v>
      </c>
      <c r="D577" s="703"/>
      <c r="E577" s="114"/>
      <c r="F577" s="70"/>
      <c r="G577" s="1"/>
    </row>
    <row r="578" spans="1:7" s="704" customFormat="1" x14ac:dyDescent="0.6">
      <c r="A578" s="701" t="s">
        <v>472</v>
      </c>
      <c r="B578" s="702" t="s">
        <v>809</v>
      </c>
      <c r="C578" s="701">
        <v>291988</v>
      </c>
      <c r="D578" s="703"/>
      <c r="E578" s="114"/>
      <c r="F578" s="70"/>
      <c r="G578" s="1"/>
    </row>
    <row r="579" spans="1:7" s="704" customFormat="1" x14ac:dyDescent="0.6">
      <c r="A579" s="701"/>
      <c r="B579" s="702" t="s">
        <v>810</v>
      </c>
      <c r="C579" s="701">
        <v>316402</v>
      </c>
      <c r="D579" s="703"/>
      <c r="E579" s="114"/>
      <c r="F579" s="70"/>
      <c r="G579" s="1"/>
    </row>
    <row r="580" spans="1:7" s="704" customFormat="1" x14ac:dyDescent="0.6">
      <c r="A580" s="701"/>
      <c r="B580" s="702" t="s">
        <v>811</v>
      </c>
      <c r="C580" s="701">
        <v>4866</v>
      </c>
      <c r="D580" s="703"/>
      <c r="E580" s="114"/>
      <c r="F580" s="70"/>
      <c r="G580" s="1"/>
    </row>
    <row r="581" spans="1:7" s="704" customFormat="1" x14ac:dyDescent="0.6">
      <c r="A581" s="701"/>
      <c r="B581" s="702" t="s">
        <v>120</v>
      </c>
      <c r="C581" s="701">
        <v>7489</v>
      </c>
      <c r="D581" s="703"/>
      <c r="E581" s="114"/>
      <c r="F581" s="70"/>
      <c r="G581" s="1"/>
    </row>
    <row r="582" spans="1:7" s="704" customFormat="1" x14ac:dyDescent="0.6">
      <c r="A582" s="701" t="s">
        <v>832</v>
      </c>
      <c r="B582" s="702" t="s">
        <v>809</v>
      </c>
      <c r="C582" s="701">
        <v>1448802</v>
      </c>
      <c r="D582" s="703"/>
      <c r="E582" s="114"/>
      <c r="F582" s="70"/>
      <c r="G582" s="1"/>
    </row>
    <row r="583" spans="1:7" s="704" customFormat="1" x14ac:dyDescent="0.6">
      <c r="A583" s="701"/>
      <c r="B583" s="702" t="s">
        <v>810</v>
      </c>
      <c r="C583" s="701">
        <v>1569943</v>
      </c>
      <c r="D583" s="703"/>
      <c r="E583" s="114"/>
      <c r="F583" s="70"/>
      <c r="G583" s="1"/>
    </row>
    <row r="584" spans="1:7" s="704" customFormat="1" x14ac:dyDescent="0.6">
      <c r="A584" s="701" t="s">
        <v>1476</v>
      </c>
      <c r="B584" s="702" t="s">
        <v>809</v>
      </c>
      <c r="C584" s="1065" t="s">
        <v>804</v>
      </c>
      <c r="D584" s="703"/>
      <c r="E584" s="114"/>
      <c r="F584" s="70"/>
      <c r="G584" s="1"/>
    </row>
    <row r="585" spans="1:7" s="704" customFormat="1" x14ac:dyDescent="0.6">
      <c r="A585" s="701"/>
      <c r="B585" s="702" t="s">
        <v>810</v>
      </c>
      <c r="C585" s="1065" t="s">
        <v>804</v>
      </c>
      <c r="D585" s="703"/>
      <c r="E585" s="114"/>
      <c r="F585" s="70"/>
      <c r="G585" s="1"/>
    </row>
    <row r="586" spans="1:7" s="704" customFormat="1" x14ac:dyDescent="0.6">
      <c r="A586" s="701" t="s">
        <v>1477</v>
      </c>
      <c r="B586" s="702" t="s">
        <v>812</v>
      </c>
      <c r="C586" s="701">
        <v>10811000</v>
      </c>
      <c r="D586" s="703"/>
      <c r="E586" s="114"/>
      <c r="F586" s="70"/>
      <c r="G586" s="1"/>
    </row>
    <row r="587" spans="1:7" s="704" customFormat="1" x14ac:dyDescent="0.6">
      <c r="A587" s="701" t="s">
        <v>1478</v>
      </c>
      <c r="B587" s="702" t="s">
        <v>809</v>
      </c>
      <c r="C587" s="1410" t="s">
        <v>804</v>
      </c>
      <c r="D587" s="703"/>
      <c r="E587" s="114"/>
      <c r="F587" s="70"/>
      <c r="G587" s="1"/>
    </row>
    <row r="588" spans="1:7" s="704" customFormat="1" ht="15.9" thickBot="1" x14ac:dyDescent="0.65">
      <c r="A588" s="705"/>
      <c r="B588" s="706" t="s">
        <v>810</v>
      </c>
      <c r="C588" s="1411" t="s">
        <v>804</v>
      </c>
      <c r="D588" s="707"/>
      <c r="E588" s="114"/>
      <c r="F588" s="70"/>
      <c r="G588" s="1"/>
    </row>
    <row r="589" spans="1:7" s="748" customFormat="1" ht="15.9" thickTop="1" x14ac:dyDescent="0.6">
      <c r="A589" s="1060" t="s">
        <v>33</v>
      </c>
      <c r="B589" s="688"/>
      <c r="C589" s="790"/>
      <c r="D589" s="728"/>
      <c r="E589" s="114"/>
      <c r="F589" s="70"/>
      <c r="G589" s="1"/>
    </row>
    <row r="590" spans="1:7" s="123" customFormat="1" ht="15.9" thickBot="1" x14ac:dyDescent="0.65">
      <c r="A590" s="124"/>
      <c r="B590" s="690"/>
      <c r="C590" s="108"/>
      <c r="D590" s="624"/>
      <c r="E590" s="1593"/>
      <c r="F590" s="108"/>
      <c r="G590" s="16"/>
    </row>
    <row r="591" spans="1:7" s="748" customFormat="1" ht="15.9" thickTop="1" x14ac:dyDescent="0.6">
      <c r="A591" s="1060" t="s">
        <v>46</v>
      </c>
      <c r="B591" s="688"/>
      <c r="C591" s="794">
        <f>SUM(C592:C598)</f>
        <v>0</v>
      </c>
      <c r="D591" s="735">
        <f>SUM(D592:D598)</f>
        <v>0</v>
      </c>
      <c r="E591" s="114"/>
    </row>
    <row r="592" spans="1:7" s="123" customFormat="1" x14ac:dyDescent="0.6">
      <c r="A592" s="599" t="s">
        <v>833</v>
      </c>
      <c r="B592" s="689" t="s">
        <v>812</v>
      </c>
      <c r="C592" s="774" t="s">
        <v>804</v>
      </c>
      <c r="D592" s="609"/>
      <c r="E592" s="114"/>
      <c r="F592" s="1594" t="s">
        <v>78</v>
      </c>
      <c r="G592" s="69"/>
    </row>
    <row r="593" spans="1:7" s="123" customFormat="1" x14ac:dyDescent="0.6">
      <c r="A593" s="599" t="s">
        <v>834</v>
      </c>
      <c r="B593" s="689" t="s">
        <v>117</v>
      </c>
      <c r="C593" s="774" t="s">
        <v>804</v>
      </c>
      <c r="D593" s="609"/>
      <c r="E593" s="114" t="s">
        <v>769</v>
      </c>
      <c r="F593" s="593" t="s">
        <v>42</v>
      </c>
      <c r="G593" s="1">
        <v>59</v>
      </c>
    </row>
    <row r="594" spans="1:7" s="123" customFormat="1" x14ac:dyDescent="0.6">
      <c r="A594" s="599"/>
      <c r="B594" s="689" t="s">
        <v>809</v>
      </c>
      <c r="C594" s="774" t="s">
        <v>804</v>
      </c>
      <c r="D594" s="609"/>
      <c r="E594" s="114" t="s">
        <v>769</v>
      </c>
      <c r="F594" s="593" t="s">
        <v>802</v>
      </c>
      <c r="G594" s="1">
        <f>COUNTIF(C592:C653,"ND")</f>
        <v>17</v>
      </c>
    </row>
    <row r="595" spans="1:7" s="123" customFormat="1" x14ac:dyDescent="0.6">
      <c r="A595" s="599"/>
      <c r="B595" s="689" t="s">
        <v>810</v>
      </c>
      <c r="C595" s="774" t="s">
        <v>804</v>
      </c>
      <c r="D595" s="609"/>
      <c r="E595" s="114" t="s">
        <v>769</v>
      </c>
      <c r="F595" s="593" t="s">
        <v>1732</v>
      </c>
      <c r="G595" s="1">
        <f>COUNTIF(E592:E653,"x")</f>
        <v>11</v>
      </c>
    </row>
    <row r="596" spans="1:7" s="123" customFormat="1" x14ac:dyDescent="0.6">
      <c r="A596" s="599" t="s">
        <v>835</v>
      </c>
      <c r="B596" s="689" t="s">
        <v>836</v>
      </c>
      <c r="C596" s="774" t="s">
        <v>804</v>
      </c>
      <c r="D596" s="609"/>
      <c r="E596" s="114" t="s">
        <v>769</v>
      </c>
      <c r="F596" s="593" t="s">
        <v>239</v>
      </c>
      <c r="G596" s="1"/>
    </row>
    <row r="597" spans="1:7" s="123" customFormat="1" x14ac:dyDescent="0.6">
      <c r="A597" s="599" t="s">
        <v>1479</v>
      </c>
      <c r="B597" s="689" t="s">
        <v>810</v>
      </c>
      <c r="C597" s="774" t="s">
        <v>804</v>
      </c>
      <c r="D597" s="609"/>
      <c r="E597" s="114"/>
      <c r="F597" s="70"/>
      <c r="G597" s="1"/>
    </row>
    <row r="598" spans="1:7" s="145" customFormat="1" ht="15.9" thickBot="1" x14ac:dyDescent="0.65">
      <c r="A598" s="147" t="s">
        <v>837</v>
      </c>
      <c r="B598" s="693" t="s">
        <v>810</v>
      </c>
      <c r="C598" s="773" t="s">
        <v>804</v>
      </c>
      <c r="D598" s="610"/>
      <c r="E598" s="114"/>
      <c r="F598" s="70"/>
      <c r="G598" s="1"/>
    </row>
    <row r="599" spans="1:7" s="748" customFormat="1" ht="15.9" thickTop="1" x14ac:dyDescent="0.6">
      <c r="A599" s="1060" t="s">
        <v>49</v>
      </c>
      <c r="B599" s="688"/>
      <c r="C599" s="786">
        <f>SUM(C600:C609)</f>
        <v>2495100001</v>
      </c>
      <c r="D599" s="738">
        <f>SUM(D600:D609)</f>
        <v>0</v>
      </c>
      <c r="E599" s="114"/>
      <c r="F599" s="70"/>
      <c r="G599" s="1"/>
    </row>
    <row r="600" spans="1:7" s="123" customFormat="1" x14ac:dyDescent="0.6">
      <c r="A600" s="599" t="s">
        <v>586</v>
      </c>
      <c r="B600" s="689" t="s">
        <v>809</v>
      </c>
      <c r="C600" s="614">
        <v>77527726</v>
      </c>
      <c r="D600" s="612"/>
      <c r="E600" s="114" t="s">
        <v>769</v>
      </c>
      <c r="F600" s="70"/>
      <c r="G600" s="1"/>
    </row>
    <row r="601" spans="1:7" s="123" customFormat="1" x14ac:dyDescent="0.6">
      <c r="A601" s="599"/>
      <c r="B601" s="689" t="s">
        <v>810</v>
      </c>
      <c r="C601" s="614">
        <v>672472275</v>
      </c>
      <c r="D601" s="612"/>
      <c r="E601" s="114" t="s">
        <v>769</v>
      </c>
      <c r="F601" s="70"/>
      <c r="G601" s="1"/>
    </row>
    <row r="602" spans="1:7" s="123" customFormat="1" x14ac:dyDescent="0.6">
      <c r="A602" s="599" t="s">
        <v>587</v>
      </c>
      <c r="B602" s="689" t="s">
        <v>809</v>
      </c>
      <c r="C602" s="614">
        <v>161319691</v>
      </c>
      <c r="D602" s="612"/>
      <c r="E602" s="114" t="s">
        <v>769</v>
      </c>
      <c r="F602" s="70"/>
      <c r="G602" s="1"/>
    </row>
    <row r="603" spans="1:7" s="123" customFormat="1" x14ac:dyDescent="0.6">
      <c r="A603" s="599"/>
      <c r="B603" s="689" t="s">
        <v>810</v>
      </c>
      <c r="C603" s="614">
        <v>1399280309</v>
      </c>
      <c r="D603" s="612"/>
      <c r="E603" s="114" t="s">
        <v>769</v>
      </c>
      <c r="F603" s="70"/>
      <c r="G603" s="1"/>
    </row>
    <row r="604" spans="1:7" s="123" customFormat="1" x14ac:dyDescent="0.6">
      <c r="A604" s="599" t="s">
        <v>589</v>
      </c>
      <c r="B604" s="689" t="s">
        <v>812</v>
      </c>
      <c r="C604" s="614" t="s">
        <v>804</v>
      </c>
      <c r="D604" s="612"/>
      <c r="E604" s="114"/>
      <c r="F604" s="70"/>
      <c r="G604" s="1"/>
    </row>
    <row r="605" spans="1:7" s="123" customFormat="1" x14ac:dyDescent="0.6">
      <c r="A605" s="599" t="s">
        <v>590</v>
      </c>
      <c r="B605" s="689" t="s">
        <v>809</v>
      </c>
      <c r="C605" s="614">
        <v>18606654</v>
      </c>
      <c r="D605" s="612"/>
      <c r="E605" s="114"/>
      <c r="F605" s="70"/>
      <c r="G605" s="1"/>
    </row>
    <row r="606" spans="1:7" s="123" customFormat="1" x14ac:dyDescent="0.6">
      <c r="A606" s="599"/>
      <c r="B606" s="689" t="s">
        <v>810</v>
      </c>
      <c r="C606" s="614">
        <v>161393346</v>
      </c>
      <c r="D606" s="612"/>
      <c r="E606" s="114"/>
      <c r="F606" s="70"/>
      <c r="G606" s="1"/>
    </row>
    <row r="607" spans="1:7" s="123" customFormat="1" x14ac:dyDescent="0.6">
      <c r="A607" s="599" t="s">
        <v>591</v>
      </c>
      <c r="B607" s="689" t="s">
        <v>809</v>
      </c>
      <c r="C607" s="614">
        <v>465166</v>
      </c>
      <c r="D607" s="612"/>
      <c r="E607" s="114"/>
      <c r="F607" s="70"/>
      <c r="G607" s="1"/>
    </row>
    <row r="608" spans="1:7" s="123" customFormat="1" x14ac:dyDescent="0.6">
      <c r="A608" s="599"/>
      <c r="B608" s="689" t="s">
        <v>810</v>
      </c>
      <c r="C608" s="614">
        <v>4034834</v>
      </c>
      <c r="D608" s="612"/>
      <c r="E608" s="114"/>
      <c r="F608" s="70"/>
      <c r="G608" s="1"/>
    </row>
    <row r="609" spans="1:7" s="145" customFormat="1" ht="15.9" thickBot="1" x14ac:dyDescent="0.65">
      <c r="A609" s="147" t="s">
        <v>592</v>
      </c>
      <c r="B609" s="693" t="s">
        <v>812</v>
      </c>
      <c r="C609" s="628" t="s">
        <v>804</v>
      </c>
      <c r="D609" s="613"/>
      <c r="E609" s="114"/>
      <c r="F609" s="70"/>
      <c r="G609" s="1"/>
    </row>
    <row r="610" spans="1:7" s="748" customFormat="1" ht="15.9" thickTop="1" x14ac:dyDescent="0.6">
      <c r="A610" s="1060" t="s">
        <v>50</v>
      </c>
      <c r="B610" s="688"/>
      <c r="C610" s="795">
        <f>SUM(C611:C616)</f>
        <v>1116934642</v>
      </c>
      <c r="D610" s="740">
        <f>SUM(D611:D616)</f>
        <v>0</v>
      </c>
      <c r="E610" s="114"/>
      <c r="F610" s="70"/>
      <c r="G610" s="1"/>
    </row>
    <row r="611" spans="1:7" s="123" customFormat="1" x14ac:dyDescent="0.6">
      <c r="A611" s="599" t="s">
        <v>838</v>
      </c>
      <c r="B611" s="689" t="s">
        <v>810</v>
      </c>
      <c r="C611" s="615">
        <v>48954553</v>
      </c>
      <c r="D611" s="150"/>
      <c r="E611" s="114" t="s">
        <v>769</v>
      </c>
      <c r="F611" s="70"/>
      <c r="G611" s="1"/>
    </row>
    <row r="612" spans="1:7" s="123" customFormat="1" x14ac:dyDescent="0.6">
      <c r="A612" s="599"/>
      <c r="B612" s="689" t="s">
        <v>811</v>
      </c>
      <c r="C612" s="615">
        <v>32160914</v>
      </c>
      <c r="D612" s="150"/>
      <c r="E612" s="114" t="s">
        <v>769</v>
      </c>
      <c r="F612" s="70"/>
      <c r="G612" s="1"/>
    </row>
    <row r="613" spans="1:7" s="123" customFormat="1" x14ac:dyDescent="0.6">
      <c r="A613" s="599"/>
      <c r="B613" s="689" t="s">
        <v>120</v>
      </c>
      <c r="C613" s="615">
        <v>20910117</v>
      </c>
      <c r="D613" s="150"/>
      <c r="E613" s="114" t="s">
        <v>769</v>
      </c>
      <c r="F613" s="70"/>
      <c r="G613" s="1"/>
    </row>
    <row r="614" spans="1:7" s="123" customFormat="1" x14ac:dyDescent="0.6">
      <c r="A614" s="599" t="s">
        <v>391</v>
      </c>
      <c r="B614" s="689" t="s">
        <v>810</v>
      </c>
      <c r="C614" s="615">
        <v>502904829</v>
      </c>
      <c r="D614" s="150"/>
      <c r="E614" s="114"/>
      <c r="F614" s="70"/>
      <c r="G614" s="1"/>
    </row>
    <row r="615" spans="1:7" s="123" customFormat="1" x14ac:dyDescent="0.6">
      <c r="A615" s="599"/>
      <c r="B615" s="689" t="s">
        <v>811</v>
      </c>
      <c r="C615" s="615">
        <v>313537862</v>
      </c>
      <c r="D615" s="150"/>
      <c r="E615" s="114"/>
      <c r="F615" s="70"/>
      <c r="G615" s="1"/>
    </row>
    <row r="616" spans="1:7" s="123" customFormat="1" ht="15.9" thickBot="1" x14ac:dyDescent="0.65">
      <c r="A616" s="124"/>
      <c r="B616" s="690" t="s">
        <v>120</v>
      </c>
      <c r="C616" s="151">
        <v>198466367</v>
      </c>
      <c r="D616" s="152"/>
      <c r="E616" s="114"/>
      <c r="F616" s="70"/>
      <c r="G616" s="1"/>
    </row>
    <row r="617" spans="1:7" s="798" customFormat="1" ht="15.9" thickTop="1" x14ac:dyDescent="0.6">
      <c r="A617" s="1385" t="s">
        <v>51</v>
      </c>
      <c r="B617" s="709"/>
      <c r="C617" s="1412">
        <f>SUM(C618:C653)</f>
        <v>2079692498</v>
      </c>
      <c r="D617" s="1209">
        <f>SUM(D618:D653)</f>
        <v>0</v>
      </c>
      <c r="E617" s="114"/>
      <c r="F617" s="70"/>
      <c r="G617" s="1"/>
    </row>
    <row r="618" spans="1:7" s="710" customFormat="1" x14ac:dyDescent="0.6">
      <c r="A618" s="711" t="s">
        <v>593</v>
      </c>
      <c r="B618" s="712" t="s">
        <v>117</v>
      </c>
      <c r="C618" s="1204">
        <v>5285969</v>
      </c>
      <c r="D618" s="1205"/>
      <c r="E618" s="114"/>
      <c r="F618" s="70"/>
      <c r="G618" s="1"/>
    </row>
    <row r="619" spans="1:7" s="710" customFormat="1" x14ac:dyDescent="0.6">
      <c r="A619" s="711"/>
      <c r="B619" s="712" t="s">
        <v>809</v>
      </c>
      <c r="C619" s="1204">
        <v>30120671</v>
      </c>
      <c r="D619" s="1205"/>
      <c r="E619" s="114"/>
      <c r="F619" s="70"/>
      <c r="G619" s="1"/>
    </row>
    <row r="620" spans="1:7" s="710" customFormat="1" x14ac:dyDescent="0.6">
      <c r="A620" s="711"/>
      <c r="B620" s="712" t="s">
        <v>810</v>
      </c>
      <c r="C620" s="1204">
        <v>62338276</v>
      </c>
      <c r="D620" s="1205"/>
      <c r="E620" s="114"/>
      <c r="F620" s="70"/>
      <c r="G620" s="1"/>
    </row>
    <row r="621" spans="1:7" s="710" customFormat="1" x14ac:dyDescent="0.6">
      <c r="A621" s="711"/>
      <c r="B621" s="712" t="s">
        <v>120</v>
      </c>
      <c r="C621" s="1204">
        <v>14814085</v>
      </c>
      <c r="D621" s="1205"/>
      <c r="E621" s="114"/>
      <c r="F621" s="70"/>
      <c r="G621" s="1"/>
    </row>
    <row r="622" spans="1:7" s="710" customFormat="1" x14ac:dyDescent="0.6">
      <c r="A622" s="711" t="s">
        <v>594</v>
      </c>
      <c r="B622" s="712" t="s">
        <v>117</v>
      </c>
      <c r="C622" s="774" t="s">
        <v>804</v>
      </c>
      <c r="D622" s="1205"/>
      <c r="E622" s="114"/>
      <c r="F622" s="70"/>
      <c r="G622" s="1"/>
    </row>
    <row r="623" spans="1:7" s="710" customFormat="1" x14ac:dyDescent="0.6">
      <c r="A623" s="711"/>
      <c r="B623" s="712" t="s">
        <v>809</v>
      </c>
      <c r="C623" s="774" t="s">
        <v>804</v>
      </c>
      <c r="D623" s="1205"/>
      <c r="E623" s="114"/>
      <c r="F623" s="70"/>
      <c r="G623" s="1"/>
    </row>
    <row r="624" spans="1:7" s="710" customFormat="1" x14ac:dyDescent="0.6">
      <c r="A624" s="711"/>
      <c r="B624" s="712" t="s">
        <v>810</v>
      </c>
      <c r="C624" s="774" t="s">
        <v>804</v>
      </c>
      <c r="D624" s="1205"/>
      <c r="E624" s="114"/>
      <c r="F624" s="70"/>
      <c r="G624" s="1"/>
    </row>
    <row r="625" spans="1:7" s="710" customFormat="1" x14ac:dyDescent="0.6">
      <c r="A625" s="711"/>
      <c r="B625" s="712" t="s">
        <v>120</v>
      </c>
      <c r="C625" s="774" t="s">
        <v>804</v>
      </c>
      <c r="D625" s="1205"/>
      <c r="E625" s="114"/>
      <c r="F625" s="70"/>
      <c r="G625" s="1"/>
    </row>
    <row r="626" spans="1:7" s="710" customFormat="1" x14ac:dyDescent="0.6">
      <c r="A626" s="711" t="s">
        <v>595</v>
      </c>
      <c r="B626" s="712" t="s">
        <v>117</v>
      </c>
      <c r="C626" s="1204">
        <v>10673398</v>
      </c>
      <c r="D626" s="1205"/>
      <c r="E626" s="114"/>
      <c r="F626" s="70"/>
      <c r="G626" s="1"/>
    </row>
    <row r="627" spans="1:7" s="710" customFormat="1" x14ac:dyDescent="0.6">
      <c r="A627" s="711"/>
      <c r="B627" s="712" t="s">
        <v>809</v>
      </c>
      <c r="C627" s="1204">
        <v>60819490</v>
      </c>
      <c r="D627" s="1205"/>
      <c r="E627" s="114"/>
      <c r="F627" s="70"/>
      <c r="G627" s="1"/>
    </row>
    <row r="628" spans="1:7" s="710" customFormat="1" x14ac:dyDescent="0.6">
      <c r="A628" s="711"/>
      <c r="B628" s="712" t="s">
        <v>810</v>
      </c>
      <c r="C628" s="1204">
        <v>125873096</v>
      </c>
      <c r="D628" s="1205"/>
      <c r="E628" s="114"/>
      <c r="F628" s="70"/>
      <c r="G628" s="1"/>
    </row>
    <row r="629" spans="1:7" s="710" customFormat="1" x14ac:dyDescent="0.6">
      <c r="A629" s="711"/>
      <c r="B629" s="712" t="s">
        <v>120</v>
      </c>
      <c r="C629" s="1204">
        <v>29912516</v>
      </c>
      <c r="D629" s="1205"/>
      <c r="E629" s="114"/>
      <c r="F629" s="70"/>
      <c r="G629" s="1"/>
    </row>
    <row r="630" spans="1:7" s="710" customFormat="1" x14ac:dyDescent="0.6">
      <c r="A630" s="711" t="s">
        <v>1325</v>
      </c>
      <c r="B630" s="712" t="s">
        <v>117</v>
      </c>
      <c r="C630" s="1204">
        <v>44703838</v>
      </c>
      <c r="D630" s="1205"/>
      <c r="E630" s="114"/>
      <c r="F630" s="70"/>
      <c r="G630" s="1"/>
    </row>
    <row r="631" spans="1:7" s="710" customFormat="1" x14ac:dyDescent="0.6">
      <c r="A631" s="711"/>
      <c r="B631" s="712" t="s">
        <v>809</v>
      </c>
      <c r="C631" s="1204">
        <v>254732800</v>
      </c>
      <c r="D631" s="1205"/>
      <c r="E631" s="114"/>
      <c r="F631" s="70"/>
      <c r="G631" s="1"/>
    </row>
    <row r="632" spans="1:7" s="710" customFormat="1" x14ac:dyDescent="0.6">
      <c r="A632" s="711"/>
      <c r="B632" s="712" t="s">
        <v>810</v>
      </c>
      <c r="C632" s="1204">
        <v>527199524</v>
      </c>
      <c r="D632" s="1205"/>
      <c r="E632" s="114"/>
      <c r="F632" s="70"/>
      <c r="G632" s="1"/>
    </row>
    <row r="633" spans="1:7" s="710" customFormat="1" x14ac:dyDescent="0.6">
      <c r="A633" s="711"/>
      <c r="B633" s="712" t="s">
        <v>120</v>
      </c>
      <c r="C633" s="1204">
        <v>125283837</v>
      </c>
      <c r="D633" s="1205"/>
      <c r="E633" s="114"/>
      <c r="F633" s="70"/>
      <c r="G633" s="1"/>
    </row>
    <row r="634" spans="1:7" s="710" customFormat="1" x14ac:dyDescent="0.6">
      <c r="A634" s="711" t="s">
        <v>490</v>
      </c>
      <c r="B634" s="712" t="s">
        <v>117</v>
      </c>
      <c r="C634" s="1204">
        <v>25265</v>
      </c>
      <c r="D634" s="1205"/>
      <c r="E634" s="114"/>
      <c r="F634" s="70"/>
      <c r="G634" s="1"/>
    </row>
    <row r="635" spans="1:7" s="710" customFormat="1" x14ac:dyDescent="0.6">
      <c r="A635" s="711"/>
      <c r="B635" s="712" t="s">
        <v>809</v>
      </c>
      <c r="C635" s="1204">
        <v>143968</v>
      </c>
      <c r="D635" s="1205"/>
      <c r="E635" s="114"/>
      <c r="F635" s="70"/>
      <c r="G635" s="1"/>
    </row>
    <row r="636" spans="1:7" s="710" customFormat="1" x14ac:dyDescent="0.6">
      <c r="A636" s="711"/>
      <c r="B636" s="712" t="s">
        <v>810</v>
      </c>
      <c r="C636" s="1204">
        <v>297959</v>
      </c>
      <c r="D636" s="1205"/>
      <c r="E636" s="114"/>
      <c r="F636" s="70"/>
      <c r="G636" s="1"/>
    </row>
    <row r="637" spans="1:7" s="710" customFormat="1" x14ac:dyDescent="0.6">
      <c r="A637" s="711"/>
      <c r="B637" s="712" t="s">
        <v>120</v>
      </c>
      <c r="C637" s="1204">
        <v>70807</v>
      </c>
      <c r="D637" s="1205"/>
      <c r="E637" s="114"/>
      <c r="F637" s="70"/>
      <c r="G637" s="1"/>
    </row>
    <row r="638" spans="1:7" s="710" customFormat="1" x14ac:dyDescent="0.6">
      <c r="A638" s="711" t="s">
        <v>1326</v>
      </c>
      <c r="B638" s="712" t="s">
        <v>117</v>
      </c>
      <c r="C638" s="1204">
        <v>32779</v>
      </c>
      <c r="D638" s="1205"/>
      <c r="E638" s="114"/>
      <c r="F638" s="70"/>
      <c r="G638" s="1"/>
    </row>
    <row r="639" spans="1:7" s="710" customFormat="1" x14ac:dyDescent="0.6">
      <c r="A639" s="711"/>
      <c r="B639" s="712" t="s">
        <v>809</v>
      </c>
      <c r="C639" s="1204">
        <v>186784</v>
      </c>
      <c r="D639" s="1205"/>
      <c r="E639" s="114"/>
      <c r="F639" s="70"/>
      <c r="G639" s="1"/>
    </row>
    <row r="640" spans="1:7" s="710" customFormat="1" x14ac:dyDescent="0.6">
      <c r="A640" s="711"/>
      <c r="B640" s="712" t="s">
        <v>810</v>
      </c>
      <c r="C640" s="1204">
        <v>386572</v>
      </c>
      <c r="D640" s="1205"/>
      <c r="E640" s="114"/>
      <c r="F640" s="70"/>
      <c r="G640" s="1"/>
    </row>
    <row r="641" spans="1:7" s="710" customFormat="1" x14ac:dyDescent="0.6">
      <c r="A641" s="711"/>
      <c r="B641" s="712" t="s">
        <v>120</v>
      </c>
      <c r="C641" s="1204">
        <v>91865</v>
      </c>
      <c r="D641" s="1205"/>
      <c r="E641" s="114"/>
      <c r="F641" s="70"/>
      <c r="G641" s="1"/>
    </row>
    <row r="642" spans="1:7" s="710" customFormat="1" x14ac:dyDescent="0.6">
      <c r="A642" s="711" t="s">
        <v>1329</v>
      </c>
      <c r="B642" s="712" t="s">
        <v>117</v>
      </c>
      <c r="C642" s="1204">
        <v>68799</v>
      </c>
      <c r="D642" s="1205"/>
      <c r="E642" s="114"/>
      <c r="F642" s="70"/>
      <c r="G642" s="1"/>
    </row>
    <row r="643" spans="1:7" s="710" customFormat="1" x14ac:dyDescent="0.6">
      <c r="A643" s="711"/>
      <c r="B643" s="712" t="s">
        <v>809</v>
      </c>
      <c r="C643" s="1204">
        <v>392032</v>
      </c>
      <c r="D643" s="1205"/>
      <c r="E643" s="114"/>
      <c r="F643" s="70"/>
      <c r="G643" s="1"/>
    </row>
    <row r="644" spans="1:7" s="710" customFormat="1" x14ac:dyDescent="0.6">
      <c r="A644" s="711"/>
      <c r="B644" s="712" t="s">
        <v>810</v>
      </c>
      <c r="C644" s="1204">
        <v>811357</v>
      </c>
      <c r="D644" s="1205"/>
      <c r="E644" s="114"/>
      <c r="F644" s="70"/>
      <c r="G644" s="1"/>
    </row>
    <row r="645" spans="1:7" s="710" customFormat="1" x14ac:dyDescent="0.6">
      <c r="A645" s="711"/>
      <c r="B645" s="712" t="s">
        <v>120</v>
      </c>
      <c r="C645" s="1204">
        <v>192811</v>
      </c>
      <c r="D645" s="1205"/>
      <c r="E645" s="114"/>
      <c r="F645" s="70"/>
      <c r="G645" s="1"/>
    </row>
    <row r="646" spans="1:7" s="710" customFormat="1" x14ac:dyDescent="0.6">
      <c r="A646" s="711" t="s">
        <v>1480</v>
      </c>
      <c r="B646" s="712" t="s">
        <v>117</v>
      </c>
      <c r="C646" s="1204">
        <v>36875970</v>
      </c>
      <c r="D646" s="1205"/>
      <c r="E646" s="114"/>
      <c r="F646" s="70"/>
      <c r="G646" s="1"/>
    </row>
    <row r="647" spans="1:7" s="710" customFormat="1" x14ac:dyDescent="0.6">
      <c r="A647" s="711"/>
      <c r="B647" s="712" t="s">
        <v>809</v>
      </c>
      <c r="C647" s="1204">
        <v>210127800</v>
      </c>
      <c r="D647" s="1205"/>
      <c r="E647" s="114"/>
      <c r="F647" s="70"/>
      <c r="G647" s="1"/>
    </row>
    <row r="648" spans="1:7" s="710" customFormat="1" x14ac:dyDescent="0.6">
      <c r="A648" s="711"/>
      <c r="B648" s="712" t="s">
        <v>810</v>
      </c>
      <c r="C648" s="1204">
        <v>434884225</v>
      </c>
      <c r="D648" s="1205"/>
      <c r="E648" s="114"/>
      <c r="F648" s="70"/>
      <c r="G648" s="1"/>
    </row>
    <row r="649" spans="1:7" s="710" customFormat="1" x14ac:dyDescent="0.6">
      <c r="A649" s="711"/>
      <c r="B649" s="712" t="s">
        <v>120</v>
      </c>
      <c r="C649" s="1204">
        <v>103346005</v>
      </c>
      <c r="D649" s="1205"/>
      <c r="E649" s="114"/>
      <c r="F649" s="70"/>
      <c r="G649" s="1"/>
    </row>
    <row r="650" spans="1:7" s="710" customFormat="1" x14ac:dyDescent="0.6">
      <c r="A650" s="711" t="s">
        <v>1330</v>
      </c>
      <c r="B650" s="712" t="s">
        <v>117</v>
      </c>
      <c r="C650" s="1413" t="s">
        <v>804</v>
      </c>
      <c r="D650" s="1205"/>
      <c r="E650" s="114"/>
      <c r="F650" s="70"/>
      <c r="G650" s="1"/>
    </row>
    <row r="651" spans="1:7" s="710" customFormat="1" x14ac:dyDescent="0.6">
      <c r="A651" s="711"/>
      <c r="B651" s="712" t="s">
        <v>809</v>
      </c>
      <c r="C651" s="1413" t="s">
        <v>804</v>
      </c>
      <c r="D651" s="1205"/>
      <c r="E651" s="114"/>
      <c r="F651" s="70"/>
      <c r="G651" s="1"/>
    </row>
    <row r="652" spans="1:7" s="710" customFormat="1" x14ac:dyDescent="0.6">
      <c r="A652" s="711"/>
      <c r="B652" s="712" t="s">
        <v>810</v>
      </c>
      <c r="C652" s="1413" t="s">
        <v>804</v>
      </c>
      <c r="D652" s="1205"/>
      <c r="E652" s="114"/>
      <c r="F652" s="70"/>
      <c r="G652" s="1"/>
    </row>
    <row r="653" spans="1:7" s="711" customFormat="1" ht="15.9" thickBot="1" x14ac:dyDescent="0.65">
      <c r="A653" s="719"/>
      <c r="B653" s="715" t="s">
        <v>120</v>
      </c>
      <c r="C653" s="1414" t="s">
        <v>804</v>
      </c>
      <c r="D653" s="1207"/>
      <c r="E653" s="114"/>
      <c r="F653" s="70"/>
      <c r="G653" s="1"/>
    </row>
    <row r="654" spans="1:7" s="714" customFormat="1" ht="15.9" thickTop="1" x14ac:dyDescent="0.6">
      <c r="E654" s="114"/>
      <c r="F654" s="70"/>
      <c r="G654" s="1"/>
    </row>
    <row r="655" spans="1:7" s="714" customFormat="1" x14ac:dyDescent="0.6">
      <c r="B655" s="714" t="s">
        <v>1451</v>
      </c>
      <c r="C655" s="13">
        <f>COUNTIF(C3:C653,"=ND")</f>
        <v>362</v>
      </c>
      <c r="E655" s="114"/>
      <c r="F655" s="70"/>
      <c r="G655" s="1"/>
    </row>
    <row r="656" spans="1:7" s="714" customFormat="1" x14ac:dyDescent="0.6">
      <c r="B656" s="714" t="s">
        <v>1454</v>
      </c>
      <c r="C656" s="13">
        <f>COUNT(C3:C653)</f>
        <v>281</v>
      </c>
      <c r="E656" s="114"/>
      <c r="F656" s="70"/>
      <c r="G656" s="1"/>
    </row>
    <row r="657" spans="2:7" s="714" customFormat="1" x14ac:dyDescent="0.6">
      <c r="B657" s="714" t="s">
        <v>1452</v>
      </c>
      <c r="C657" s="13">
        <f>COUNTBLANK(C3:C653)</f>
        <v>8</v>
      </c>
      <c r="E657" s="114"/>
      <c r="F657" s="70"/>
      <c r="G657" s="1"/>
    </row>
    <row r="658" spans="2:7" s="714" customFormat="1" x14ac:dyDescent="0.6">
      <c r="B658" s="714" t="s">
        <v>1453</v>
      </c>
      <c r="C658" s="13"/>
      <c r="E658" s="114"/>
      <c r="F658" s="70"/>
      <c r="G658" s="1"/>
    </row>
    <row r="659" spans="2:7" s="714" customFormat="1" x14ac:dyDescent="0.6">
      <c r="B659" s="714" t="s">
        <v>42</v>
      </c>
      <c r="C659" s="13">
        <f>SUM(C655:C658)</f>
        <v>651</v>
      </c>
      <c r="E659" s="114"/>
      <c r="F659" s="70"/>
      <c r="G659" s="1"/>
    </row>
    <row r="660" spans="2:7" s="714" customFormat="1" x14ac:dyDescent="0.6">
      <c r="B660" s="714" t="s">
        <v>1456</v>
      </c>
      <c r="C660" s="13">
        <v>651</v>
      </c>
      <c r="E660" s="114"/>
      <c r="F660" s="70"/>
      <c r="G660" s="1"/>
    </row>
    <row r="661" spans="2:7" s="714" customFormat="1" x14ac:dyDescent="0.6">
      <c r="C661" s="13"/>
      <c r="E661" s="114"/>
      <c r="F661" s="70"/>
      <c r="G661" s="1"/>
    </row>
    <row r="662" spans="2:7" s="714" customFormat="1" x14ac:dyDescent="0.6">
      <c r="B662" s="714" t="s">
        <v>1455</v>
      </c>
      <c r="C662" s="13">
        <f>C656-29</f>
        <v>252</v>
      </c>
      <c r="E662" s="114"/>
      <c r="F662" s="70"/>
      <c r="G662" s="1"/>
    </row>
    <row r="663" spans="2:7" x14ac:dyDescent="0.6">
      <c r="B663" s="1" t="s">
        <v>804</v>
      </c>
      <c r="C663" s="13">
        <f>C655</f>
        <v>362</v>
      </c>
      <c r="D663" s="1"/>
    </row>
    <row r="664" spans="2:7" x14ac:dyDescent="0.6">
      <c r="B664" s="1" t="s">
        <v>42</v>
      </c>
      <c r="C664" s="13">
        <f>C663+C662</f>
        <v>614</v>
      </c>
      <c r="D664" s="1"/>
    </row>
    <row r="665" spans="2:7" x14ac:dyDescent="0.6">
      <c r="C665" s="13"/>
      <c r="D665" s="1"/>
    </row>
    <row r="666" spans="2:7" x14ac:dyDescent="0.6">
      <c r="B666" s="1" t="s">
        <v>1456</v>
      </c>
      <c r="C666" s="13">
        <f>C655+C656-29</f>
        <v>614</v>
      </c>
      <c r="D666" s="1"/>
    </row>
    <row r="667" spans="2:7" x14ac:dyDescent="0.6">
      <c r="C667" s="13"/>
      <c r="D667" s="1"/>
    </row>
    <row r="668" spans="2:7" x14ac:dyDescent="0.6">
      <c r="C668" s="13"/>
      <c r="D668" s="1"/>
    </row>
    <row r="669" spans="2:7" x14ac:dyDescent="0.6">
      <c r="C669" s="1"/>
      <c r="D669" s="1"/>
    </row>
    <row r="670" spans="2:7" x14ac:dyDescent="0.6">
      <c r="C670" s="1"/>
      <c r="D670" s="1"/>
    </row>
    <row r="671" spans="2:7" x14ac:dyDescent="0.6">
      <c r="C671" s="1"/>
    </row>
    <row r="672" spans="2:7" x14ac:dyDescent="0.6">
      <c r="C672" s="1"/>
      <c r="D672" s="1"/>
    </row>
    <row r="673" spans="3:4" x14ac:dyDescent="0.6">
      <c r="C673" s="1"/>
      <c r="D673" s="1"/>
    </row>
    <row r="674" spans="3:4" x14ac:dyDescent="0.6">
      <c r="C674" s="1"/>
      <c r="D674" s="1"/>
    </row>
    <row r="675" spans="3:4" x14ac:dyDescent="0.6">
      <c r="C675" s="1"/>
      <c r="D675" s="1"/>
    </row>
    <row r="676" spans="3:4" x14ac:dyDescent="0.6">
      <c r="C676" s="1"/>
    </row>
    <row r="677" spans="3:4" x14ac:dyDescent="0.6">
      <c r="C677" s="1"/>
    </row>
    <row r="678" spans="3:4" x14ac:dyDescent="0.6">
      <c r="C678" s="1"/>
      <c r="D678" s="1"/>
    </row>
    <row r="679" spans="3:4" x14ac:dyDescent="0.6">
      <c r="C679" s="1"/>
      <c r="D679" s="1"/>
    </row>
    <row r="680" spans="3:4" x14ac:dyDescent="0.6">
      <c r="C680" s="1"/>
      <c r="D680" s="1"/>
    </row>
    <row r="681" spans="3:4" x14ac:dyDescent="0.6">
      <c r="C681" s="1"/>
      <c r="D681" s="1"/>
    </row>
    <row r="682" spans="3:4" x14ac:dyDescent="0.6">
      <c r="C682" s="1"/>
      <c r="D682" s="1"/>
    </row>
    <row r="683" spans="3:4" x14ac:dyDescent="0.6">
      <c r="C683" s="1"/>
      <c r="D683" s="1"/>
    </row>
    <row r="684" spans="3:4" x14ac:dyDescent="0.6">
      <c r="C684" s="1"/>
      <c r="D684" s="1"/>
    </row>
    <row r="685" spans="3:4" x14ac:dyDescent="0.6">
      <c r="C685" s="1"/>
      <c r="D685" s="1"/>
    </row>
    <row r="686" spans="3:4" x14ac:dyDescent="0.6">
      <c r="C686" s="1"/>
    </row>
    <row r="687" spans="3:4" x14ac:dyDescent="0.6">
      <c r="C687" s="1"/>
    </row>
    <row r="688" spans="3:4" x14ac:dyDescent="0.6">
      <c r="C688" s="1"/>
      <c r="D688" s="1"/>
    </row>
    <row r="689" spans="3:4" x14ac:dyDescent="0.6">
      <c r="C689" s="1"/>
      <c r="D689" s="1"/>
    </row>
    <row r="690" spans="3:4" x14ac:dyDescent="0.6">
      <c r="C690" s="1"/>
      <c r="D690" s="1"/>
    </row>
    <row r="691" spans="3:4" x14ac:dyDescent="0.6">
      <c r="C691" s="1"/>
      <c r="D691" s="1"/>
    </row>
    <row r="692" spans="3:4" x14ac:dyDescent="0.6">
      <c r="C692" s="1"/>
      <c r="D692" s="1"/>
    </row>
    <row r="693" spans="3:4" x14ac:dyDescent="0.6">
      <c r="C693" s="1"/>
      <c r="D693" s="1"/>
    </row>
    <row r="694" spans="3:4" x14ac:dyDescent="0.6">
      <c r="C694" s="1"/>
      <c r="D694" s="1"/>
    </row>
    <row r="695" spans="3:4" x14ac:dyDescent="0.6">
      <c r="C695" s="1"/>
      <c r="D695" s="1"/>
    </row>
    <row r="696" spans="3:4" x14ac:dyDescent="0.6">
      <c r="C696" s="1"/>
    </row>
    <row r="697" spans="3:4" x14ac:dyDescent="0.6">
      <c r="C697" s="1"/>
      <c r="D697" s="1"/>
    </row>
    <row r="698" spans="3:4" x14ac:dyDescent="0.6">
      <c r="C698" s="1"/>
      <c r="D698" s="1"/>
    </row>
    <row r="699" spans="3:4" x14ac:dyDescent="0.6">
      <c r="C699" s="1"/>
      <c r="D699" s="1"/>
    </row>
    <row r="700" spans="3:4" x14ac:dyDescent="0.6">
      <c r="C700" s="1"/>
      <c r="D700" s="1"/>
    </row>
    <row r="701" spans="3:4" x14ac:dyDescent="0.6">
      <c r="C701" s="1"/>
      <c r="D701" s="1"/>
    </row>
    <row r="702" spans="3:4" x14ac:dyDescent="0.6">
      <c r="C702" s="1"/>
      <c r="D702" s="1"/>
    </row>
    <row r="703" spans="3:4" x14ac:dyDescent="0.6">
      <c r="C703" s="1"/>
      <c r="D703" s="1"/>
    </row>
    <row r="704" spans="3:4" x14ac:dyDescent="0.6">
      <c r="C704" s="1"/>
      <c r="D704" s="1"/>
    </row>
    <row r="705" spans="3:4" x14ac:dyDescent="0.6">
      <c r="C705" s="1"/>
      <c r="D705" s="1"/>
    </row>
    <row r="706" spans="3:4" x14ac:dyDescent="0.6">
      <c r="C706" s="1"/>
      <c r="D706" s="1"/>
    </row>
    <row r="707" spans="3:4" x14ac:dyDescent="0.6">
      <c r="C707" s="1"/>
    </row>
    <row r="708" spans="3:4" x14ac:dyDescent="0.6">
      <c r="C708" s="1"/>
      <c r="D708" s="1"/>
    </row>
    <row r="709" spans="3:4" x14ac:dyDescent="0.6">
      <c r="C709" s="1"/>
      <c r="D709" s="1"/>
    </row>
    <row r="710" spans="3:4" x14ac:dyDescent="0.6">
      <c r="C710" s="1"/>
      <c r="D710" s="1"/>
    </row>
    <row r="711" spans="3:4" x14ac:dyDescent="0.6">
      <c r="C711" s="1"/>
      <c r="D711" s="1"/>
    </row>
    <row r="712" spans="3:4" x14ac:dyDescent="0.6">
      <c r="C712" s="1"/>
      <c r="D712" s="1"/>
    </row>
    <row r="713" spans="3:4" x14ac:dyDescent="0.6">
      <c r="C713" s="1"/>
    </row>
    <row r="714" spans="3:4" x14ac:dyDescent="0.6">
      <c r="C714" s="1"/>
      <c r="D714" s="1"/>
    </row>
    <row r="715" spans="3:4" x14ac:dyDescent="0.6">
      <c r="C715" s="1"/>
      <c r="D715" s="1"/>
    </row>
    <row r="716" spans="3:4" x14ac:dyDescent="0.6">
      <c r="C716" s="1"/>
      <c r="D716" s="1"/>
    </row>
    <row r="717" spans="3:4" x14ac:dyDescent="0.6">
      <c r="C717" s="1"/>
      <c r="D717" s="1"/>
    </row>
    <row r="718" spans="3:4" x14ac:dyDescent="0.6">
      <c r="C718" s="1"/>
      <c r="D718" s="1"/>
    </row>
    <row r="719" spans="3:4" x14ac:dyDescent="0.6">
      <c r="C719" s="1"/>
      <c r="D719" s="1"/>
    </row>
    <row r="720" spans="3:4" x14ac:dyDescent="0.6">
      <c r="C720" s="1"/>
      <c r="D720" s="1"/>
    </row>
    <row r="721" spans="3:4" x14ac:dyDescent="0.6">
      <c r="C721" s="1"/>
      <c r="D721" s="1"/>
    </row>
    <row r="722" spans="3:4" x14ac:dyDescent="0.6">
      <c r="C722" s="1"/>
      <c r="D722" s="1"/>
    </row>
    <row r="723" spans="3:4" x14ac:dyDescent="0.6">
      <c r="C723" s="1"/>
      <c r="D723" s="1"/>
    </row>
    <row r="724" spans="3:4" x14ac:dyDescent="0.6">
      <c r="C724" s="1"/>
      <c r="D724" s="1"/>
    </row>
    <row r="725" spans="3:4" x14ac:dyDescent="0.6">
      <c r="C725" s="1"/>
      <c r="D725" s="1"/>
    </row>
    <row r="726" spans="3:4" x14ac:dyDescent="0.6">
      <c r="C726" s="1"/>
      <c r="D726" s="1"/>
    </row>
    <row r="727" spans="3:4" x14ac:dyDescent="0.6">
      <c r="C727" s="1"/>
      <c r="D727" s="1"/>
    </row>
    <row r="728" spans="3:4" x14ac:dyDescent="0.6">
      <c r="C728" s="1"/>
      <c r="D728" s="1"/>
    </row>
    <row r="729" spans="3:4" x14ac:dyDescent="0.6">
      <c r="C729" s="1"/>
    </row>
    <row r="730" spans="3:4" x14ac:dyDescent="0.6">
      <c r="C730" s="1"/>
      <c r="D730" s="1"/>
    </row>
    <row r="731" spans="3:4" x14ac:dyDescent="0.6">
      <c r="C731" s="1"/>
      <c r="D731" s="1"/>
    </row>
    <row r="732" spans="3:4" x14ac:dyDescent="0.6">
      <c r="C732" s="1"/>
      <c r="D732" s="1"/>
    </row>
    <row r="733" spans="3:4" x14ac:dyDescent="0.6">
      <c r="C733" s="1"/>
      <c r="D733" s="1"/>
    </row>
    <row r="734" spans="3:4" x14ac:dyDescent="0.6">
      <c r="C734" s="1"/>
      <c r="D734" s="1"/>
    </row>
    <row r="735" spans="3:4" x14ac:dyDescent="0.6">
      <c r="C735" s="1"/>
      <c r="D735" s="1"/>
    </row>
    <row r="736" spans="3:4" x14ac:dyDescent="0.6">
      <c r="C736" s="1"/>
      <c r="D736" s="1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374"/>
  <sheetViews>
    <sheetView showGridLines="0" showZeros="0" zoomScale="115" zoomScaleNormal="115" zoomScalePage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66" style="85" customWidth="1"/>
    <col min="2" max="2" width="19.5" style="17" customWidth="1"/>
    <col min="3" max="3" width="16.5" style="17" customWidth="1"/>
    <col min="4" max="5" width="16" style="17" customWidth="1"/>
    <col min="6" max="6" width="17.09765625" style="17" customWidth="1"/>
    <col min="7" max="7" width="15" style="17" customWidth="1"/>
    <col min="8" max="8" width="8.09765625" style="114" bestFit="1" customWidth="1"/>
    <col min="9" max="9" width="15" style="70" customWidth="1"/>
    <col min="10" max="16384" width="10.84765625" style="1"/>
  </cols>
  <sheetData>
    <row r="1" spans="1:10" x14ac:dyDescent="0.6">
      <c r="A1" s="78" t="s">
        <v>519</v>
      </c>
      <c r="D1" s="239"/>
      <c r="E1" s="239"/>
    </row>
    <row r="2" spans="1:10" s="2" customFormat="1" x14ac:dyDescent="0.6">
      <c r="A2" s="60"/>
      <c r="B2" s="18" t="s">
        <v>237</v>
      </c>
      <c r="C2" s="18" t="s">
        <v>98</v>
      </c>
      <c r="D2" s="18" t="s">
        <v>131</v>
      </c>
      <c r="E2" s="18" t="s">
        <v>196</v>
      </c>
      <c r="F2" s="18" t="s">
        <v>238</v>
      </c>
      <c r="G2" s="18" t="s">
        <v>239</v>
      </c>
      <c r="H2" s="838" t="s">
        <v>1731</v>
      </c>
      <c r="I2" s="1477"/>
      <c r="J2" s="1"/>
    </row>
    <row r="3" spans="1:10" s="192" customFormat="1" x14ac:dyDescent="0.6">
      <c r="A3" s="78" t="s">
        <v>37</v>
      </c>
      <c r="B3" s="742">
        <f>SUM(B4:B94)</f>
        <v>3439307714</v>
      </c>
      <c r="C3" s="742"/>
      <c r="D3" s="742">
        <f>SUM(D4:D94)</f>
        <v>1551431496</v>
      </c>
      <c r="E3" s="742"/>
      <c r="F3" s="742">
        <f>SUM(F4:F94)</f>
        <v>1110177584</v>
      </c>
      <c r="G3" s="743">
        <f>SUM(G4:G94)</f>
        <v>777698634</v>
      </c>
      <c r="H3" s="838"/>
      <c r="I3" s="1564"/>
      <c r="J3" s="1"/>
    </row>
    <row r="4" spans="1:10" x14ac:dyDescent="0.6">
      <c r="A4" s="85" t="s">
        <v>230</v>
      </c>
      <c r="B4" s="1462">
        <v>749286</v>
      </c>
      <c r="C4" s="1462"/>
      <c r="F4" s="1580">
        <f>B4</f>
        <v>749286</v>
      </c>
      <c r="G4" s="111"/>
      <c r="H4" s="838" t="s">
        <v>769</v>
      </c>
      <c r="I4" s="1594" t="s">
        <v>37</v>
      </c>
    </row>
    <row r="5" spans="1:10" x14ac:dyDescent="0.6">
      <c r="A5" s="85" t="s">
        <v>231</v>
      </c>
      <c r="B5" s="1462">
        <v>7373190</v>
      </c>
      <c r="C5" s="1462"/>
      <c r="F5" s="106">
        <f>B5</f>
        <v>7373190</v>
      </c>
      <c r="G5" s="111"/>
      <c r="H5" s="838" t="s">
        <v>769</v>
      </c>
      <c r="I5" s="593" t="s">
        <v>42</v>
      </c>
      <c r="J5" s="1">
        <f>94-3</f>
        <v>91</v>
      </c>
    </row>
    <row r="6" spans="1:10" x14ac:dyDescent="0.6">
      <c r="A6" s="85" t="s">
        <v>232</v>
      </c>
      <c r="B6" s="1462">
        <v>4708384</v>
      </c>
      <c r="C6" s="1462"/>
      <c r="F6" s="106">
        <f>B6</f>
        <v>4708384</v>
      </c>
      <c r="G6" s="111"/>
      <c r="H6" s="838" t="s">
        <v>769</v>
      </c>
      <c r="I6" s="593" t="s">
        <v>802</v>
      </c>
      <c r="J6" s="1">
        <f>COUNTIF(B4:B94,"ND")</f>
        <v>42</v>
      </c>
    </row>
    <row r="7" spans="1:10" x14ac:dyDescent="0.6">
      <c r="A7" s="85" t="s">
        <v>233</v>
      </c>
      <c r="B7" s="1462">
        <v>14339000</v>
      </c>
      <c r="C7" s="1462"/>
      <c r="F7" s="106">
        <f>B7</f>
        <v>14339000</v>
      </c>
      <c r="G7" s="111"/>
      <c r="H7" s="838" t="s">
        <v>769</v>
      </c>
      <c r="I7" s="593" t="s">
        <v>1732</v>
      </c>
      <c r="J7" s="1">
        <f>COUNTIF(H4:H94,"x")</f>
        <v>53</v>
      </c>
    </row>
    <row r="8" spans="1:10" x14ac:dyDescent="0.6">
      <c r="A8" s="85" t="s">
        <v>1563</v>
      </c>
      <c r="B8" s="1462">
        <v>136003000</v>
      </c>
      <c r="C8" s="1462"/>
      <c r="F8" s="106"/>
      <c r="G8" s="111">
        <f>B8</f>
        <v>136003000</v>
      </c>
      <c r="H8" s="838" t="s">
        <v>769</v>
      </c>
      <c r="I8" s="593" t="s">
        <v>239</v>
      </c>
      <c r="J8" s="1">
        <f>COUNT(G4:G94)</f>
        <v>8</v>
      </c>
    </row>
    <row r="9" spans="1:10" x14ac:dyDescent="0.6">
      <c r="A9" s="85" t="s">
        <v>1258</v>
      </c>
      <c r="B9" s="1462">
        <v>12341129</v>
      </c>
      <c r="C9" s="1462"/>
      <c r="F9" s="106">
        <f>B9</f>
        <v>12341129</v>
      </c>
      <c r="G9" s="111"/>
      <c r="H9" s="838" t="s">
        <v>769</v>
      </c>
      <c r="I9" s="593"/>
    </row>
    <row r="10" spans="1:10" x14ac:dyDescent="0.6">
      <c r="A10" s="85" t="s">
        <v>234</v>
      </c>
      <c r="B10" s="1462">
        <v>31350920</v>
      </c>
      <c r="C10" s="1462"/>
      <c r="F10" s="106">
        <f>B10</f>
        <v>31350920</v>
      </c>
      <c r="G10" s="111"/>
      <c r="H10" s="838" t="s">
        <v>769</v>
      </c>
      <c r="I10" s="593"/>
    </row>
    <row r="11" spans="1:10" x14ac:dyDescent="0.6">
      <c r="A11" s="85" t="s">
        <v>1259</v>
      </c>
      <c r="B11" s="1462">
        <v>98984865</v>
      </c>
      <c r="C11" s="1462"/>
      <c r="F11" s="106">
        <f>B11</f>
        <v>98984865</v>
      </c>
      <c r="G11" s="111"/>
      <c r="H11" s="838" t="s">
        <v>769</v>
      </c>
      <c r="I11" s="593"/>
    </row>
    <row r="12" spans="1:10" x14ac:dyDescent="0.6">
      <c r="A12" s="85" t="s">
        <v>1260</v>
      </c>
      <c r="B12" s="18" t="s">
        <v>804</v>
      </c>
      <c r="C12" s="18"/>
      <c r="F12" s="106"/>
      <c r="G12" s="111"/>
      <c r="H12" s="838"/>
      <c r="I12" s="593"/>
    </row>
    <row r="13" spans="1:10" x14ac:dyDescent="0.6">
      <c r="A13" s="85" t="s">
        <v>1261</v>
      </c>
      <c r="B13" s="18" t="s">
        <v>804</v>
      </c>
      <c r="C13" s="18"/>
      <c r="F13" s="106"/>
      <c r="G13" s="111"/>
      <c r="H13" s="838"/>
      <c r="I13" s="593"/>
    </row>
    <row r="14" spans="1:10" x14ac:dyDescent="0.6">
      <c r="A14" s="85" t="s">
        <v>958</v>
      </c>
      <c r="B14" s="1462">
        <v>8781768</v>
      </c>
      <c r="C14" s="1462"/>
      <c r="F14" s="106"/>
      <c r="G14" s="111">
        <f>B14</f>
        <v>8781768</v>
      </c>
      <c r="H14" s="838"/>
      <c r="I14" s="593"/>
    </row>
    <row r="15" spans="1:10" x14ac:dyDescent="0.6">
      <c r="A15" s="85" t="s">
        <v>1564</v>
      </c>
      <c r="B15" s="1462">
        <v>299395718</v>
      </c>
      <c r="C15" s="1462"/>
      <c r="F15" s="106"/>
      <c r="G15" s="111">
        <f>B15</f>
        <v>299395718</v>
      </c>
      <c r="H15" s="838" t="s">
        <v>769</v>
      </c>
      <c r="I15" s="593"/>
    </row>
    <row r="16" spans="1:10" x14ac:dyDescent="0.6">
      <c r="A16" s="85" t="s">
        <v>235</v>
      </c>
      <c r="B16" s="18" t="s">
        <v>804</v>
      </c>
      <c r="C16" s="18"/>
      <c r="F16" s="106"/>
      <c r="G16" s="111"/>
      <c r="H16" s="838"/>
      <c r="I16" s="593"/>
    </row>
    <row r="17" spans="1:10" x14ac:dyDescent="0.6">
      <c r="A17" s="85" t="s">
        <v>509</v>
      </c>
      <c r="B17" s="18" t="s">
        <v>804</v>
      </c>
      <c r="C17" s="18"/>
      <c r="F17" s="106"/>
      <c r="G17" s="111"/>
      <c r="H17" s="838"/>
      <c r="I17" s="593"/>
    </row>
    <row r="18" spans="1:10" x14ac:dyDescent="0.6">
      <c r="A18" s="85" t="s">
        <v>236</v>
      </c>
      <c r="B18" s="1462">
        <v>7873032</v>
      </c>
      <c r="C18" s="1462"/>
      <c r="F18" s="106">
        <f>B18</f>
        <v>7873032</v>
      </c>
      <c r="G18" s="111"/>
      <c r="H18" s="838"/>
      <c r="I18" s="593"/>
    </row>
    <row r="19" spans="1:10" x14ac:dyDescent="0.6">
      <c r="A19" s="85" t="s">
        <v>510</v>
      </c>
      <c r="B19" s="18" t="s">
        <v>804</v>
      </c>
      <c r="C19" s="18"/>
      <c r="F19" s="106"/>
      <c r="G19" s="111"/>
      <c r="H19" s="838"/>
      <c r="I19" s="593"/>
    </row>
    <row r="20" spans="1:10" x14ac:dyDescent="0.6">
      <c r="A20" s="85" t="s">
        <v>418</v>
      </c>
      <c r="B20" s="18" t="s">
        <v>804</v>
      </c>
      <c r="C20" s="18"/>
      <c r="F20" s="106"/>
      <c r="G20" s="111"/>
      <c r="H20" s="838"/>
      <c r="I20" s="593"/>
    </row>
    <row r="21" spans="1:10" x14ac:dyDescent="0.6">
      <c r="A21" s="85" t="s">
        <v>419</v>
      </c>
      <c r="B21" s="18" t="s">
        <v>804</v>
      </c>
      <c r="C21" s="18"/>
      <c r="F21" s="106"/>
      <c r="G21" s="111"/>
      <c r="H21" s="838"/>
      <c r="I21" s="593"/>
    </row>
    <row r="22" spans="1:10" x14ac:dyDescent="0.6">
      <c r="A22" s="85" t="s">
        <v>203</v>
      </c>
      <c r="B22" s="1462">
        <v>72769754</v>
      </c>
      <c r="C22" s="1462"/>
      <c r="F22" s="106">
        <f>B22</f>
        <v>72769754</v>
      </c>
      <c r="G22" s="111"/>
      <c r="H22" s="838" t="s">
        <v>769</v>
      </c>
      <c r="I22" s="593"/>
    </row>
    <row r="23" spans="1:10" x14ac:dyDescent="0.6">
      <c r="A23" s="85" t="s">
        <v>422</v>
      </c>
      <c r="B23" s="18" t="s">
        <v>804</v>
      </c>
      <c r="C23" s="18"/>
      <c r="F23" s="106"/>
      <c r="G23" s="111"/>
      <c r="H23" s="838"/>
      <c r="I23" s="593"/>
    </row>
    <row r="24" spans="1:10" x14ac:dyDescent="0.6">
      <c r="A24" s="85" t="s">
        <v>423</v>
      </c>
      <c r="B24" s="18" t="s">
        <v>804</v>
      </c>
      <c r="C24" s="18"/>
      <c r="F24" s="106"/>
      <c r="G24" s="111"/>
      <c r="H24" s="838" t="s">
        <v>769</v>
      </c>
      <c r="I24" s="593"/>
    </row>
    <row r="25" spans="1:10" x14ac:dyDescent="0.6">
      <c r="A25" s="85" t="s">
        <v>424</v>
      </c>
      <c r="B25" s="18" t="s">
        <v>804</v>
      </c>
      <c r="C25" s="18"/>
      <c r="F25" s="106"/>
      <c r="G25" s="111"/>
      <c r="H25" s="838" t="s">
        <v>769</v>
      </c>
      <c r="I25" s="593"/>
    </row>
    <row r="26" spans="1:10" x14ac:dyDescent="0.6">
      <c r="A26" s="85" t="s">
        <v>425</v>
      </c>
      <c r="B26" s="18" t="s">
        <v>804</v>
      </c>
      <c r="C26" s="18"/>
      <c r="F26" s="106"/>
      <c r="G26" s="111"/>
      <c r="H26" s="838" t="s">
        <v>769</v>
      </c>
      <c r="I26" s="593"/>
    </row>
    <row r="27" spans="1:10" x14ac:dyDescent="0.6">
      <c r="A27" s="85" t="s">
        <v>426</v>
      </c>
      <c r="B27" s="18" t="s">
        <v>804</v>
      </c>
      <c r="C27" s="18"/>
      <c r="F27" s="106"/>
      <c r="G27" s="111"/>
      <c r="H27" s="838" t="s">
        <v>769</v>
      </c>
      <c r="I27" s="593"/>
    </row>
    <row r="28" spans="1:10" x14ac:dyDescent="0.6">
      <c r="A28" s="85" t="s">
        <v>427</v>
      </c>
      <c r="B28" s="18" t="s">
        <v>804</v>
      </c>
      <c r="C28" s="18"/>
      <c r="F28" s="106"/>
      <c r="G28" s="111"/>
      <c r="H28" s="686"/>
      <c r="I28" s="595"/>
      <c r="J28" s="596"/>
    </row>
    <row r="29" spans="1:10" x14ac:dyDescent="0.6">
      <c r="A29" s="85" t="s">
        <v>429</v>
      </c>
      <c r="B29" s="18" t="s">
        <v>804</v>
      </c>
      <c r="C29" s="18"/>
      <c r="F29" s="106"/>
      <c r="G29" s="111"/>
      <c r="H29" s="686" t="s">
        <v>769</v>
      </c>
      <c r="I29" s="599"/>
      <c r="J29" s="596"/>
    </row>
    <row r="30" spans="1:10" x14ac:dyDescent="0.6">
      <c r="A30" s="85" t="s">
        <v>430</v>
      </c>
      <c r="B30" s="18" t="s">
        <v>804</v>
      </c>
      <c r="C30" s="18"/>
      <c r="F30" s="106"/>
      <c r="G30" s="111"/>
      <c r="H30" s="686" t="s">
        <v>769</v>
      </c>
      <c r="I30" s="595"/>
      <c r="J30" s="596"/>
    </row>
    <row r="31" spans="1:10" x14ac:dyDescent="0.6">
      <c r="A31" s="85" t="s">
        <v>431</v>
      </c>
      <c r="B31" s="18" t="s">
        <v>804</v>
      </c>
      <c r="C31" s="18"/>
      <c r="F31" s="106"/>
      <c r="G31" s="111"/>
      <c r="H31" s="686" t="s">
        <v>769</v>
      </c>
      <c r="I31" s="599"/>
      <c r="J31" s="596"/>
    </row>
    <row r="32" spans="1:10" x14ac:dyDescent="0.6">
      <c r="A32" s="85" t="s">
        <v>511</v>
      </c>
      <c r="B32" s="18" t="s">
        <v>804</v>
      </c>
      <c r="C32" s="18"/>
      <c r="F32" s="106"/>
      <c r="G32" s="111"/>
      <c r="H32" s="686" t="s">
        <v>769</v>
      </c>
      <c r="I32" s="595"/>
      <c r="J32" s="596"/>
    </row>
    <row r="33" spans="1:10" x14ac:dyDescent="0.6">
      <c r="A33" s="85" t="s">
        <v>512</v>
      </c>
      <c r="B33" s="18" t="s">
        <v>804</v>
      </c>
      <c r="C33" s="18"/>
      <c r="F33" s="106"/>
      <c r="G33" s="111"/>
      <c r="H33" s="686" t="s">
        <v>769</v>
      </c>
      <c r="I33" s="595"/>
      <c r="J33" s="596"/>
    </row>
    <row r="34" spans="1:10" x14ac:dyDescent="0.6">
      <c r="A34" s="85" t="s">
        <v>1263</v>
      </c>
      <c r="B34" s="1462">
        <v>42959258</v>
      </c>
      <c r="C34" s="1462"/>
      <c r="F34" s="106">
        <f>B34</f>
        <v>42959258</v>
      </c>
      <c r="G34" s="111"/>
      <c r="H34" s="686" t="s">
        <v>769</v>
      </c>
      <c r="I34" s="599"/>
      <c r="J34" s="596"/>
    </row>
    <row r="35" spans="1:10" x14ac:dyDescent="0.6">
      <c r="A35" s="85" t="s">
        <v>433</v>
      </c>
      <c r="B35" s="18" t="s">
        <v>804</v>
      </c>
      <c r="C35" s="18"/>
      <c r="F35" s="106"/>
      <c r="G35" s="111"/>
      <c r="H35" s="686"/>
      <c r="I35" s="595"/>
      <c r="J35" s="596"/>
    </row>
    <row r="36" spans="1:10" x14ac:dyDescent="0.6">
      <c r="A36" s="85" t="s">
        <v>434</v>
      </c>
      <c r="B36" s="18" t="s">
        <v>804</v>
      </c>
      <c r="C36" s="18"/>
      <c r="F36" s="106"/>
      <c r="G36" s="111"/>
      <c r="H36" s="686"/>
      <c r="I36" s="599"/>
      <c r="J36" s="596"/>
    </row>
    <row r="37" spans="1:10" x14ac:dyDescent="0.6">
      <c r="A37" s="85" t="s">
        <v>435</v>
      </c>
      <c r="B37" s="1462">
        <v>477927</v>
      </c>
      <c r="C37" s="1462"/>
      <c r="F37" s="106">
        <f>B37</f>
        <v>477927</v>
      </c>
      <c r="G37" s="111"/>
      <c r="H37" s="686"/>
      <c r="I37" s="595"/>
      <c r="J37" s="596"/>
    </row>
    <row r="38" spans="1:10" x14ac:dyDescent="0.6">
      <c r="A38" s="85" t="s">
        <v>436</v>
      </c>
      <c r="B38" s="18" t="s">
        <v>804</v>
      </c>
      <c r="C38" s="18"/>
      <c r="F38" s="106"/>
      <c r="G38" s="111"/>
      <c r="H38" s="686"/>
      <c r="I38" s="599"/>
      <c r="J38" s="596"/>
    </row>
    <row r="39" spans="1:10" x14ac:dyDescent="0.6">
      <c r="A39" s="85" t="s">
        <v>437</v>
      </c>
      <c r="B39" s="18" t="s">
        <v>804</v>
      </c>
      <c r="C39" s="18"/>
      <c r="F39" s="106"/>
      <c r="G39" s="111"/>
      <c r="H39" s="686" t="s">
        <v>769</v>
      </c>
      <c r="I39" s="595"/>
      <c r="J39" s="596"/>
    </row>
    <row r="40" spans="1:10" x14ac:dyDescent="0.6">
      <c r="A40" s="85" t="s">
        <v>438</v>
      </c>
      <c r="B40" s="18" t="s">
        <v>804</v>
      </c>
      <c r="C40" s="18"/>
      <c r="F40" s="106"/>
      <c r="G40" s="111"/>
      <c r="H40" s="686" t="s">
        <v>769</v>
      </c>
      <c r="I40" s="595"/>
      <c r="J40" s="596"/>
    </row>
    <row r="41" spans="1:10" x14ac:dyDescent="0.6">
      <c r="A41" s="85" t="s">
        <v>439</v>
      </c>
      <c r="B41" s="18" t="s">
        <v>804</v>
      </c>
      <c r="C41" s="18"/>
      <c r="F41" s="106"/>
      <c r="G41" s="111"/>
      <c r="H41" s="686" t="s">
        <v>769</v>
      </c>
      <c r="I41" s="599"/>
      <c r="J41" s="596"/>
    </row>
    <row r="42" spans="1:10" x14ac:dyDescent="0.6">
      <c r="A42" s="85" t="s">
        <v>513</v>
      </c>
      <c r="B42" s="18" t="s">
        <v>804</v>
      </c>
      <c r="C42" s="18"/>
      <c r="F42" s="106"/>
      <c r="G42" s="111"/>
      <c r="H42" s="686" t="s">
        <v>769</v>
      </c>
      <c r="I42" s="595"/>
      <c r="J42" s="596"/>
    </row>
    <row r="43" spans="1:10" x14ac:dyDescent="0.6">
      <c r="A43" s="85" t="s">
        <v>1226</v>
      </c>
      <c r="B43" s="18" t="s">
        <v>804</v>
      </c>
      <c r="C43" s="18"/>
      <c r="F43" s="106"/>
      <c r="G43" s="111"/>
      <c r="H43" s="686" t="s">
        <v>769</v>
      </c>
      <c r="I43" s="595"/>
      <c r="J43" s="596"/>
    </row>
    <row r="44" spans="1:10" x14ac:dyDescent="0.6">
      <c r="A44" s="85" t="s">
        <v>442</v>
      </c>
      <c r="B44" s="18" t="s">
        <v>804</v>
      </c>
      <c r="C44" s="18"/>
      <c r="F44" s="106"/>
      <c r="G44" s="111"/>
      <c r="H44" s="686" t="s">
        <v>769</v>
      </c>
      <c r="I44" s="599"/>
      <c r="J44" s="596"/>
    </row>
    <row r="45" spans="1:10" x14ac:dyDescent="0.6">
      <c r="A45" s="85" t="s">
        <v>204</v>
      </c>
      <c r="B45" s="1462">
        <v>236337011</v>
      </c>
      <c r="C45" s="1462"/>
      <c r="F45" s="106">
        <f>B45</f>
        <v>236337011</v>
      </c>
      <c r="G45" s="111"/>
      <c r="H45" s="686"/>
      <c r="I45" s="595"/>
      <c r="J45" s="596"/>
    </row>
    <row r="46" spans="1:10" x14ac:dyDescent="0.6">
      <c r="A46" s="85" t="s">
        <v>443</v>
      </c>
      <c r="B46" s="18" t="s">
        <v>804</v>
      </c>
      <c r="C46" s="18"/>
      <c r="F46" s="106"/>
      <c r="G46" s="111"/>
      <c r="H46" s="686" t="s">
        <v>769</v>
      </c>
      <c r="I46" s="599"/>
      <c r="J46" s="123"/>
    </row>
    <row r="47" spans="1:10" x14ac:dyDescent="0.6">
      <c r="A47" s="85" t="s">
        <v>514</v>
      </c>
      <c r="B47" s="18" t="s">
        <v>804</v>
      </c>
      <c r="C47" s="18"/>
      <c r="F47" s="106"/>
      <c r="G47" s="111"/>
      <c r="H47" s="686" t="s">
        <v>769</v>
      </c>
      <c r="I47" s="599"/>
      <c r="J47" s="123"/>
    </row>
    <row r="48" spans="1:10" x14ac:dyDescent="0.6">
      <c r="A48" s="85" t="s">
        <v>515</v>
      </c>
      <c r="B48" s="18" t="s">
        <v>804</v>
      </c>
      <c r="C48" s="18"/>
      <c r="F48" s="106"/>
      <c r="G48" s="111"/>
      <c r="H48" s="686" t="s">
        <v>769</v>
      </c>
      <c r="I48" s="599"/>
      <c r="J48" s="123"/>
    </row>
    <row r="49" spans="1:10" x14ac:dyDescent="0.6">
      <c r="A49" s="85" t="s">
        <v>444</v>
      </c>
      <c r="B49" s="18" t="s">
        <v>804</v>
      </c>
      <c r="C49" s="18"/>
      <c r="F49" s="106"/>
      <c r="G49" s="111"/>
      <c r="H49" s="686"/>
      <c r="I49" s="599"/>
      <c r="J49" s="123"/>
    </row>
    <row r="50" spans="1:10" x14ac:dyDescent="0.6">
      <c r="A50" s="85" t="s">
        <v>516</v>
      </c>
      <c r="B50" s="18" t="s">
        <v>804</v>
      </c>
      <c r="C50" s="18"/>
      <c r="F50" s="106"/>
      <c r="G50" s="111"/>
      <c r="H50" s="686" t="s">
        <v>769</v>
      </c>
      <c r="I50" s="599"/>
      <c r="J50" s="123"/>
    </row>
    <row r="51" spans="1:10" x14ac:dyDescent="0.6">
      <c r="A51" s="85" t="s">
        <v>445</v>
      </c>
      <c r="B51" s="18" t="s">
        <v>804</v>
      </c>
      <c r="C51" s="18"/>
      <c r="F51" s="106"/>
      <c r="G51" s="111"/>
      <c r="H51" s="686" t="s">
        <v>769</v>
      </c>
      <c r="I51" s="599"/>
      <c r="J51" s="123"/>
    </row>
    <row r="52" spans="1:10" x14ac:dyDescent="0.6">
      <c r="A52" s="85" t="s">
        <v>205</v>
      </c>
      <c r="B52" s="1462">
        <v>15902026</v>
      </c>
      <c r="C52" s="1462"/>
      <c r="F52" s="106">
        <f>B52</f>
        <v>15902026</v>
      </c>
      <c r="G52" s="111"/>
      <c r="H52" s="686"/>
      <c r="I52" s="599"/>
      <c r="J52" s="123"/>
    </row>
    <row r="53" spans="1:10" x14ac:dyDescent="0.6">
      <c r="A53" s="85" t="s">
        <v>446</v>
      </c>
      <c r="B53" s="18" t="s">
        <v>804</v>
      </c>
      <c r="C53" s="18"/>
      <c r="F53" s="106"/>
      <c r="G53" s="111"/>
      <c r="H53" s="686" t="s">
        <v>769</v>
      </c>
      <c r="I53" s="595"/>
      <c r="J53" s="123"/>
    </row>
    <row r="54" spans="1:10" x14ac:dyDescent="0.6">
      <c r="A54" s="85" t="s">
        <v>517</v>
      </c>
      <c r="B54" s="18" t="s">
        <v>804</v>
      </c>
      <c r="C54" s="18"/>
      <c r="F54" s="106"/>
      <c r="G54" s="111"/>
      <c r="H54" s="686" t="s">
        <v>769</v>
      </c>
      <c r="I54" s="595"/>
      <c r="J54" s="123"/>
    </row>
    <row r="55" spans="1:10" x14ac:dyDescent="0.6">
      <c r="A55" s="85" t="s">
        <v>206</v>
      </c>
      <c r="B55" s="1462">
        <v>16450372</v>
      </c>
      <c r="C55" s="1462"/>
      <c r="F55" s="106">
        <f>B55</f>
        <v>16450372</v>
      </c>
      <c r="G55" s="111"/>
      <c r="H55" s="686"/>
      <c r="I55" s="599"/>
      <c r="J55" s="123"/>
    </row>
    <row r="56" spans="1:10" x14ac:dyDescent="0.6">
      <c r="A56" s="85" t="s">
        <v>207</v>
      </c>
      <c r="B56" s="1462">
        <v>15800000</v>
      </c>
      <c r="C56" s="1462"/>
      <c r="F56" s="106">
        <f>B56</f>
        <v>15800000</v>
      </c>
      <c r="G56" s="111"/>
      <c r="H56" s="686"/>
      <c r="I56" s="595"/>
      <c r="J56" s="123"/>
    </row>
    <row r="57" spans="1:10" x14ac:dyDescent="0.6">
      <c r="A57" s="85" t="s">
        <v>208</v>
      </c>
      <c r="B57" s="1462">
        <v>6400000</v>
      </c>
      <c r="C57" s="1462"/>
      <c r="F57" s="106">
        <f>B57</f>
        <v>6400000</v>
      </c>
      <c r="G57" s="111"/>
      <c r="H57" s="686"/>
      <c r="I57" s="599"/>
      <c r="J57" s="123"/>
    </row>
    <row r="58" spans="1:10" x14ac:dyDescent="0.6">
      <c r="A58" s="85" t="s">
        <v>209</v>
      </c>
      <c r="B58" s="1462">
        <v>4373252</v>
      </c>
      <c r="C58" s="1462"/>
      <c r="F58" s="106">
        <f>B58</f>
        <v>4373252</v>
      </c>
      <c r="G58" s="111"/>
      <c r="H58" s="686"/>
      <c r="I58" s="599"/>
      <c r="J58" s="123"/>
    </row>
    <row r="59" spans="1:10" x14ac:dyDescent="0.6">
      <c r="A59" s="85" t="s">
        <v>210</v>
      </c>
      <c r="B59" s="18" t="s">
        <v>804</v>
      </c>
      <c r="C59" s="18"/>
      <c r="F59" s="106"/>
      <c r="G59" s="111"/>
      <c r="H59" s="686"/>
      <c r="I59" s="599"/>
      <c r="J59" s="123"/>
    </row>
    <row r="60" spans="1:10" x14ac:dyDescent="0.6">
      <c r="A60" s="85" t="s">
        <v>1559</v>
      </c>
      <c r="B60" s="18" t="s">
        <v>804</v>
      </c>
      <c r="C60" s="18"/>
      <c r="F60" s="106"/>
      <c r="G60" s="111"/>
      <c r="H60" s="686"/>
      <c r="I60" s="599"/>
      <c r="J60" s="123"/>
    </row>
    <row r="61" spans="1:10" x14ac:dyDescent="0.6">
      <c r="A61" s="85" t="s">
        <v>965</v>
      </c>
      <c r="B61" s="1462">
        <v>191442596</v>
      </c>
      <c r="C61" s="1462"/>
      <c r="F61" s="106"/>
      <c r="G61" s="111">
        <f>B61</f>
        <v>191442596</v>
      </c>
      <c r="H61" s="686" t="s">
        <v>769</v>
      </c>
      <c r="I61" s="595"/>
      <c r="J61" s="123"/>
    </row>
    <row r="62" spans="1:10" x14ac:dyDescent="0.6">
      <c r="A62" s="85" t="s">
        <v>211</v>
      </c>
      <c r="B62" s="1462">
        <v>1428543</v>
      </c>
      <c r="C62" s="1462"/>
      <c r="F62" s="106">
        <f>B62</f>
        <v>1428543</v>
      </c>
      <c r="G62" s="111"/>
      <c r="H62" s="686"/>
      <c r="I62" s="599"/>
      <c r="J62" s="123"/>
    </row>
    <row r="63" spans="1:10" x14ac:dyDescent="0.6">
      <c r="A63" s="85" t="s">
        <v>1360</v>
      </c>
      <c r="B63" s="1462">
        <v>11785227</v>
      </c>
      <c r="C63" s="1462"/>
      <c r="F63" s="106">
        <f>B63</f>
        <v>11785227</v>
      </c>
      <c r="G63" s="111"/>
      <c r="H63" s="686" t="s">
        <v>769</v>
      </c>
      <c r="I63" s="595"/>
      <c r="J63" s="123"/>
    </row>
    <row r="64" spans="1:10" x14ac:dyDescent="0.6">
      <c r="A64" s="85" t="s">
        <v>212</v>
      </c>
      <c r="B64" s="1462">
        <v>4785561</v>
      </c>
      <c r="C64" s="1462"/>
      <c r="F64" s="106"/>
      <c r="G64" s="111">
        <f>B64</f>
        <v>4785561</v>
      </c>
      <c r="H64" s="686" t="s">
        <v>769</v>
      </c>
      <c r="I64" s="599"/>
      <c r="J64" s="123"/>
    </row>
    <row r="65" spans="1:10" x14ac:dyDescent="0.6">
      <c r="A65" s="85" t="s">
        <v>213</v>
      </c>
      <c r="B65" s="1462">
        <v>100470527</v>
      </c>
      <c r="C65" s="1462"/>
      <c r="F65" s="106"/>
      <c r="G65" s="111">
        <f>B65</f>
        <v>100470527</v>
      </c>
      <c r="H65" s="686" t="s">
        <v>769</v>
      </c>
      <c r="I65" s="595"/>
      <c r="J65" s="123"/>
    </row>
    <row r="66" spans="1:10" x14ac:dyDescent="0.6">
      <c r="A66" s="85" t="s">
        <v>214</v>
      </c>
      <c r="B66" s="1462">
        <v>36376202</v>
      </c>
      <c r="C66" s="1462"/>
      <c r="F66" s="106"/>
      <c r="G66" s="111">
        <f>B66</f>
        <v>36376202</v>
      </c>
      <c r="H66" s="686" t="s">
        <v>769</v>
      </c>
      <c r="I66" s="599"/>
      <c r="J66" s="123"/>
    </row>
    <row r="67" spans="1:10" x14ac:dyDescent="0.6">
      <c r="A67" s="85" t="s">
        <v>215</v>
      </c>
      <c r="B67" s="1462">
        <v>208633029</v>
      </c>
      <c r="C67" s="1462"/>
      <c r="F67" s="106">
        <f>B67</f>
        <v>208633029</v>
      </c>
      <c r="G67" s="111"/>
      <c r="H67" s="686" t="s">
        <v>769</v>
      </c>
      <c r="I67" s="595"/>
      <c r="J67" s="123"/>
    </row>
    <row r="68" spans="1:10" x14ac:dyDescent="0.6">
      <c r="A68" s="85" t="s">
        <v>216</v>
      </c>
      <c r="B68" s="1462">
        <v>1076465</v>
      </c>
      <c r="C68" s="1462"/>
      <c r="F68" s="106">
        <f t="shared" ref="F68:F72" si="0">B68</f>
        <v>1076465</v>
      </c>
      <c r="G68" s="111"/>
      <c r="H68" s="686" t="s">
        <v>769</v>
      </c>
      <c r="I68" s="599"/>
      <c r="J68" s="123"/>
    </row>
    <row r="69" spans="1:10" x14ac:dyDescent="0.6">
      <c r="A69" s="85" t="s">
        <v>217</v>
      </c>
      <c r="B69" s="1462">
        <v>1171092</v>
      </c>
      <c r="C69" s="1462"/>
      <c r="F69" s="106">
        <f t="shared" si="0"/>
        <v>1171092</v>
      </c>
      <c r="G69" s="111"/>
      <c r="H69" s="686" t="s">
        <v>769</v>
      </c>
      <c r="I69" s="595"/>
      <c r="J69" s="123"/>
    </row>
    <row r="70" spans="1:10" x14ac:dyDescent="0.6">
      <c r="A70" s="85" t="s">
        <v>1560</v>
      </c>
      <c r="B70" s="1462">
        <v>934302</v>
      </c>
      <c r="C70" s="1462"/>
      <c r="F70" s="106">
        <f t="shared" si="0"/>
        <v>934302</v>
      </c>
      <c r="G70" s="111"/>
      <c r="H70" s="686" t="s">
        <v>769</v>
      </c>
      <c r="I70" s="599"/>
      <c r="J70" s="123"/>
    </row>
    <row r="71" spans="1:10" x14ac:dyDescent="0.6">
      <c r="A71" s="85" t="s">
        <v>218</v>
      </c>
      <c r="B71" s="1462">
        <v>934302</v>
      </c>
      <c r="C71" s="1462"/>
      <c r="F71" s="106">
        <f t="shared" si="0"/>
        <v>934302</v>
      </c>
      <c r="G71" s="111"/>
      <c r="H71" s="686" t="s">
        <v>769</v>
      </c>
      <c r="I71" s="595"/>
      <c r="J71" s="123"/>
    </row>
    <row r="72" spans="1:10" x14ac:dyDescent="0.6">
      <c r="A72" s="85" t="s">
        <v>219</v>
      </c>
      <c r="B72" s="1462">
        <v>21891293</v>
      </c>
      <c r="C72" s="1462"/>
      <c r="F72" s="106">
        <f t="shared" si="0"/>
        <v>21891293</v>
      </c>
      <c r="G72" s="111"/>
      <c r="H72" s="686" t="s">
        <v>769</v>
      </c>
      <c r="I72" s="599"/>
      <c r="J72" s="123"/>
    </row>
    <row r="73" spans="1:10" x14ac:dyDescent="0.6">
      <c r="A73" s="85" t="s">
        <v>1561</v>
      </c>
      <c r="B73" s="18" t="s">
        <v>804</v>
      </c>
      <c r="C73" s="18"/>
      <c r="F73" s="106"/>
      <c r="G73" s="111"/>
      <c r="H73" s="686" t="s">
        <v>769</v>
      </c>
      <c r="I73" s="595"/>
      <c r="J73" s="123"/>
    </row>
    <row r="74" spans="1:10" x14ac:dyDescent="0.6">
      <c r="A74" s="85" t="s">
        <v>220</v>
      </c>
      <c r="B74" s="1462">
        <v>443262</v>
      </c>
      <c r="C74" s="1462"/>
      <c r="F74" s="106"/>
      <c r="G74" s="111">
        <f>B74</f>
        <v>443262</v>
      </c>
      <c r="H74" s="686" t="s">
        <v>769</v>
      </c>
      <c r="I74" s="599"/>
      <c r="J74" s="123"/>
    </row>
    <row r="75" spans="1:10" x14ac:dyDescent="0.6">
      <c r="A75" s="85" t="s">
        <v>221</v>
      </c>
      <c r="B75" s="1462">
        <v>7946235</v>
      </c>
      <c r="C75" s="1462"/>
      <c r="F75" s="106">
        <f>B75</f>
        <v>7946235</v>
      </c>
      <c r="G75" s="111"/>
      <c r="H75" s="686" t="s">
        <v>769</v>
      </c>
      <c r="I75" s="599"/>
      <c r="J75" s="123"/>
    </row>
    <row r="76" spans="1:10" x14ac:dyDescent="0.6">
      <c r="A76" s="85" t="s">
        <v>222</v>
      </c>
      <c r="B76" s="1462">
        <v>266825</v>
      </c>
      <c r="C76" s="1462"/>
      <c r="F76" s="106">
        <f>B76</f>
        <v>266825</v>
      </c>
      <c r="G76" s="111"/>
      <c r="H76" s="686" t="s">
        <v>769</v>
      </c>
      <c r="I76" s="595"/>
      <c r="J76" s="123"/>
    </row>
    <row r="77" spans="1:10" x14ac:dyDescent="0.6">
      <c r="A77" s="85" t="s">
        <v>1562</v>
      </c>
      <c r="B77" s="18" t="s">
        <v>804</v>
      </c>
      <c r="C77" s="18"/>
      <c r="F77" s="106"/>
      <c r="G77" s="111"/>
      <c r="H77" s="686"/>
      <c r="I77" s="599"/>
      <c r="J77" s="123"/>
    </row>
    <row r="78" spans="1:10" x14ac:dyDescent="0.6">
      <c r="A78" s="85" t="s">
        <v>223</v>
      </c>
      <c r="B78" s="1462">
        <v>14590120</v>
      </c>
      <c r="C78" s="1462"/>
      <c r="F78" s="106">
        <f>B78</f>
        <v>14590120</v>
      </c>
      <c r="G78" s="111"/>
      <c r="H78" s="686"/>
      <c r="I78" s="595"/>
      <c r="J78" s="123"/>
    </row>
    <row r="79" spans="1:10" x14ac:dyDescent="0.6">
      <c r="A79" s="85" t="s">
        <v>224</v>
      </c>
      <c r="B79" s="1462">
        <v>140253</v>
      </c>
      <c r="C79" s="1462"/>
      <c r="F79" s="106">
        <f>B79</f>
        <v>140253</v>
      </c>
      <c r="G79" s="111"/>
      <c r="H79" s="686"/>
      <c r="I79" s="599"/>
      <c r="J79" s="123"/>
    </row>
    <row r="80" spans="1:10" x14ac:dyDescent="0.6">
      <c r="A80" s="85" t="s">
        <v>225</v>
      </c>
      <c r="B80" s="1462">
        <v>5582678</v>
      </c>
      <c r="C80" s="1462"/>
      <c r="F80" s="106">
        <f t="shared" ref="F80:F84" si="1">B80</f>
        <v>5582678</v>
      </c>
      <c r="G80" s="111"/>
      <c r="H80" s="686" t="s">
        <v>769</v>
      </c>
      <c r="I80" s="595"/>
      <c r="J80" s="123"/>
    </row>
    <row r="81" spans="1:10" x14ac:dyDescent="0.6">
      <c r="A81" s="85" t="s">
        <v>226</v>
      </c>
      <c r="B81" s="1462">
        <v>707363</v>
      </c>
      <c r="C81" s="1462"/>
      <c r="F81" s="106">
        <f t="shared" si="1"/>
        <v>707363</v>
      </c>
      <c r="G81" s="111"/>
      <c r="H81" s="686" t="s">
        <v>769</v>
      </c>
      <c r="I81" s="599"/>
      <c r="J81" s="123"/>
    </row>
    <row r="82" spans="1:10" x14ac:dyDescent="0.6">
      <c r="A82" s="85" t="s">
        <v>227</v>
      </c>
      <c r="B82" s="1462">
        <v>6081948</v>
      </c>
      <c r="C82" s="1462"/>
      <c r="F82" s="106">
        <f t="shared" si="1"/>
        <v>6081948</v>
      </c>
      <c r="G82" s="111"/>
      <c r="H82" s="686" t="s">
        <v>769</v>
      </c>
      <c r="I82" s="595"/>
      <c r="J82" s="123"/>
    </row>
    <row r="83" spans="1:10" x14ac:dyDescent="0.6">
      <c r="A83" s="85" t="s">
        <v>228</v>
      </c>
      <c r="B83" s="1462">
        <v>1758498</v>
      </c>
      <c r="C83" s="1462"/>
      <c r="F83" s="106">
        <f t="shared" si="1"/>
        <v>1758498</v>
      </c>
      <c r="G83" s="111"/>
      <c r="H83" s="686" t="s">
        <v>769</v>
      </c>
      <c r="I83" s="599"/>
      <c r="J83" s="123"/>
    </row>
    <row r="84" spans="1:10" x14ac:dyDescent="0.6">
      <c r="A84" s="85" t="s">
        <v>229</v>
      </c>
      <c r="B84" s="1462">
        <v>276695</v>
      </c>
      <c r="C84" s="1462"/>
      <c r="F84" s="106">
        <f t="shared" si="1"/>
        <v>276695</v>
      </c>
      <c r="G84" s="111"/>
      <c r="H84" s="838" t="s">
        <v>769</v>
      </c>
      <c r="I84" s="1565"/>
    </row>
    <row r="85" spans="1:10" x14ac:dyDescent="0.6">
      <c r="A85" s="85" t="s">
        <v>240</v>
      </c>
      <c r="B85" s="1462">
        <v>2989322</v>
      </c>
      <c r="C85" s="1462"/>
      <c r="D85" s="17">
        <f>B85</f>
        <v>2989322</v>
      </c>
      <c r="F85" s="106"/>
      <c r="G85" s="111"/>
      <c r="H85" s="838"/>
      <c r="I85" s="593"/>
    </row>
    <row r="86" spans="1:10" x14ac:dyDescent="0.6">
      <c r="A86" s="85" t="s">
        <v>241</v>
      </c>
      <c r="B86" s="18" t="s">
        <v>804</v>
      </c>
      <c r="C86" s="18"/>
      <c r="F86" s="106"/>
      <c r="G86" s="111"/>
      <c r="H86" s="838"/>
      <c r="I86" s="593"/>
    </row>
    <row r="87" spans="1:10" x14ac:dyDescent="0.6">
      <c r="A87" s="85" t="s">
        <v>242</v>
      </c>
      <c r="B87" s="1462">
        <v>2129372</v>
      </c>
      <c r="C87" s="1462"/>
      <c r="F87" s="106">
        <f>B87</f>
        <v>2129372</v>
      </c>
      <c r="G87" s="111"/>
      <c r="H87" s="838"/>
      <c r="I87" s="593"/>
    </row>
    <row r="88" spans="1:10" x14ac:dyDescent="0.6">
      <c r="A88" s="85" t="s">
        <v>243</v>
      </c>
      <c r="B88" s="1462">
        <v>38530175</v>
      </c>
      <c r="C88" s="1462"/>
      <c r="F88" s="106">
        <f t="shared" ref="F88:F89" si="2">B88</f>
        <v>38530175</v>
      </c>
      <c r="G88" s="111"/>
      <c r="H88" s="838"/>
      <c r="I88" s="593"/>
    </row>
    <row r="89" spans="1:10" x14ac:dyDescent="0.6">
      <c r="A89" s="85" t="s">
        <v>244</v>
      </c>
      <c r="B89" s="1462">
        <v>2129372</v>
      </c>
      <c r="C89" s="1462"/>
      <c r="F89" s="106">
        <f t="shared" si="2"/>
        <v>2129372</v>
      </c>
      <c r="G89" s="111"/>
      <c r="H89" s="838"/>
      <c r="I89" s="593"/>
    </row>
    <row r="90" spans="1:10" x14ac:dyDescent="0.6">
      <c r="A90" s="85" t="s">
        <v>508</v>
      </c>
      <c r="B90" s="1462">
        <v>1548442174</v>
      </c>
      <c r="C90" s="1462"/>
      <c r="D90" s="17">
        <f>B90</f>
        <v>1548442174</v>
      </c>
      <c r="F90" s="106"/>
      <c r="G90" s="111"/>
      <c r="H90" s="838"/>
      <c r="I90" s="593"/>
    </row>
    <row r="91" spans="1:10" x14ac:dyDescent="0.6">
      <c r="A91" s="85" t="s">
        <v>245</v>
      </c>
      <c r="B91" s="1462">
        <v>32994391</v>
      </c>
      <c r="C91" s="1462"/>
      <c r="F91" s="106">
        <f>B91</f>
        <v>32994391</v>
      </c>
      <c r="G91" s="111"/>
      <c r="H91" s="838"/>
      <c r="I91" s="593"/>
    </row>
    <row r="92" spans="1:10" x14ac:dyDescent="0.6">
      <c r="A92" s="85" t="s">
        <v>1565</v>
      </c>
      <c r="B92" s="18" t="s">
        <v>804</v>
      </c>
      <c r="C92" s="18"/>
      <c r="F92" s="106"/>
      <c r="G92" s="111"/>
      <c r="H92" s="838"/>
      <c r="I92" s="593"/>
    </row>
    <row r="93" spans="1:10" x14ac:dyDescent="0.6">
      <c r="A93" s="85" t="s">
        <v>1566</v>
      </c>
      <c r="B93" s="1462">
        <v>160000000</v>
      </c>
      <c r="C93" s="1462"/>
      <c r="F93" s="106">
        <f>B93</f>
        <v>160000000</v>
      </c>
      <c r="G93" s="111"/>
      <c r="H93" s="838"/>
      <c r="I93" s="593"/>
    </row>
    <row r="94" spans="1:10" ht="15.9" thickBot="1" x14ac:dyDescent="0.65">
      <c r="A94" s="99" t="s">
        <v>1567</v>
      </c>
      <c r="B94" s="18" t="s">
        <v>804</v>
      </c>
      <c r="C94" s="18"/>
      <c r="D94" s="101"/>
      <c r="E94" s="101"/>
      <c r="F94" s="101"/>
      <c r="G94" s="163"/>
      <c r="H94" s="1593"/>
      <c r="I94" s="108"/>
      <c r="J94" s="16"/>
    </row>
    <row r="95" spans="1:10" s="192" customFormat="1" ht="15.9" thickTop="1" x14ac:dyDescent="0.6">
      <c r="A95" s="78" t="s">
        <v>0</v>
      </c>
      <c r="B95" s="723">
        <f>SUM(B96:B102)</f>
        <v>123576916</v>
      </c>
      <c r="C95" s="723"/>
      <c r="D95" s="723">
        <f t="shared" ref="D95:G95" si="3">SUM(D96:D102)</f>
        <v>123576916</v>
      </c>
      <c r="E95" s="723">
        <f t="shared" si="3"/>
        <v>0</v>
      </c>
      <c r="F95" s="723">
        <f t="shared" si="3"/>
        <v>0</v>
      </c>
      <c r="G95" s="724">
        <f t="shared" si="3"/>
        <v>0</v>
      </c>
      <c r="H95" s="838"/>
      <c r="I95" s="593"/>
      <c r="J95" s="1"/>
    </row>
    <row r="96" spans="1:10" s="85" customFormat="1" x14ac:dyDescent="0.6">
      <c r="A96" s="85" t="s">
        <v>1229</v>
      </c>
      <c r="B96" s="686" t="s">
        <v>804</v>
      </c>
      <c r="C96" s="686"/>
      <c r="D96" s="599"/>
      <c r="E96" s="599"/>
      <c r="F96" s="599"/>
      <c r="G96" s="130"/>
      <c r="H96" s="838"/>
      <c r="I96" s="1594" t="s">
        <v>1739</v>
      </c>
      <c r="J96" s="69"/>
    </row>
    <row r="97" spans="1:10" s="85" customFormat="1" x14ac:dyDescent="0.6">
      <c r="A97" s="85" t="s">
        <v>704</v>
      </c>
      <c r="B97" s="686" t="s">
        <v>804</v>
      </c>
      <c r="C97" s="686"/>
      <c r="D97" s="599"/>
      <c r="E97" s="599"/>
      <c r="F97" s="599"/>
      <c r="G97" s="130"/>
      <c r="H97" s="838" t="s">
        <v>769</v>
      </c>
      <c r="I97" s="593" t="s">
        <v>42</v>
      </c>
      <c r="J97" s="13">
        <f>COUNTIF(B95:B332, "*")+COUNT(B95:B332)-28</f>
        <v>209</v>
      </c>
    </row>
    <row r="98" spans="1:10" s="85" customFormat="1" x14ac:dyDescent="0.6">
      <c r="A98" s="85" t="s">
        <v>1568</v>
      </c>
      <c r="B98" s="686" t="s">
        <v>804</v>
      </c>
      <c r="C98" s="686"/>
      <c r="D98" s="599"/>
      <c r="E98" s="599"/>
      <c r="F98" s="599"/>
      <c r="G98" s="130"/>
      <c r="H98" s="1063" t="s">
        <v>769</v>
      </c>
      <c r="I98" s="593" t="s">
        <v>802</v>
      </c>
      <c r="J98" s="13">
        <f>COUNTIF(B95:B332,"ND")</f>
        <v>86</v>
      </c>
    </row>
    <row r="99" spans="1:10" s="85" customFormat="1" x14ac:dyDescent="0.6">
      <c r="A99" s="85" t="s">
        <v>1569</v>
      </c>
      <c r="B99" s="599">
        <v>85590102</v>
      </c>
      <c r="C99" s="599"/>
      <c r="D99" s="599">
        <f>B99</f>
        <v>85590102</v>
      </c>
      <c r="E99" s="599"/>
      <c r="F99" s="599"/>
      <c r="G99" s="130"/>
      <c r="H99" s="686"/>
      <c r="I99" s="593" t="s">
        <v>1732</v>
      </c>
      <c r="J99" s="13">
        <f>COUNTIF(H95:H332,"x")</f>
        <v>81</v>
      </c>
    </row>
    <row r="100" spans="1:10" s="85" customFormat="1" x14ac:dyDescent="0.6">
      <c r="A100" s="85" t="s">
        <v>1570</v>
      </c>
      <c r="B100" s="599">
        <v>37986814</v>
      </c>
      <c r="C100" s="599"/>
      <c r="D100" s="599">
        <f>B100</f>
        <v>37986814</v>
      </c>
      <c r="E100" s="599"/>
      <c r="F100" s="599"/>
      <c r="G100" s="130"/>
      <c r="H100" s="1063"/>
      <c r="I100" s="593" t="s">
        <v>239</v>
      </c>
      <c r="J100" s="13"/>
    </row>
    <row r="101" spans="1:10" s="85" customFormat="1" x14ac:dyDescent="0.6">
      <c r="A101" s="85" t="s">
        <v>1571</v>
      </c>
      <c r="B101" s="686" t="s">
        <v>804</v>
      </c>
      <c r="C101" s="686"/>
      <c r="D101" s="599"/>
      <c r="E101" s="599"/>
      <c r="F101" s="599"/>
      <c r="G101" s="130"/>
      <c r="H101" s="1406"/>
      <c r="I101" s="1566"/>
      <c r="J101" s="123"/>
    </row>
    <row r="102" spans="1:10" ht="15.9" thickBot="1" x14ac:dyDescent="0.65">
      <c r="A102" s="99" t="s">
        <v>785</v>
      </c>
      <c r="B102" s="598" t="s">
        <v>804</v>
      </c>
      <c r="C102" s="598"/>
      <c r="D102" s="124"/>
      <c r="E102" s="124"/>
      <c r="F102" s="124"/>
      <c r="G102" s="131"/>
      <c r="H102" s="1406" t="s">
        <v>769</v>
      </c>
      <c r="I102" s="601"/>
      <c r="J102" s="123"/>
    </row>
    <row r="103" spans="1:10" ht="15.9" thickTop="1" x14ac:dyDescent="0.6">
      <c r="A103" s="78" t="s">
        <v>1</v>
      </c>
      <c r="B103" s="744">
        <f>SUM(B104:B104)</f>
        <v>1448584184</v>
      </c>
      <c r="C103" s="744"/>
      <c r="D103" s="744">
        <f>SUM(D104:D104)</f>
        <v>724292092</v>
      </c>
      <c r="E103" s="744"/>
      <c r="F103" s="744">
        <f>SUM(F104:F104)</f>
        <v>724292092</v>
      </c>
      <c r="G103" s="745">
        <f>SUM(G104:G104)</f>
        <v>0</v>
      </c>
      <c r="H103" s="1406"/>
      <c r="I103" s="601"/>
      <c r="J103" s="123"/>
    </row>
    <row r="104" spans="1:10" ht="15.9" thickBot="1" x14ac:dyDescent="0.65">
      <c r="A104" s="99" t="s">
        <v>786</v>
      </c>
      <c r="B104" s="126">
        <v>1448584184</v>
      </c>
      <c r="C104" s="126"/>
      <c r="D104" s="126">
        <f>B104/2</f>
        <v>724292092</v>
      </c>
      <c r="E104" s="126"/>
      <c r="F104" s="126">
        <f>D104</f>
        <v>724292092</v>
      </c>
      <c r="G104" s="133"/>
      <c r="H104" s="1406" t="s">
        <v>769</v>
      </c>
      <c r="I104" s="601"/>
      <c r="J104" s="123"/>
    </row>
    <row r="105" spans="1:10" s="192" customFormat="1" ht="15.9" thickTop="1" x14ac:dyDescent="0.6">
      <c r="A105" s="78" t="s">
        <v>2</v>
      </c>
      <c r="B105" s="1596" t="s">
        <v>625</v>
      </c>
      <c r="C105" s="746"/>
      <c r="D105" s="746">
        <f>SUM(D108:D109)</f>
        <v>0</v>
      </c>
      <c r="E105" s="746"/>
      <c r="F105" s="746">
        <f>SUM(F108:F109)</f>
        <v>0</v>
      </c>
      <c r="G105" s="747">
        <f>SUM(G108:G109)</f>
        <v>0</v>
      </c>
      <c r="H105" s="1406"/>
      <c r="I105" s="601"/>
      <c r="J105" s="123"/>
    </row>
    <row r="106" spans="1:10" s="85" customFormat="1" x14ac:dyDescent="0.6">
      <c r="A106" s="85" t="s">
        <v>905</v>
      </c>
      <c r="B106" s="808" t="s">
        <v>804</v>
      </c>
      <c r="C106" s="808"/>
      <c r="D106" s="659"/>
      <c r="E106" s="659"/>
      <c r="F106" s="659"/>
      <c r="G106" s="134"/>
      <c r="H106" s="1406" t="s">
        <v>769</v>
      </c>
      <c r="I106" s="601"/>
      <c r="J106" s="123"/>
    </row>
    <row r="107" spans="1:10" s="85" customFormat="1" x14ac:dyDescent="0.6">
      <c r="A107" s="85" t="s">
        <v>1572</v>
      </c>
      <c r="B107" s="808" t="s">
        <v>804</v>
      </c>
      <c r="C107" s="808"/>
      <c r="D107" s="659"/>
      <c r="E107" s="659"/>
      <c r="F107" s="659"/>
      <c r="G107" s="134"/>
      <c r="H107" s="1406" t="s">
        <v>769</v>
      </c>
      <c r="I107" s="601"/>
      <c r="J107" s="123"/>
    </row>
    <row r="108" spans="1:10" x14ac:dyDescent="0.6">
      <c r="A108" s="85" t="s">
        <v>770</v>
      </c>
      <c r="B108" s="808" t="s">
        <v>804</v>
      </c>
      <c r="C108" s="808"/>
      <c r="D108" s="127"/>
      <c r="E108" s="127"/>
      <c r="F108" s="659"/>
      <c r="G108" s="134"/>
      <c r="H108" s="1406"/>
      <c r="I108" s="601"/>
      <c r="J108" s="123"/>
    </row>
    <row r="109" spans="1:10" ht="15.9" thickBot="1" x14ac:dyDescent="0.65">
      <c r="A109" s="99" t="s">
        <v>771</v>
      </c>
      <c r="B109" s="771" t="s">
        <v>804</v>
      </c>
      <c r="C109" s="771"/>
      <c r="D109" s="128"/>
      <c r="E109" s="128"/>
      <c r="F109" s="128"/>
      <c r="G109" s="135"/>
      <c r="H109" s="1572" t="s">
        <v>769</v>
      </c>
      <c r="I109" s="1567"/>
      <c r="J109" s="123"/>
    </row>
    <row r="110" spans="1:10" s="192" customFormat="1" ht="15.9" thickTop="1" x14ac:dyDescent="0.6">
      <c r="A110" s="78" t="s">
        <v>3</v>
      </c>
      <c r="B110" s="799">
        <f>SUM(B111:B115)</f>
        <v>963540179</v>
      </c>
      <c r="C110" s="799">
        <f t="shared" ref="C110:E110" si="4">SUM(C111:C115)</f>
        <v>52457088</v>
      </c>
      <c r="D110" s="799">
        <f t="shared" si="4"/>
        <v>0</v>
      </c>
      <c r="E110" s="799">
        <f t="shared" si="4"/>
        <v>0</v>
      </c>
      <c r="F110" s="799">
        <f>SUM(F111:F115)</f>
        <v>911083091</v>
      </c>
      <c r="G110" s="800">
        <f>SUM(G111:G115)</f>
        <v>0</v>
      </c>
      <c r="H110" s="1065"/>
      <c r="I110" s="694"/>
      <c r="J110" s="123"/>
    </row>
    <row r="111" spans="1:10" x14ac:dyDescent="0.6">
      <c r="A111" s="85" t="s">
        <v>285</v>
      </c>
      <c r="B111" s="196">
        <v>151617181</v>
      </c>
      <c r="C111" s="196"/>
      <c r="D111" s="196"/>
      <c r="E111" s="196"/>
      <c r="F111" s="1577">
        <f>B111</f>
        <v>151617181</v>
      </c>
      <c r="G111" s="199"/>
      <c r="H111" s="1065" t="s">
        <v>769</v>
      </c>
      <c r="I111" s="694"/>
      <c r="J111" s="123"/>
    </row>
    <row r="112" spans="1:10" x14ac:dyDescent="0.6">
      <c r="A112" s="85" t="s">
        <v>286</v>
      </c>
      <c r="B112" s="196">
        <v>178409928</v>
      </c>
      <c r="C112" s="196"/>
      <c r="D112" s="196"/>
      <c r="E112" s="196"/>
      <c r="F112" s="1577">
        <f>B112</f>
        <v>178409928</v>
      </c>
      <c r="G112" s="199"/>
      <c r="H112" s="1065"/>
      <c r="I112" s="694"/>
      <c r="J112" s="123"/>
    </row>
    <row r="113" spans="1:10" x14ac:dyDescent="0.6">
      <c r="A113" s="85" t="s">
        <v>287</v>
      </c>
      <c r="B113" s="196">
        <v>521819782</v>
      </c>
      <c r="C113" s="196"/>
      <c r="D113" s="196"/>
      <c r="E113" s="196"/>
      <c r="F113" s="1577">
        <f>B113</f>
        <v>521819782</v>
      </c>
      <c r="G113" s="199"/>
      <c r="H113" s="1065" t="s">
        <v>769</v>
      </c>
      <c r="I113" s="694"/>
      <c r="J113" s="123"/>
    </row>
    <row r="114" spans="1:10" x14ac:dyDescent="0.6">
      <c r="A114" s="85" t="s">
        <v>290</v>
      </c>
      <c r="B114" s="196">
        <v>52457088</v>
      </c>
      <c r="C114" s="196">
        <f>B114</f>
        <v>52457088</v>
      </c>
      <c r="D114" s="196"/>
      <c r="E114" s="196"/>
      <c r="F114" s="1577"/>
      <c r="G114" s="199"/>
      <c r="H114" s="1065" t="s">
        <v>769</v>
      </c>
      <c r="I114" s="694"/>
      <c r="J114" s="123"/>
    </row>
    <row r="115" spans="1:10" ht="15.9" thickBot="1" x14ac:dyDescent="0.65">
      <c r="A115" s="99" t="s">
        <v>288</v>
      </c>
      <c r="B115" s="776">
        <v>59236200</v>
      </c>
      <c r="C115" s="776"/>
      <c r="D115" s="198"/>
      <c r="E115" s="198"/>
      <c r="F115" s="198">
        <f>B115</f>
        <v>59236200</v>
      </c>
      <c r="G115" s="200"/>
      <c r="H115" s="1065"/>
      <c r="I115" s="694"/>
      <c r="J115" s="123"/>
    </row>
    <row r="116" spans="1:10" ht="15.9" thickTop="1" x14ac:dyDescent="0.6">
      <c r="A116" s="78" t="s">
        <v>4</v>
      </c>
      <c r="B116" s="723">
        <f>SUM(B117:B118)</f>
        <v>340000</v>
      </c>
      <c r="C116" s="723"/>
      <c r="D116" s="723">
        <f>SUM(D117:D118)</f>
        <v>0</v>
      </c>
      <c r="E116" s="723"/>
      <c r="F116" s="723">
        <f>SUM(F117:F118)</f>
        <v>340000</v>
      </c>
      <c r="G116" s="724">
        <f>SUM(G117:G118)</f>
        <v>0</v>
      </c>
      <c r="H116" s="1090"/>
      <c r="I116" s="1568"/>
      <c r="J116" s="123"/>
    </row>
    <row r="117" spans="1:10" x14ac:dyDescent="0.6">
      <c r="A117" s="85" t="s">
        <v>787</v>
      </c>
      <c r="B117" s="123">
        <v>250000</v>
      </c>
      <c r="C117" s="123"/>
      <c r="D117" s="123"/>
      <c r="E117" s="123"/>
      <c r="F117" s="599">
        <f>B117</f>
        <v>250000</v>
      </c>
      <c r="G117" s="130"/>
      <c r="H117" s="1090" t="s">
        <v>769</v>
      </c>
      <c r="I117" s="605"/>
      <c r="J117" s="123"/>
    </row>
    <row r="118" spans="1:10" ht="15.9" thickBot="1" x14ac:dyDescent="0.65">
      <c r="A118" s="99" t="s">
        <v>788</v>
      </c>
      <c r="B118" s="124">
        <v>90000</v>
      </c>
      <c r="C118" s="124"/>
      <c r="D118" s="124"/>
      <c r="E118" s="124"/>
      <c r="F118" s="124">
        <f>B118</f>
        <v>90000</v>
      </c>
      <c r="G118" s="131"/>
      <c r="H118" s="1090" t="s">
        <v>769</v>
      </c>
      <c r="I118" s="605"/>
      <c r="J118" s="123"/>
    </row>
    <row r="119" spans="1:10" ht="15.9" thickTop="1" x14ac:dyDescent="0.6">
      <c r="A119" s="78" t="s">
        <v>5</v>
      </c>
      <c r="B119" s="723">
        <f>SUM(B120:B124)</f>
        <v>488600590</v>
      </c>
      <c r="C119" s="723">
        <f t="shared" ref="C119:G119" si="5">SUM(C120:C124)</f>
        <v>0</v>
      </c>
      <c r="D119" s="723">
        <f t="shared" si="5"/>
        <v>0</v>
      </c>
      <c r="E119" s="723">
        <f t="shared" si="5"/>
        <v>6661523</v>
      </c>
      <c r="F119" s="723">
        <f t="shared" si="5"/>
        <v>481939067</v>
      </c>
      <c r="G119" s="724">
        <f t="shared" si="5"/>
        <v>0</v>
      </c>
      <c r="H119" s="686"/>
      <c r="I119" s="595"/>
      <c r="J119" s="123"/>
    </row>
    <row r="120" spans="1:10" s="85" customFormat="1" x14ac:dyDescent="0.6">
      <c r="A120" s="85" t="s">
        <v>1573</v>
      </c>
      <c r="B120" s="599">
        <v>325000000</v>
      </c>
      <c r="C120" s="599"/>
      <c r="D120" s="599"/>
      <c r="E120" s="599"/>
      <c r="F120" s="599">
        <f>B120</f>
        <v>325000000</v>
      </c>
      <c r="G120" s="130"/>
      <c r="H120" s="686"/>
      <c r="I120" s="599"/>
      <c r="J120" s="123"/>
    </row>
    <row r="121" spans="1:10" s="85" customFormat="1" x14ac:dyDescent="0.6">
      <c r="A121" s="85" t="s">
        <v>1380</v>
      </c>
      <c r="B121" s="599">
        <v>156904341</v>
      </c>
      <c r="C121" s="599"/>
      <c r="D121" s="599"/>
      <c r="E121" s="599"/>
      <c r="F121" s="599">
        <f>B121</f>
        <v>156904341</v>
      </c>
      <c r="G121" s="130"/>
      <c r="H121" s="686"/>
      <c r="I121" s="599"/>
      <c r="J121" s="123"/>
    </row>
    <row r="122" spans="1:10" x14ac:dyDescent="0.6">
      <c r="A122" s="85" t="s">
        <v>757</v>
      </c>
      <c r="B122" s="123">
        <v>34726</v>
      </c>
      <c r="C122" s="123"/>
      <c r="D122" s="123"/>
      <c r="E122" s="123"/>
      <c r="F122" s="599">
        <f>B122</f>
        <v>34726</v>
      </c>
      <c r="G122" s="130"/>
      <c r="H122" s="686" t="s">
        <v>769</v>
      </c>
      <c r="I122" s="599"/>
      <c r="J122" s="123"/>
    </row>
    <row r="123" spans="1:10" x14ac:dyDescent="0.6">
      <c r="A123" s="85" t="s">
        <v>316</v>
      </c>
      <c r="B123" s="123">
        <v>6661523</v>
      </c>
      <c r="C123" s="123"/>
      <c r="D123" s="123"/>
      <c r="E123" s="123">
        <f>B123</f>
        <v>6661523</v>
      </c>
      <c r="F123" s="599"/>
      <c r="G123" s="130"/>
      <c r="H123" s="686" t="s">
        <v>769</v>
      </c>
      <c r="I123" s="599"/>
      <c r="J123" s="123"/>
    </row>
    <row r="124" spans="1:10" ht="15.9" thickBot="1" x14ac:dyDescent="0.65">
      <c r="A124" s="99" t="s">
        <v>789</v>
      </c>
      <c r="B124" s="598" t="s">
        <v>804</v>
      </c>
      <c r="C124" s="598"/>
      <c r="D124" s="108"/>
      <c r="E124" s="108"/>
      <c r="F124" s="124"/>
      <c r="G124" s="136"/>
      <c r="H124" s="686" t="s">
        <v>769</v>
      </c>
      <c r="I124" s="599"/>
      <c r="J124" s="123"/>
    </row>
    <row r="125" spans="1:10" ht="15.9" thickTop="1" x14ac:dyDescent="0.6">
      <c r="A125" s="1060" t="s">
        <v>6</v>
      </c>
      <c r="B125" s="723">
        <f>SUM(B126:B126)</f>
        <v>354367</v>
      </c>
      <c r="C125" s="723">
        <f t="shared" ref="C125:G125" si="6">SUM(C126:C126)</f>
        <v>0</v>
      </c>
      <c r="D125" s="723">
        <f t="shared" si="6"/>
        <v>0</v>
      </c>
      <c r="E125" s="723">
        <f t="shared" si="6"/>
        <v>0</v>
      </c>
      <c r="F125" s="723">
        <f t="shared" si="6"/>
        <v>0</v>
      </c>
      <c r="G125" s="724">
        <f t="shared" si="6"/>
        <v>0</v>
      </c>
      <c r="H125" s="686"/>
      <c r="I125" s="599"/>
      <c r="J125" s="123"/>
    </row>
    <row r="126" spans="1:10" ht="15.9" thickBot="1" x14ac:dyDescent="0.65">
      <c r="A126" s="99" t="s">
        <v>1229</v>
      </c>
      <c r="B126" s="124">
        <v>354367</v>
      </c>
      <c r="C126" s="124"/>
      <c r="D126" s="108"/>
      <c r="E126" s="108"/>
      <c r="F126" s="124"/>
      <c r="G126" s="136"/>
      <c r="H126" s="686"/>
      <c r="I126" s="599"/>
      <c r="J126" s="123"/>
    </row>
    <row r="127" spans="1:10" s="192" customFormat="1" ht="15.9" thickTop="1" x14ac:dyDescent="0.6">
      <c r="A127" s="78" t="s">
        <v>7</v>
      </c>
      <c r="B127" s="799">
        <f>SUM(B128:B140)</f>
        <v>328776114</v>
      </c>
      <c r="C127" s="799">
        <f t="shared" ref="C127:F127" si="7">SUM(C128:C140)</f>
        <v>158000000</v>
      </c>
      <c r="D127" s="799">
        <f t="shared" si="7"/>
        <v>0</v>
      </c>
      <c r="E127" s="799">
        <f t="shared" si="7"/>
        <v>0</v>
      </c>
      <c r="F127" s="799">
        <f t="shared" si="7"/>
        <v>170776114</v>
      </c>
      <c r="G127" s="800">
        <f>SUM(G128:G140)</f>
        <v>0</v>
      </c>
      <c r="H127" s="686"/>
      <c r="I127" s="599"/>
      <c r="J127" s="123"/>
    </row>
    <row r="128" spans="1:10" x14ac:dyDescent="0.6">
      <c r="A128" s="85" t="s">
        <v>991</v>
      </c>
      <c r="B128" s="196">
        <v>68521260</v>
      </c>
      <c r="C128" s="196"/>
      <c r="D128" s="196"/>
      <c r="E128" s="196"/>
      <c r="F128" s="1577">
        <f>B128</f>
        <v>68521260</v>
      </c>
      <c r="G128" s="199"/>
      <c r="H128" s="686" t="s">
        <v>769</v>
      </c>
      <c r="I128" s="599"/>
      <c r="J128" s="123"/>
    </row>
    <row r="129" spans="1:10" x14ac:dyDescent="0.6">
      <c r="A129" s="85" t="s">
        <v>992</v>
      </c>
      <c r="B129" s="196">
        <v>43604438</v>
      </c>
      <c r="C129" s="196"/>
      <c r="D129" s="196"/>
      <c r="E129" s="196"/>
      <c r="F129" s="1577">
        <f>B129</f>
        <v>43604438</v>
      </c>
      <c r="G129" s="199"/>
      <c r="H129" s="838" t="s">
        <v>769</v>
      </c>
      <c r="I129" s="1565"/>
      <c r="J129" s="123"/>
    </row>
    <row r="130" spans="1:10" x14ac:dyDescent="0.6">
      <c r="A130" s="85" t="s">
        <v>1231</v>
      </c>
      <c r="B130" s="808" t="s">
        <v>804</v>
      </c>
      <c r="C130" s="196"/>
      <c r="D130" s="196"/>
      <c r="E130" s="196"/>
      <c r="F130" s="1577"/>
      <c r="G130" s="199"/>
      <c r="H130" s="838" t="s">
        <v>769</v>
      </c>
      <c r="I130" s="593"/>
      <c r="J130" s="123"/>
    </row>
    <row r="131" spans="1:10" x14ac:dyDescent="0.6">
      <c r="A131" s="85" t="s">
        <v>1232</v>
      </c>
      <c r="B131" s="808" t="s">
        <v>804</v>
      </c>
      <c r="C131" s="196"/>
      <c r="D131" s="196"/>
      <c r="E131" s="196"/>
      <c r="F131" s="1577"/>
      <c r="G131" s="199"/>
      <c r="H131" s="774"/>
      <c r="I131" s="1569"/>
      <c r="J131" s="123"/>
    </row>
    <row r="132" spans="1:10" x14ac:dyDescent="0.6">
      <c r="A132" s="85" t="s">
        <v>307</v>
      </c>
      <c r="B132" s="196">
        <v>917099</v>
      </c>
      <c r="C132" s="196"/>
      <c r="D132" s="196"/>
      <c r="E132" s="196"/>
      <c r="F132" s="1577">
        <f>B132</f>
        <v>917099</v>
      </c>
      <c r="G132" s="199"/>
      <c r="H132" s="774" t="s">
        <v>769</v>
      </c>
      <c r="I132" s="608"/>
      <c r="J132" s="123"/>
    </row>
    <row r="133" spans="1:10" x14ac:dyDescent="0.6">
      <c r="A133" s="85" t="s">
        <v>1574</v>
      </c>
      <c r="B133" s="808" t="s">
        <v>804</v>
      </c>
      <c r="C133" s="196"/>
      <c r="D133" s="196"/>
      <c r="E133" s="196"/>
      <c r="F133" s="1577"/>
      <c r="G133" s="199"/>
      <c r="H133" s="774" t="s">
        <v>769</v>
      </c>
      <c r="I133" s="608"/>
      <c r="J133" s="123"/>
    </row>
    <row r="134" spans="1:10" x14ac:dyDescent="0.6">
      <c r="A134" s="85" t="s">
        <v>308</v>
      </c>
      <c r="B134" s="808" t="s">
        <v>804</v>
      </c>
      <c r="C134" s="196"/>
      <c r="D134" s="196"/>
      <c r="E134" s="196"/>
      <c r="F134" s="1577"/>
      <c r="G134" s="199"/>
      <c r="H134" s="774" t="s">
        <v>769</v>
      </c>
      <c r="I134" s="608"/>
      <c r="J134" s="145"/>
    </row>
    <row r="135" spans="1:10" x14ac:dyDescent="0.6">
      <c r="A135" s="85" t="s">
        <v>309</v>
      </c>
      <c r="B135" s="808" t="s">
        <v>804</v>
      </c>
      <c r="C135" s="196"/>
      <c r="D135" s="196"/>
      <c r="E135" s="196"/>
      <c r="F135" s="1577"/>
      <c r="G135" s="199"/>
      <c r="H135" s="614" t="s">
        <v>769</v>
      </c>
      <c r="I135" s="1570"/>
      <c r="J135" s="123"/>
    </row>
    <row r="136" spans="1:10" x14ac:dyDescent="0.6">
      <c r="A136" s="85" t="s">
        <v>1575</v>
      </c>
      <c r="B136" s="196">
        <v>158000000</v>
      </c>
      <c r="C136" s="196">
        <f>B136</f>
        <v>158000000</v>
      </c>
      <c r="D136" s="196"/>
      <c r="E136" s="196"/>
      <c r="F136" s="1577"/>
      <c r="G136" s="199"/>
      <c r="H136" s="614" t="s">
        <v>769</v>
      </c>
      <c r="I136" s="611"/>
      <c r="J136" s="145"/>
    </row>
    <row r="137" spans="1:10" x14ac:dyDescent="0.6">
      <c r="A137" s="85" t="s">
        <v>1107</v>
      </c>
      <c r="B137" s="808" t="s">
        <v>804</v>
      </c>
      <c r="C137" s="196"/>
      <c r="D137" s="196"/>
      <c r="E137" s="196"/>
      <c r="F137" s="1577"/>
      <c r="G137" s="199"/>
      <c r="H137" s="1326" t="s">
        <v>769</v>
      </c>
      <c r="I137" s="1571"/>
      <c r="J137" s="123"/>
    </row>
    <row r="138" spans="1:10" x14ac:dyDescent="0.6">
      <c r="A138" s="85" t="s">
        <v>999</v>
      </c>
      <c r="B138" s="196">
        <v>5962096</v>
      </c>
      <c r="C138" s="196"/>
      <c r="D138" s="196"/>
      <c r="E138" s="196"/>
      <c r="F138" s="1577">
        <f>B138</f>
        <v>5962096</v>
      </c>
      <c r="G138" s="199"/>
      <c r="H138" s="1326" t="s">
        <v>769</v>
      </c>
      <c r="I138" s="615"/>
      <c r="J138" s="123"/>
    </row>
    <row r="139" spans="1:10" x14ac:dyDescent="0.6">
      <c r="A139" s="85" t="s">
        <v>311</v>
      </c>
      <c r="B139" s="196">
        <v>50101217</v>
      </c>
      <c r="C139" s="196"/>
      <c r="D139" s="196"/>
      <c r="E139" s="196"/>
      <c r="F139" s="1577">
        <f>B139</f>
        <v>50101217</v>
      </c>
      <c r="G139" s="199"/>
      <c r="H139" s="1326" t="s">
        <v>769</v>
      </c>
      <c r="I139" s="615"/>
      <c r="J139" s="123"/>
    </row>
    <row r="140" spans="1:10" ht="15.9" thickBot="1" x14ac:dyDescent="0.65">
      <c r="A140" s="99" t="s">
        <v>1229</v>
      </c>
      <c r="B140" s="195">
        <v>1670004</v>
      </c>
      <c r="C140" s="195"/>
      <c r="D140" s="198"/>
      <c r="E140" s="198"/>
      <c r="F140" s="198">
        <f>B140</f>
        <v>1670004</v>
      </c>
      <c r="G140" s="200"/>
      <c r="H140" s="686"/>
      <c r="I140" s="595"/>
      <c r="J140" s="123"/>
    </row>
    <row r="141" spans="1:10" ht="15.9" thickTop="1" x14ac:dyDescent="0.6">
      <c r="A141" s="1060" t="s">
        <v>8</v>
      </c>
      <c r="B141" s="723">
        <f>SUM(B142:B147)</f>
        <v>50956217</v>
      </c>
      <c r="C141" s="723">
        <f t="shared" ref="C141:G141" si="8">SUM(C142:C147)</f>
        <v>0</v>
      </c>
      <c r="D141" s="723">
        <f t="shared" si="8"/>
        <v>50956217</v>
      </c>
      <c r="E141" s="723">
        <f t="shared" si="8"/>
        <v>0</v>
      </c>
      <c r="F141" s="723">
        <f t="shared" si="8"/>
        <v>0</v>
      </c>
      <c r="G141" s="724">
        <f t="shared" si="8"/>
        <v>0</v>
      </c>
      <c r="H141" s="686"/>
      <c r="I141" s="599"/>
      <c r="J141" s="123"/>
    </row>
    <row r="142" spans="1:10" s="85" customFormat="1" x14ac:dyDescent="0.6">
      <c r="A142" s="599" t="s">
        <v>1189</v>
      </c>
      <c r="B142" s="599">
        <v>50956217</v>
      </c>
      <c r="C142" s="599"/>
      <c r="D142" s="599">
        <f>B142</f>
        <v>50956217</v>
      </c>
      <c r="E142" s="599"/>
      <c r="F142" s="599"/>
      <c r="G142" s="130"/>
      <c r="H142" s="686"/>
      <c r="I142" s="599"/>
      <c r="J142" s="123"/>
    </row>
    <row r="143" spans="1:10" s="85" customFormat="1" x14ac:dyDescent="0.6">
      <c r="A143" s="599" t="s">
        <v>1229</v>
      </c>
      <c r="B143" s="686" t="s">
        <v>804</v>
      </c>
      <c r="C143" s="599"/>
      <c r="D143" s="599"/>
      <c r="E143" s="599"/>
      <c r="F143" s="599"/>
      <c r="G143" s="130"/>
      <c r="H143" s="60"/>
      <c r="J143" s="1"/>
    </row>
    <row r="144" spans="1:10" s="85" customFormat="1" x14ac:dyDescent="0.6">
      <c r="A144" s="599" t="s">
        <v>1576</v>
      </c>
      <c r="B144" s="686" t="s">
        <v>804</v>
      </c>
      <c r="C144" s="599"/>
      <c r="D144" s="599"/>
      <c r="E144" s="599"/>
      <c r="F144" s="599"/>
      <c r="G144" s="130"/>
      <c r="H144" s="114" t="s">
        <v>769</v>
      </c>
      <c r="I144" s="70"/>
      <c r="J144" s="1"/>
    </row>
    <row r="145" spans="1:10" s="85" customFormat="1" x14ac:dyDescent="0.6">
      <c r="A145" s="599" t="s">
        <v>1577</v>
      </c>
      <c r="B145" s="686" t="s">
        <v>804</v>
      </c>
      <c r="C145" s="599"/>
      <c r="D145" s="599"/>
      <c r="E145" s="599"/>
      <c r="F145" s="599"/>
      <c r="G145" s="130"/>
      <c r="H145" s="114"/>
      <c r="I145" s="70"/>
      <c r="J145" s="1"/>
    </row>
    <row r="146" spans="1:10" s="85" customFormat="1" x14ac:dyDescent="0.6">
      <c r="A146" s="599" t="s">
        <v>246</v>
      </c>
      <c r="B146" s="686" t="s">
        <v>804</v>
      </c>
      <c r="C146" s="686"/>
      <c r="D146" s="599"/>
      <c r="E146" s="599"/>
      <c r="F146" s="599"/>
      <c r="G146" s="130"/>
      <c r="H146" s="114"/>
      <c r="I146" s="70"/>
      <c r="J146" s="1"/>
    </row>
    <row r="147" spans="1:10" s="85" customFormat="1" ht="15.9" thickBot="1" x14ac:dyDescent="0.65">
      <c r="A147" s="99" t="s">
        <v>735</v>
      </c>
      <c r="B147" s="598" t="s">
        <v>804</v>
      </c>
      <c r="C147" s="598"/>
      <c r="D147" s="108"/>
      <c r="E147" s="108"/>
      <c r="F147" s="124"/>
      <c r="G147" s="131"/>
      <c r="H147" s="60" t="s">
        <v>769</v>
      </c>
      <c r="I147" s="1"/>
      <c r="J147" s="1"/>
    </row>
    <row r="148" spans="1:10" ht="15.9" thickTop="1" x14ac:dyDescent="0.6">
      <c r="A148" s="78" t="s">
        <v>9</v>
      </c>
      <c r="B148" s="723">
        <f>SUM(B149:B158)</f>
        <v>1153995315</v>
      </c>
      <c r="C148" s="723">
        <f t="shared" ref="C148:G148" si="9">SUM(C149:C158)</f>
        <v>976141</v>
      </c>
      <c r="D148" s="723">
        <f t="shared" si="9"/>
        <v>0</v>
      </c>
      <c r="E148" s="723">
        <f t="shared" si="9"/>
        <v>0</v>
      </c>
      <c r="F148" s="723">
        <f t="shared" si="9"/>
        <v>1153019174</v>
      </c>
      <c r="G148" s="724">
        <f t="shared" si="9"/>
        <v>0</v>
      </c>
      <c r="H148" s="60"/>
      <c r="I148" s="1"/>
    </row>
    <row r="149" spans="1:10" s="85" customFormat="1" x14ac:dyDescent="0.6">
      <c r="A149" s="85" t="s">
        <v>790</v>
      </c>
      <c r="B149" s="599">
        <v>60100000</v>
      </c>
      <c r="C149" s="599"/>
      <c r="D149" s="599"/>
      <c r="E149" s="599"/>
      <c r="F149" s="599">
        <f>B149</f>
        <v>60100000</v>
      </c>
      <c r="G149" s="130"/>
      <c r="H149" s="60"/>
      <c r="I149" s="1"/>
      <c r="J149" s="1"/>
    </row>
    <row r="150" spans="1:10" s="85" customFormat="1" x14ac:dyDescent="0.6">
      <c r="A150" s="85" t="s">
        <v>791</v>
      </c>
      <c r="B150" s="599">
        <v>260000</v>
      </c>
      <c r="C150" s="599"/>
      <c r="D150" s="599"/>
      <c r="E150" s="599"/>
      <c r="F150" s="599">
        <f t="shared" ref="F150:F151" si="10">B150</f>
        <v>260000</v>
      </c>
      <c r="G150" s="130"/>
      <c r="H150" s="60"/>
      <c r="I150" s="1"/>
      <c r="J150" s="1"/>
    </row>
    <row r="151" spans="1:10" s="85" customFormat="1" x14ac:dyDescent="0.6">
      <c r="A151" s="85" t="s">
        <v>1578</v>
      </c>
      <c r="B151" s="599">
        <v>72116879</v>
      </c>
      <c r="C151" s="599"/>
      <c r="D151" s="599"/>
      <c r="E151" s="599"/>
      <c r="F151" s="599">
        <f t="shared" si="10"/>
        <v>72116879</v>
      </c>
      <c r="G151" s="130"/>
      <c r="H151" s="60"/>
      <c r="I151" s="1"/>
      <c r="J151" s="1"/>
    </row>
    <row r="152" spans="1:10" s="85" customFormat="1" x14ac:dyDescent="0.6">
      <c r="A152" s="85" t="s">
        <v>913</v>
      </c>
      <c r="B152" s="599">
        <v>976141</v>
      </c>
      <c r="C152" s="599">
        <f>B152</f>
        <v>976141</v>
      </c>
      <c r="D152" s="599"/>
      <c r="E152" s="599"/>
      <c r="F152" s="599"/>
      <c r="G152" s="130"/>
      <c r="H152" s="60"/>
      <c r="I152" s="1"/>
      <c r="J152" s="1"/>
    </row>
    <row r="153" spans="1:10" s="85" customFormat="1" x14ac:dyDescent="0.6">
      <c r="A153" s="85" t="s">
        <v>1009</v>
      </c>
      <c r="B153" s="599">
        <v>215500000</v>
      </c>
      <c r="C153" s="599"/>
      <c r="D153" s="599"/>
      <c r="E153" s="599"/>
      <c r="F153" s="599">
        <f>B153</f>
        <v>215500000</v>
      </c>
      <c r="G153" s="130"/>
      <c r="H153" s="60"/>
      <c r="I153" s="1"/>
      <c r="J153" s="1"/>
    </row>
    <row r="154" spans="1:10" s="85" customFormat="1" x14ac:dyDescent="0.6">
      <c r="A154" s="85" t="s">
        <v>1109</v>
      </c>
      <c r="B154" s="686" t="s">
        <v>804</v>
      </c>
      <c r="C154" s="599"/>
      <c r="D154" s="599"/>
      <c r="E154" s="599"/>
      <c r="F154" s="599"/>
      <c r="G154" s="130"/>
      <c r="H154" s="60" t="s">
        <v>769</v>
      </c>
      <c r="I154" s="1"/>
      <c r="J154" s="1"/>
    </row>
    <row r="155" spans="1:10" s="85" customFormat="1" x14ac:dyDescent="0.6">
      <c r="A155" s="85" t="s">
        <v>1110</v>
      </c>
      <c r="B155" s="686" t="s">
        <v>804</v>
      </c>
      <c r="C155" s="599"/>
      <c r="D155" s="599"/>
      <c r="E155" s="599"/>
      <c r="F155" s="599"/>
      <c r="G155" s="130"/>
      <c r="H155" s="60" t="s">
        <v>769</v>
      </c>
      <c r="I155" s="1"/>
      <c r="J155" s="1"/>
    </row>
    <row r="156" spans="1:10" s="85" customFormat="1" x14ac:dyDescent="0.6">
      <c r="A156" s="85" t="s">
        <v>1229</v>
      </c>
      <c r="B156" s="686" t="s">
        <v>804</v>
      </c>
      <c r="C156" s="599"/>
      <c r="D156" s="599"/>
      <c r="E156" s="599"/>
      <c r="F156" s="599"/>
      <c r="G156" s="130"/>
      <c r="H156" s="60"/>
      <c r="I156" s="1"/>
      <c r="J156" s="1"/>
    </row>
    <row r="157" spans="1:10" s="85" customFormat="1" x14ac:dyDescent="0.6">
      <c r="A157" s="85" t="s">
        <v>1012</v>
      </c>
      <c r="B157" s="599">
        <v>400176222</v>
      </c>
      <c r="C157" s="599"/>
      <c r="D157" s="599"/>
      <c r="E157" s="599"/>
      <c r="F157" s="599">
        <f t="shared" ref="F157:F158" si="11">B157</f>
        <v>400176222</v>
      </c>
      <c r="G157" s="130"/>
      <c r="H157" s="60"/>
      <c r="I157" s="1"/>
      <c r="J157" s="1"/>
    </row>
    <row r="158" spans="1:10" s="85" customFormat="1" ht="15.9" thickBot="1" x14ac:dyDescent="0.65">
      <c r="A158" s="99" t="s">
        <v>1013</v>
      </c>
      <c r="B158" s="1079">
        <v>404866073</v>
      </c>
      <c r="C158" s="598"/>
      <c r="D158" s="108"/>
      <c r="E158" s="108"/>
      <c r="F158" s="124">
        <f t="shared" si="11"/>
        <v>404866073</v>
      </c>
      <c r="G158" s="131"/>
      <c r="H158" s="60"/>
      <c r="I158" s="1"/>
      <c r="J158" s="1"/>
    </row>
    <row r="159" spans="1:10" ht="15.9" thickTop="1" x14ac:dyDescent="0.6">
      <c r="A159" s="78" t="s">
        <v>10</v>
      </c>
      <c r="B159" s="1596" t="s">
        <v>625</v>
      </c>
      <c r="C159" s="723">
        <f t="shared" ref="C159:G159" si="12">SUM(C160:C161)</f>
        <v>0</v>
      </c>
      <c r="D159" s="723">
        <f t="shared" si="12"/>
        <v>0</v>
      </c>
      <c r="E159" s="723">
        <f t="shared" si="12"/>
        <v>0</v>
      </c>
      <c r="F159" s="723">
        <f t="shared" si="12"/>
        <v>0</v>
      </c>
      <c r="G159" s="724">
        <f t="shared" si="12"/>
        <v>0</v>
      </c>
      <c r="H159" s="60"/>
      <c r="I159" s="1"/>
    </row>
    <row r="160" spans="1:10" s="85" customFormat="1" x14ac:dyDescent="0.6">
      <c r="A160" s="85" t="s">
        <v>1579</v>
      </c>
      <c r="B160" s="686" t="s">
        <v>804</v>
      </c>
      <c r="C160" s="599"/>
      <c r="D160" s="599"/>
      <c r="E160" s="599"/>
      <c r="F160" s="599"/>
      <c r="G160" s="130"/>
      <c r="H160" s="60" t="s">
        <v>769</v>
      </c>
      <c r="I160" s="1"/>
      <c r="J160" s="1"/>
    </row>
    <row r="161" spans="1:10" ht="15.9" thickBot="1" x14ac:dyDescent="0.65">
      <c r="A161" s="99" t="s">
        <v>1405</v>
      </c>
      <c r="B161" s="598" t="s">
        <v>804</v>
      </c>
      <c r="C161" s="124"/>
      <c r="D161" s="124"/>
      <c r="E161" s="124"/>
      <c r="F161" s="124"/>
      <c r="G161" s="131"/>
      <c r="H161" s="60" t="s">
        <v>769</v>
      </c>
      <c r="I161" s="1"/>
    </row>
    <row r="162" spans="1:10" s="192" customFormat="1" ht="15.9" thickTop="1" x14ac:dyDescent="0.6">
      <c r="A162" s="1060" t="s">
        <v>11</v>
      </c>
      <c r="B162" s="749">
        <f>SUM(B163:B167)</f>
        <v>79514371863</v>
      </c>
      <c r="C162" s="749"/>
      <c r="D162" s="749">
        <f>SUM(D163:D167)</f>
        <v>79408700000</v>
      </c>
      <c r="E162" s="749"/>
      <c r="F162" s="749">
        <f>SUM(F163:F167)</f>
        <v>105671863</v>
      </c>
      <c r="G162" s="750">
        <f>SUM(G163:G167)</f>
        <v>0</v>
      </c>
      <c r="H162" s="60"/>
      <c r="I162" s="1"/>
      <c r="J162" s="1"/>
    </row>
    <row r="163" spans="1:10" s="85" customFormat="1" x14ac:dyDescent="0.6">
      <c r="A163" s="599" t="s">
        <v>792</v>
      </c>
      <c r="B163" s="632">
        <v>31284200000</v>
      </c>
      <c r="C163" s="632"/>
      <c r="D163" s="632">
        <f>B163</f>
        <v>31284200000</v>
      </c>
      <c r="E163" s="632"/>
      <c r="F163" s="661"/>
      <c r="G163" s="633"/>
      <c r="H163" s="60" t="s">
        <v>769</v>
      </c>
      <c r="I163" s="1"/>
      <c r="J163" s="1"/>
    </row>
    <row r="164" spans="1:10" s="85" customFormat="1" x14ac:dyDescent="0.6">
      <c r="A164" s="599" t="s">
        <v>1208</v>
      </c>
      <c r="B164" s="632">
        <v>48124500000</v>
      </c>
      <c r="C164" s="632"/>
      <c r="D164" s="632">
        <f>B164</f>
        <v>48124500000</v>
      </c>
      <c r="E164" s="632"/>
      <c r="F164" s="661"/>
      <c r="G164" s="633"/>
      <c r="H164" s="60"/>
      <c r="I164" s="1"/>
      <c r="J164" s="1"/>
    </row>
    <row r="165" spans="1:10" s="85" customFormat="1" x14ac:dyDescent="0.6">
      <c r="A165" s="599" t="s">
        <v>1207</v>
      </c>
      <c r="B165" s="1464" t="s">
        <v>804</v>
      </c>
      <c r="C165" s="632"/>
      <c r="D165" s="632"/>
      <c r="E165" s="632"/>
      <c r="F165" s="661"/>
      <c r="G165" s="633"/>
      <c r="H165" s="60"/>
      <c r="I165" s="1"/>
      <c r="J165" s="1"/>
    </row>
    <row r="166" spans="1:10" s="85" customFormat="1" x14ac:dyDescent="0.6">
      <c r="A166" s="599" t="s">
        <v>1229</v>
      </c>
      <c r="B166" s="632">
        <v>105671863</v>
      </c>
      <c r="C166" s="632"/>
      <c r="D166" s="632"/>
      <c r="E166" s="632"/>
      <c r="F166" s="661">
        <f>B166</f>
        <v>105671863</v>
      </c>
      <c r="G166" s="633"/>
      <c r="H166" s="60"/>
      <c r="I166" s="1"/>
      <c r="J166" s="1"/>
    </row>
    <row r="167" spans="1:10" s="85" customFormat="1" ht="15.9" thickBot="1" x14ac:dyDescent="0.65">
      <c r="A167" s="124" t="s">
        <v>793</v>
      </c>
      <c r="B167" s="1309" t="s">
        <v>804</v>
      </c>
      <c r="C167" s="634"/>
      <c r="D167" s="634"/>
      <c r="E167" s="634"/>
      <c r="F167" s="634"/>
      <c r="G167" s="635"/>
      <c r="H167" s="60"/>
      <c r="I167" s="1"/>
      <c r="J167" s="1"/>
    </row>
    <row r="168" spans="1:10" s="192" customFormat="1" ht="15.9" thickTop="1" x14ac:dyDescent="0.6">
      <c r="A168" s="78" t="s">
        <v>12</v>
      </c>
      <c r="B168" s="799">
        <f>SUM(B169:B173)</f>
        <v>125877046</v>
      </c>
      <c r="C168" s="799">
        <f t="shared" ref="C168" si="13">SUM(C169:C173)</f>
        <v>0</v>
      </c>
      <c r="D168" s="799">
        <f t="shared" ref="D168" si="14">SUM(D169:D173)</f>
        <v>0</v>
      </c>
      <c r="E168" s="799">
        <f t="shared" ref="E168" si="15">SUM(E169:E173)</f>
        <v>19877046</v>
      </c>
      <c r="F168" s="799">
        <f t="shared" ref="F168" si="16">SUM(F169:F173)</f>
        <v>106000000</v>
      </c>
      <c r="G168" s="800">
        <f>SUM(G169:G173)</f>
        <v>0</v>
      </c>
      <c r="H168" s="60"/>
      <c r="I168" s="1"/>
      <c r="J168" s="1"/>
    </row>
    <row r="169" spans="1:10" s="85" customFormat="1" x14ac:dyDescent="0.6">
      <c r="A169" s="85" t="s">
        <v>332</v>
      </c>
      <c r="B169" s="202">
        <v>106000000</v>
      </c>
      <c r="C169" s="202"/>
      <c r="D169" s="202"/>
      <c r="E169" s="202"/>
      <c r="F169" s="202">
        <f>B169</f>
        <v>106000000</v>
      </c>
      <c r="G169" s="203"/>
      <c r="H169" s="60" t="s">
        <v>769</v>
      </c>
      <c r="I169" s="1"/>
      <c r="J169" s="1"/>
    </row>
    <row r="170" spans="1:10" s="85" customFormat="1" x14ac:dyDescent="0.6">
      <c r="A170" s="85" t="s">
        <v>333</v>
      </c>
      <c r="B170" s="202">
        <v>5351512</v>
      </c>
      <c r="C170" s="202"/>
      <c r="D170" s="202"/>
      <c r="E170" s="196">
        <f>B170</f>
        <v>5351512</v>
      </c>
      <c r="F170" s="202"/>
      <c r="G170" s="203"/>
      <c r="H170" s="60" t="s">
        <v>769</v>
      </c>
      <c r="I170" s="1"/>
      <c r="J170" s="1"/>
    </row>
    <row r="171" spans="1:10" x14ac:dyDescent="0.6">
      <c r="A171" s="85" t="s">
        <v>334</v>
      </c>
      <c r="B171" s="196">
        <v>14525534</v>
      </c>
      <c r="C171" s="196"/>
      <c r="D171" s="196"/>
      <c r="E171" s="196">
        <f>B171</f>
        <v>14525534</v>
      </c>
      <c r="F171" s="1577"/>
      <c r="G171" s="199"/>
      <c r="H171" s="60" t="s">
        <v>769</v>
      </c>
      <c r="I171" s="1"/>
    </row>
    <row r="172" spans="1:10" x14ac:dyDescent="0.6">
      <c r="A172" s="85" t="s">
        <v>520</v>
      </c>
      <c r="B172" s="201" t="s">
        <v>804</v>
      </c>
      <c r="C172" s="201"/>
      <c r="D172" s="196"/>
      <c r="E172" s="196"/>
      <c r="F172" s="1577"/>
      <c r="G172" s="199"/>
      <c r="H172" s="60"/>
      <c r="I172" s="1"/>
    </row>
    <row r="173" spans="1:10" ht="15.9" thickBot="1" x14ac:dyDescent="0.65">
      <c r="A173" s="99" t="s">
        <v>521</v>
      </c>
      <c r="B173" s="197" t="s">
        <v>804</v>
      </c>
      <c r="C173" s="197"/>
      <c r="D173" s="198"/>
      <c r="E173" s="198"/>
      <c r="F173" s="198"/>
      <c r="G173" s="200"/>
      <c r="H173" s="60"/>
      <c r="I173" s="1"/>
    </row>
    <row r="174" spans="1:10" s="192" customFormat="1" ht="15.9" thickTop="1" x14ac:dyDescent="0.6">
      <c r="A174" s="1060" t="s">
        <v>13</v>
      </c>
      <c r="B174" s="723">
        <f>SUM(B175:B176)</f>
        <v>249269498</v>
      </c>
      <c r="C174" s="723"/>
      <c r="D174" s="723">
        <f>SUM(D175:D176)</f>
        <v>0</v>
      </c>
      <c r="E174" s="723"/>
      <c r="F174" s="723">
        <f>SUM(F175:F176)</f>
        <v>249269498</v>
      </c>
      <c r="G174" s="724">
        <f>SUM(G175:G176)</f>
        <v>0</v>
      </c>
      <c r="H174" s="60"/>
      <c r="I174" s="1"/>
      <c r="J174" s="1"/>
    </row>
    <row r="175" spans="1:10" s="85" customFormat="1" x14ac:dyDescent="0.6">
      <c r="A175" s="599" t="s">
        <v>721</v>
      </c>
      <c r="B175" s="599">
        <v>199269498</v>
      </c>
      <c r="C175" s="599"/>
      <c r="D175" s="599"/>
      <c r="E175" s="599"/>
      <c r="F175" s="599">
        <f>B175</f>
        <v>199269498</v>
      </c>
      <c r="G175" s="130"/>
      <c r="H175" s="60"/>
      <c r="I175" s="1"/>
      <c r="J175" s="1"/>
    </row>
    <row r="176" spans="1:10" s="85" customFormat="1" ht="15.9" thickBot="1" x14ac:dyDescent="0.65">
      <c r="A176" s="99" t="s">
        <v>794</v>
      </c>
      <c r="B176" s="124">
        <v>50000000</v>
      </c>
      <c r="C176" s="124"/>
      <c r="D176" s="108"/>
      <c r="E176" s="108"/>
      <c r="F176" s="124">
        <f>B176</f>
        <v>50000000</v>
      </c>
      <c r="G176" s="136"/>
      <c r="H176" s="60" t="s">
        <v>769</v>
      </c>
      <c r="I176" s="1"/>
      <c r="J176" s="1"/>
    </row>
    <row r="177" spans="1:10" ht="15.9" thickTop="1" x14ac:dyDescent="0.6">
      <c r="A177" s="1060" t="s">
        <v>14</v>
      </c>
      <c r="B177" s="777">
        <f>SUM(B178:B181)</f>
        <v>75441984</v>
      </c>
      <c r="C177" s="777"/>
      <c r="D177" s="777">
        <f>SUM(D178:D181)</f>
        <v>0</v>
      </c>
      <c r="E177" s="777"/>
      <c r="F177" s="777">
        <f>SUM(F178:F181)</f>
        <v>75441984</v>
      </c>
      <c r="G177" s="778">
        <f>SUM(G178:G181)</f>
        <v>0</v>
      </c>
      <c r="H177" s="60"/>
      <c r="I177" s="1"/>
    </row>
    <row r="178" spans="1:10" s="85" customFormat="1" x14ac:dyDescent="0.6">
      <c r="A178" s="599" t="s">
        <v>795</v>
      </c>
      <c r="B178" s="823" t="s">
        <v>804</v>
      </c>
      <c r="C178" s="823"/>
      <c r="D178" s="779"/>
      <c r="E178" s="779"/>
      <c r="F178" s="779"/>
      <c r="G178" s="780"/>
      <c r="H178" s="60"/>
      <c r="I178" s="1"/>
      <c r="J178" s="1"/>
    </row>
    <row r="179" spans="1:10" s="85" customFormat="1" x14ac:dyDescent="0.6">
      <c r="A179" s="599" t="s">
        <v>823</v>
      </c>
      <c r="B179" s="1465">
        <v>25041984</v>
      </c>
      <c r="C179" s="823"/>
      <c r="D179" s="779"/>
      <c r="E179" s="779"/>
      <c r="F179" s="779">
        <f>B179</f>
        <v>25041984</v>
      </c>
      <c r="G179" s="780"/>
      <c r="H179" s="60"/>
      <c r="I179" s="1"/>
      <c r="J179" s="1"/>
    </row>
    <row r="180" spans="1:10" s="85" customFormat="1" x14ac:dyDescent="0.6">
      <c r="A180" s="599" t="s">
        <v>1580</v>
      </c>
      <c r="B180" s="1465">
        <v>50400000</v>
      </c>
      <c r="C180" s="823"/>
      <c r="D180" s="779"/>
      <c r="E180" s="779"/>
      <c r="F180" s="779">
        <f>B180</f>
        <v>50400000</v>
      </c>
      <c r="G180" s="780"/>
      <c r="H180" s="60"/>
      <c r="I180" s="1"/>
      <c r="J180" s="1"/>
    </row>
    <row r="181" spans="1:10" ht="15.9" thickBot="1" x14ac:dyDescent="0.65">
      <c r="A181" s="99" t="s">
        <v>796</v>
      </c>
      <c r="B181" s="824" t="s">
        <v>804</v>
      </c>
      <c r="C181" s="824"/>
      <c r="D181" s="781"/>
      <c r="E181" s="781"/>
      <c r="F181" s="781"/>
      <c r="G181" s="782"/>
      <c r="H181" s="60"/>
      <c r="I181" s="1"/>
    </row>
    <row r="182" spans="1:10" s="192" customFormat="1" ht="15.9" thickTop="1" x14ac:dyDescent="0.6">
      <c r="A182" s="78" t="s">
        <v>15</v>
      </c>
      <c r="B182" s="1596" t="s">
        <v>625</v>
      </c>
      <c r="C182" s="769"/>
      <c r="D182" s="723">
        <f>SUM(D183:D183)</f>
        <v>0</v>
      </c>
      <c r="E182" s="723"/>
      <c r="F182" s="723">
        <f>SUM(F183:F183)</f>
        <v>0</v>
      </c>
      <c r="G182" s="724">
        <f>SUM(G183:G183)</f>
        <v>0</v>
      </c>
      <c r="H182" s="60"/>
      <c r="I182" s="1"/>
      <c r="J182" s="1"/>
    </row>
    <row r="183" spans="1:10" s="85" customFormat="1" ht="15.9" thickBot="1" x14ac:dyDescent="0.65">
      <c r="A183" s="99" t="s">
        <v>1581</v>
      </c>
      <c r="B183" s="598" t="s">
        <v>804</v>
      </c>
      <c r="C183" s="598"/>
      <c r="D183" s="108"/>
      <c r="E183" s="108"/>
      <c r="F183" s="124"/>
      <c r="G183" s="136"/>
      <c r="H183" s="60" t="s">
        <v>769</v>
      </c>
      <c r="I183" s="1"/>
      <c r="J183" s="1"/>
    </row>
    <row r="184" spans="1:10" s="192" customFormat="1" ht="15.9" thickTop="1" x14ac:dyDescent="0.6">
      <c r="A184" s="78" t="s">
        <v>16</v>
      </c>
      <c r="B184" s="723">
        <f>SUM(B185:B187)</f>
        <v>42311841</v>
      </c>
      <c r="C184" s="723"/>
      <c r="D184" s="723">
        <f>SUM(D185:D187)</f>
        <v>0</v>
      </c>
      <c r="E184" s="723"/>
      <c r="F184" s="723">
        <f>SUM(F185:F187)</f>
        <v>42311841</v>
      </c>
      <c r="G184" s="724">
        <f>SUM(G185:G187)</f>
        <v>0</v>
      </c>
      <c r="H184" s="60"/>
      <c r="I184" s="1"/>
      <c r="J184" s="1"/>
    </row>
    <row r="185" spans="1:10" s="85" customFormat="1" x14ac:dyDescent="0.6">
      <c r="A185" s="85" t="s">
        <v>342</v>
      </c>
      <c r="B185" s="599">
        <v>7301194</v>
      </c>
      <c r="C185" s="599"/>
      <c r="D185" s="599"/>
      <c r="E185" s="599"/>
      <c r="F185" s="599">
        <f>B185</f>
        <v>7301194</v>
      </c>
      <c r="G185" s="130"/>
      <c r="H185" s="60" t="s">
        <v>769</v>
      </c>
      <c r="I185" s="1"/>
      <c r="J185" s="1"/>
    </row>
    <row r="186" spans="1:10" s="85" customFormat="1" x14ac:dyDescent="0.6">
      <c r="A186" s="85" t="s">
        <v>1582</v>
      </c>
      <c r="B186" s="686" t="s">
        <v>804</v>
      </c>
      <c r="C186" s="599"/>
      <c r="D186" s="599"/>
      <c r="E186" s="599"/>
      <c r="F186" s="599"/>
      <c r="G186" s="130"/>
      <c r="H186" s="60" t="s">
        <v>769</v>
      </c>
      <c r="I186" s="1"/>
      <c r="J186" s="1"/>
    </row>
    <row r="187" spans="1:10" s="85" customFormat="1" ht="15.9" thickBot="1" x14ac:dyDescent="0.65">
      <c r="A187" s="99" t="s">
        <v>797</v>
      </c>
      <c r="B187" s="124">
        <v>35010647</v>
      </c>
      <c r="C187" s="124"/>
      <c r="D187" s="108"/>
      <c r="E187" s="108"/>
      <c r="F187" s="124">
        <f>B187</f>
        <v>35010647</v>
      </c>
      <c r="G187" s="136"/>
      <c r="H187" s="60"/>
      <c r="I187" s="1"/>
      <c r="J187" s="1"/>
    </row>
    <row r="188" spans="1:10" ht="15.9" thickTop="1" x14ac:dyDescent="0.6">
      <c r="A188" s="1060" t="s">
        <v>17</v>
      </c>
      <c r="B188" s="723">
        <f>SUM(B189:B189)</f>
        <v>46662401</v>
      </c>
      <c r="C188" s="723">
        <f t="shared" ref="C188:E188" si="17">SUM(C189:C189)</f>
        <v>11665600.25</v>
      </c>
      <c r="D188" s="723">
        <f t="shared" si="17"/>
        <v>11665600.25</v>
      </c>
      <c r="E188" s="723">
        <f t="shared" si="17"/>
        <v>11665600.25</v>
      </c>
      <c r="F188" s="723">
        <f>SUM(F189:F189)</f>
        <v>11665600.25</v>
      </c>
      <c r="G188" s="724">
        <f>SUM(G189:G189)</f>
        <v>0</v>
      </c>
      <c r="H188" s="60"/>
      <c r="I188" s="1"/>
    </row>
    <row r="189" spans="1:10" ht="15.9" thickBot="1" x14ac:dyDescent="0.65">
      <c r="A189" s="99" t="s">
        <v>798</v>
      </c>
      <c r="B189" s="124">
        <v>46662401</v>
      </c>
      <c r="C189" s="124">
        <f>B189/4</f>
        <v>11665600.25</v>
      </c>
      <c r="D189" s="108">
        <f>C189</f>
        <v>11665600.25</v>
      </c>
      <c r="E189" s="108">
        <f t="shared" ref="E189:F189" si="18">D189</f>
        <v>11665600.25</v>
      </c>
      <c r="F189" s="108">
        <f t="shared" si="18"/>
        <v>11665600.25</v>
      </c>
      <c r="G189" s="136"/>
      <c r="H189" s="60" t="s">
        <v>769</v>
      </c>
      <c r="I189" s="1"/>
    </row>
    <row r="190" spans="1:10" s="192" customFormat="1" ht="16.2" thickTop="1" thickBot="1" x14ac:dyDescent="0.65">
      <c r="A190" s="78" t="s">
        <v>18</v>
      </c>
      <c r="B190" s="775">
        <f>SUM(B191:B194)</f>
        <v>185094486</v>
      </c>
      <c r="C190" s="775">
        <f t="shared" ref="C190:G190" si="19">SUM(C191:C194)</f>
        <v>1000000</v>
      </c>
      <c r="D190" s="775">
        <f t="shared" si="19"/>
        <v>0</v>
      </c>
      <c r="E190" s="775">
        <f t="shared" si="19"/>
        <v>0</v>
      </c>
      <c r="F190" s="775">
        <f t="shared" si="19"/>
        <v>184094486</v>
      </c>
      <c r="G190" s="1574">
        <f t="shared" si="19"/>
        <v>0</v>
      </c>
      <c r="H190" s="60"/>
      <c r="I190" s="1"/>
      <c r="J190" s="1"/>
    </row>
    <row r="191" spans="1:10" ht="15.9" thickTop="1" x14ac:dyDescent="0.6">
      <c r="A191" s="85" t="s">
        <v>522</v>
      </c>
      <c r="B191" s="1466">
        <v>1000000</v>
      </c>
      <c r="C191" s="1466">
        <f>B191</f>
        <v>1000000</v>
      </c>
      <c r="D191" s="196"/>
      <c r="E191" s="196"/>
      <c r="F191" s="1577"/>
      <c r="G191" s="199"/>
      <c r="H191" s="60" t="s">
        <v>769</v>
      </c>
      <c r="I191" s="1"/>
    </row>
    <row r="192" spans="1:10" x14ac:dyDescent="0.6">
      <c r="A192" s="85" t="s">
        <v>298</v>
      </c>
      <c r="B192" s="201" t="s">
        <v>804</v>
      </c>
      <c r="C192" s="196"/>
      <c r="D192" s="196"/>
      <c r="E192" s="196"/>
      <c r="F192" s="1577"/>
      <c r="G192" s="199"/>
      <c r="H192" s="60" t="s">
        <v>769</v>
      </c>
      <c r="I192" s="1"/>
    </row>
    <row r="193" spans="1:10" x14ac:dyDescent="0.6">
      <c r="A193" s="85" t="s">
        <v>299</v>
      </c>
      <c r="B193" s="196">
        <v>147179487</v>
      </c>
      <c r="C193" s="196"/>
      <c r="D193" s="196"/>
      <c r="E193" s="196"/>
      <c r="F193" s="1577">
        <f>B193</f>
        <v>147179487</v>
      </c>
      <c r="G193" s="199"/>
      <c r="H193" s="60" t="s">
        <v>769</v>
      </c>
      <c r="I193" s="1"/>
    </row>
    <row r="194" spans="1:10" ht="15.9" thickBot="1" x14ac:dyDescent="0.65">
      <c r="A194" s="99" t="s">
        <v>302</v>
      </c>
      <c r="B194" s="195">
        <v>36914999</v>
      </c>
      <c r="C194" s="195"/>
      <c r="D194" s="198"/>
      <c r="E194" s="198"/>
      <c r="F194" s="198">
        <f>B194</f>
        <v>36914999</v>
      </c>
      <c r="G194" s="200"/>
      <c r="H194" s="60" t="s">
        <v>769</v>
      </c>
      <c r="I194" s="1"/>
    </row>
    <row r="195" spans="1:10" s="763" customFormat="1" ht="15.9" thickTop="1" x14ac:dyDescent="0.6">
      <c r="A195" s="78" t="s">
        <v>19</v>
      </c>
      <c r="B195" s="801">
        <f>SUM(B196:B207)</f>
        <v>705948517</v>
      </c>
      <c r="C195" s="801">
        <f t="shared" ref="C195:G195" si="20">SUM(C196:C207)</f>
        <v>180000000</v>
      </c>
      <c r="D195" s="801">
        <f t="shared" si="20"/>
        <v>0</v>
      </c>
      <c r="E195" s="801">
        <f t="shared" si="20"/>
        <v>0</v>
      </c>
      <c r="F195" s="801">
        <f t="shared" si="20"/>
        <v>525948517</v>
      </c>
      <c r="G195" s="1575">
        <f t="shared" si="20"/>
        <v>0</v>
      </c>
      <c r="H195" s="60"/>
      <c r="I195" s="1"/>
      <c r="J195" s="1"/>
    </row>
    <row r="196" spans="1:10" x14ac:dyDescent="0.6">
      <c r="A196" s="85" t="s">
        <v>1583</v>
      </c>
      <c r="B196" s="205">
        <v>160000000</v>
      </c>
      <c r="C196" s="205">
        <f>B196</f>
        <v>160000000</v>
      </c>
      <c r="D196" s="1"/>
      <c r="E196" s="1"/>
      <c r="F196" s="205"/>
      <c r="G196" s="129"/>
      <c r="H196" s="60" t="s">
        <v>769</v>
      </c>
      <c r="I196" s="1"/>
    </row>
    <row r="197" spans="1:10" x14ac:dyDescent="0.6">
      <c r="A197" s="85" t="s">
        <v>1115</v>
      </c>
      <c r="B197" s="201" t="s">
        <v>804</v>
      </c>
      <c r="C197" s="205"/>
      <c r="D197" s="1"/>
      <c r="E197" s="1"/>
      <c r="F197" s="205"/>
      <c r="G197" s="129"/>
      <c r="H197" s="60" t="s">
        <v>769</v>
      </c>
      <c r="I197" s="1"/>
    </row>
    <row r="198" spans="1:10" x14ac:dyDescent="0.6">
      <c r="A198" s="85" t="s">
        <v>346</v>
      </c>
      <c r="B198" s="205">
        <v>52897372</v>
      </c>
      <c r="C198" s="205"/>
      <c r="D198" s="1"/>
      <c r="E198" s="1"/>
      <c r="F198" s="205">
        <f>B198</f>
        <v>52897372</v>
      </c>
      <c r="G198" s="129"/>
      <c r="H198" s="60" t="s">
        <v>769</v>
      </c>
      <c r="I198" s="1"/>
    </row>
    <row r="199" spans="1:10" x14ac:dyDescent="0.6">
      <c r="A199" s="85" t="s">
        <v>348</v>
      </c>
      <c r="B199" s="205">
        <v>218348948</v>
      </c>
      <c r="C199" s="205"/>
      <c r="D199" s="1"/>
      <c r="E199" s="1"/>
      <c r="F199" s="205">
        <f t="shared" ref="F199:F201" si="21">B199</f>
        <v>218348948</v>
      </c>
      <c r="G199" s="129"/>
      <c r="H199" s="60" t="s">
        <v>769</v>
      </c>
      <c r="I199" s="1"/>
    </row>
    <row r="200" spans="1:10" x14ac:dyDescent="0.6">
      <c r="A200" s="85" t="s">
        <v>1116</v>
      </c>
      <c r="B200" s="205">
        <v>50000000</v>
      </c>
      <c r="C200" s="205"/>
      <c r="D200" s="1"/>
      <c r="E200" s="1"/>
      <c r="F200" s="205">
        <f t="shared" si="21"/>
        <v>50000000</v>
      </c>
      <c r="G200" s="129"/>
      <c r="H200" s="60" t="s">
        <v>769</v>
      </c>
      <c r="I200" s="1"/>
    </row>
    <row r="201" spans="1:10" x14ac:dyDescent="0.6">
      <c r="A201" s="85" t="s">
        <v>349</v>
      </c>
      <c r="B201" s="205">
        <v>181397588</v>
      </c>
      <c r="C201" s="205"/>
      <c r="D201" s="1"/>
      <c r="E201" s="1"/>
      <c r="F201" s="205">
        <f t="shared" si="21"/>
        <v>181397588</v>
      </c>
      <c r="G201" s="129"/>
      <c r="H201" s="60" t="s">
        <v>769</v>
      </c>
      <c r="I201" s="1"/>
    </row>
    <row r="202" spans="1:10" x14ac:dyDescent="0.6">
      <c r="A202" s="85" t="s">
        <v>1584</v>
      </c>
      <c r="B202" s="205">
        <v>20000000</v>
      </c>
      <c r="C202" s="205">
        <f>B202</f>
        <v>20000000</v>
      </c>
      <c r="D202" s="1"/>
      <c r="E202" s="1"/>
      <c r="F202" s="205"/>
      <c r="G202" s="129"/>
      <c r="H202" s="60" t="s">
        <v>769</v>
      </c>
      <c r="I202" s="1"/>
    </row>
    <row r="203" spans="1:10" x14ac:dyDescent="0.6">
      <c r="A203" s="85" t="s">
        <v>351</v>
      </c>
      <c r="B203" s="201" t="s">
        <v>804</v>
      </c>
      <c r="C203" s="205"/>
      <c r="D203" s="1"/>
      <c r="E203" s="1"/>
      <c r="F203" s="205"/>
      <c r="G203" s="129"/>
      <c r="H203" s="60" t="s">
        <v>769</v>
      </c>
      <c r="I203" s="1"/>
    </row>
    <row r="204" spans="1:10" x14ac:dyDescent="0.6">
      <c r="A204" s="85" t="s">
        <v>1032</v>
      </c>
      <c r="B204" s="205">
        <v>23304609</v>
      </c>
      <c r="C204" s="205"/>
      <c r="D204" s="1"/>
      <c r="E204" s="1"/>
      <c r="F204" s="205">
        <f>B204</f>
        <v>23304609</v>
      </c>
      <c r="G204" s="129"/>
      <c r="H204" s="60" t="s">
        <v>769</v>
      </c>
      <c r="I204" s="1"/>
    </row>
    <row r="205" spans="1:10" x14ac:dyDescent="0.6">
      <c r="A205" s="85" t="s">
        <v>356</v>
      </c>
      <c r="B205" s="1467" t="s">
        <v>804</v>
      </c>
      <c r="C205" s="205"/>
      <c r="D205" s="1"/>
      <c r="E205" s="1"/>
      <c r="F205" s="205"/>
      <c r="G205" s="129"/>
      <c r="H205" s="60" t="s">
        <v>769</v>
      </c>
      <c r="I205" s="1"/>
    </row>
    <row r="206" spans="1:10" s="103" customFormat="1" x14ac:dyDescent="0.6">
      <c r="A206" s="104" t="s">
        <v>1036</v>
      </c>
      <c r="B206" s="1467" t="s">
        <v>804</v>
      </c>
      <c r="C206" s="204"/>
      <c r="F206" s="205"/>
      <c r="G206" s="129"/>
      <c r="H206" s="60" t="s">
        <v>769</v>
      </c>
      <c r="I206" s="1"/>
      <c r="J206" s="1"/>
    </row>
    <row r="207" spans="1:10" customFormat="1" ht="15.9" thickBot="1" x14ac:dyDescent="0.65">
      <c r="A207" s="1463" t="s">
        <v>1213</v>
      </c>
      <c r="B207" s="1468" t="s">
        <v>804</v>
      </c>
      <c r="C207" s="207"/>
      <c r="D207" s="158"/>
      <c r="E207" s="158"/>
      <c r="F207" s="140"/>
      <c r="G207" s="206"/>
      <c r="H207" s="60" t="s">
        <v>769</v>
      </c>
      <c r="I207" s="1"/>
      <c r="J207" s="1"/>
    </row>
    <row r="208" spans="1:10" s="784" customFormat="1" ht="16.2" thickTop="1" thickBot="1" x14ac:dyDescent="0.65">
      <c r="A208" s="1474" t="s">
        <v>20</v>
      </c>
      <c r="B208" s="783">
        <f>SUM(B210:B229)</f>
        <v>3943707339</v>
      </c>
      <c r="C208" s="783">
        <f t="shared" ref="C208:G208" si="22">SUM(C210:C229)</f>
        <v>4369339</v>
      </c>
      <c r="D208" s="783">
        <f t="shared" si="22"/>
        <v>0</v>
      </c>
      <c r="E208" s="783">
        <f t="shared" si="22"/>
        <v>16931189.5</v>
      </c>
      <c r="F208" s="783">
        <f t="shared" si="22"/>
        <v>3922406810.5</v>
      </c>
      <c r="G208" s="1576">
        <f t="shared" si="22"/>
        <v>0</v>
      </c>
      <c r="H208" s="60"/>
      <c r="I208" s="1"/>
      <c r="J208" s="1"/>
    </row>
    <row r="209" spans="1:10" s="1473" customFormat="1" ht="15.9" thickTop="1" x14ac:dyDescent="0.6">
      <c r="A209" s="416" t="s">
        <v>1277</v>
      </c>
      <c r="B209" s="1470">
        <v>8626010</v>
      </c>
      <c r="C209" s="1470"/>
      <c r="D209" s="1471"/>
      <c r="E209" s="1471"/>
      <c r="F209" s="1471">
        <f>B209</f>
        <v>8626010</v>
      </c>
      <c r="G209" s="1472"/>
      <c r="H209" s="60"/>
      <c r="I209" s="1"/>
      <c r="J209" s="1"/>
    </row>
    <row r="210" spans="1:10" x14ac:dyDescent="0.6">
      <c r="A210" s="85" t="s">
        <v>1585</v>
      </c>
      <c r="B210" s="1467" t="s">
        <v>804</v>
      </c>
      <c r="C210" s="208"/>
      <c r="D210" s="209"/>
      <c r="E210" s="209"/>
      <c r="F210" s="208"/>
      <c r="G210" s="210"/>
      <c r="H210" s="60"/>
      <c r="I210" s="1"/>
    </row>
    <row r="211" spans="1:10" x14ac:dyDescent="0.6">
      <c r="A211" s="85" t="s">
        <v>1117</v>
      </c>
      <c r="B211" s="1469">
        <v>3747565915</v>
      </c>
      <c r="C211" s="208"/>
      <c r="D211" s="209"/>
      <c r="E211" s="209"/>
      <c r="F211" s="208">
        <f>B211</f>
        <v>3747565915</v>
      </c>
      <c r="G211" s="210"/>
      <c r="H211" s="60" t="s">
        <v>769</v>
      </c>
      <c r="I211" s="1"/>
    </row>
    <row r="212" spans="1:10" x14ac:dyDescent="0.6">
      <c r="A212" s="85" t="s">
        <v>450</v>
      </c>
      <c r="B212" s="1469">
        <v>2156503</v>
      </c>
      <c r="C212" s="208"/>
      <c r="D212" s="209"/>
      <c r="E212" s="209"/>
      <c r="F212" s="208">
        <f>B212</f>
        <v>2156503</v>
      </c>
      <c r="G212" s="210"/>
      <c r="H212" s="60"/>
      <c r="I212" s="1"/>
    </row>
    <row r="213" spans="1:10" x14ac:dyDescent="0.6">
      <c r="A213" s="85" t="s">
        <v>451</v>
      </c>
      <c r="B213" s="1467" t="s">
        <v>804</v>
      </c>
      <c r="C213" s="208"/>
      <c r="D213" s="209"/>
      <c r="E213" s="209"/>
      <c r="F213" s="208"/>
      <c r="G213" s="210"/>
      <c r="H213" s="60"/>
      <c r="I213" s="1"/>
    </row>
    <row r="214" spans="1:10" x14ac:dyDescent="0.6">
      <c r="A214" s="85" t="s">
        <v>1271</v>
      </c>
      <c r="B214" s="1467" t="s">
        <v>804</v>
      </c>
      <c r="C214" s="208"/>
      <c r="D214" s="209"/>
      <c r="E214" s="209"/>
      <c r="F214" s="208"/>
      <c r="G214" s="210"/>
      <c r="H214" s="60"/>
      <c r="I214" s="1"/>
    </row>
    <row r="215" spans="1:10" x14ac:dyDescent="0.6">
      <c r="A215" s="85" t="s">
        <v>1272</v>
      </c>
      <c r="B215" s="1467" t="s">
        <v>804</v>
      </c>
      <c r="C215" s="208"/>
      <c r="D215" s="209"/>
      <c r="E215" s="209"/>
      <c r="F215" s="208"/>
      <c r="G215" s="210"/>
      <c r="H215" s="60"/>
      <c r="I215" s="1"/>
    </row>
    <row r="216" spans="1:10" x14ac:dyDescent="0.6">
      <c r="A216" s="85" t="s">
        <v>452</v>
      </c>
      <c r="B216" s="1467" t="s">
        <v>804</v>
      </c>
      <c r="C216" s="208"/>
      <c r="D216" s="209"/>
      <c r="E216" s="209"/>
      <c r="F216" s="208"/>
      <c r="G216" s="210"/>
      <c r="H216" s="60"/>
      <c r="I216" s="1"/>
    </row>
    <row r="217" spans="1:10" x14ac:dyDescent="0.6">
      <c r="A217" s="85" t="s">
        <v>453</v>
      </c>
      <c r="B217" s="1467" t="s">
        <v>804</v>
      </c>
      <c r="C217" s="208"/>
      <c r="D217" s="209"/>
      <c r="E217" s="209"/>
      <c r="F217" s="208"/>
      <c r="G217" s="210"/>
      <c r="H217" s="60"/>
      <c r="I217" s="1"/>
    </row>
    <row r="218" spans="1:10" x14ac:dyDescent="0.6">
      <c r="A218" s="85" t="s">
        <v>1273</v>
      </c>
      <c r="B218" s="1469">
        <v>21565025</v>
      </c>
      <c r="C218" s="208"/>
      <c r="D218" s="209"/>
      <c r="E218" s="209"/>
      <c r="F218" s="208">
        <f>B218</f>
        <v>21565025</v>
      </c>
      <c r="G218" s="210"/>
      <c r="H218" s="60"/>
      <c r="I218" s="1"/>
    </row>
    <row r="219" spans="1:10" x14ac:dyDescent="0.6">
      <c r="A219" s="85" t="s">
        <v>1274</v>
      </c>
      <c r="B219" s="1467" t="s">
        <v>804</v>
      </c>
      <c r="C219" s="208"/>
      <c r="D219" s="209"/>
      <c r="E219" s="209"/>
      <c r="F219" s="208"/>
      <c r="G219" s="210"/>
      <c r="H219" s="60"/>
      <c r="I219" s="1"/>
    </row>
    <row r="220" spans="1:10" x14ac:dyDescent="0.6">
      <c r="A220" s="85" t="s">
        <v>1275</v>
      </c>
      <c r="B220" s="1469">
        <v>12939015</v>
      </c>
      <c r="C220" s="208"/>
      <c r="D220" s="209"/>
      <c r="E220" s="209"/>
      <c r="F220" s="208">
        <f>B220</f>
        <v>12939015</v>
      </c>
      <c r="G220" s="210"/>
      <c r="H220" s="60"/>
      <c r="I220" s="1"/>
    </row>
    <row r="221" spans="1:10" x14ac:dyDescent="0.6">
      <c r="A221" s="85" t="s">
        <v>1276</v>
      </c>
      <c r="B221" s="1467" t="s">
        <v>804</v>
      </c>
      <c r="C221" s="208"/>
      <c r="D221" s="209"/>
      <c r="E221" s="209"/>
      <c r="F221" s="208"/>
      <c r="G221" s="210"/>
      <c r="H221" s="60"/>
      <c r="I221" s="1"/>
    </row>
    <row r="222" spans="1:10" x14ac:dyDescent="0.6">
      <c r="A222" s="85" t="s">
        <v>1436</v>
      </c>
      <c r="B222" s="1469">
        <v>33862379</v>
      </c>
      <c r="C222" s="208"/>
      <c r="D222" s="209"/>
      <c r="E222" s="209">
        <f>B222/2</f>
        <v>16931189.5</v>
      </c>
      <c r="F222" s="208">
        <f>E222</f>
        <v>16931189.5</v>
      </c>
      <c r="G222" s="210"/>
      <c r="H222" s="60" t="s">
        <v>769</v>
      </c>
      <c r="I222" s="1"/>
    </row>
    <row r="223" spans="1:10" x14ac:dyDescent="0.6">
      <c r="A223" s="85" t="s">
        <v>1437</v>
      </c>
      <c r="B223" s="1469">
        <v>24031365</v>
      </c>
      <c r="C223" s="208"/>
      <c r="D223" s="209"/>
      <c r="E223" s="209"/>
      <c r="F223" s="208">
        <f>B223</f>
        <v>24031365</v>
      </c>
      <c r="G223" s="210"/>
      <c r="H223" s="60" t="s">
        <v>769</v>
      </c>
      <c r="I223" s="1"/>
    </row>
    <row r="224" spans="1:10" x14ac:dyDescent="0.6">
      <c r="A224" s="85" t="s">
        <v>1438</v>
      </c>
      <c r="B224" s="1469">
        <v>18569692</v>
      </c>
      <c r="C224" s="212"/>
      <c r="D224" s="213"/>
      <c r="E224" s="213"/>
      <c r="F224" s="212">
        <f>B224</f>
        <v>18569692</v>
      </c>
      <c r="G224" s="210"/>
      <c r="H224" s="60" t="s">
        <v>769</v>
      </c>
      <c r="I224" s="1"/>
    </row>
    <row r="225" spans="1:10" x14ac:dyDescent="0.6">
      <c r="A225" s="85" t="s">
        <v>1439</v>
      </c>
      <c r="B225" s="1469">
        <v>4369339</v>
      </c>
      <c r="C225" s="212">
        <f>B225</f>
        <v>4369339</v>
      </c>
      <c r="D225" s="213"/>
      <c r="E225" s="213"/>
      <c r="F225" s="212"/>
      <c r="G225" s="210"/>
      <c r="H225" s="60" t="s">
        <v>769</v>
      </c>
      <c r="I225" s="1"/>
    </row>
    <row r="226" spans="1:10" x14ac:dyDescent="0.6">
      <c r="A226" s="85" t="s">
        <v>1440</v>
      </c>
      <c r="B226" s="1469">
        <v>7646344</v>
      </c>
      <c r="C226" s="212"/>
      <c r="D226" s="213"/>
      <c r="E226" s="213"/>
      <c r="F226" s="212">
        <f>B226</f>
        <v>7646344</v>
      </c>
      <c r="G226" s="210"/>
      <c r="H226" s="60" t="s">
        <v>769</v>
      </c>
      <c r="I226" s="1"/>
    </row>
    <row r="227" spans="1:10" x14ac:dyDescent="0.6">
      <c r="A227" s="85" t="s">
        <v>1441</v>
      </c>
      <c r="B227" s="1469">
        <v>71001762</v>
      </c>
      <c r="C227" s="212"/>
      <c r="D227" s="213"/>
      <c r="E227" s="213"/>
      <c r="F227" s="212">
        <f>B227</f>
        <v>71001762</v>
      </c>
      <c r="G227" s="210"/>
      <c r="H227" s="60" t="s">
        <v>769</v>
      </c>
      <c r="I227" s="1"/>
    </row>
    <row r="228" spans="1:10" s="103" customFormat="1" x14ac:dyDescent="0.6">
      <c r="A228" s="104" t="s">
        <v>1442</v>
      </c>
      <c r="B228" s="212" t="s">
        <v>804</v>
      </c>
      <c r="C228" s="212"/>
      <c r="D228" s="212"/>
      <c r="E228" s="212"/>
      <c r="F228" s="212"/>
      <c r="G228" s="210"/>
      <c r="H228" s="114" t="s">
        <v>769</v>
      </c>
      <c r="I228" s="70"/>
      <c r="J228" s="1"/>
    </row>
    <row r="229" spans="1:10" customFormat="1" ht="15.9" thickBot="1" x14ac:dyDescent="0.65">
      <c r="A229" s="1463" t="s">
        <v>1443</v>
      </c>
      <c r="B229" s="212" t="s">
        <v>804</v>
      </c>
      <c r="C229" s="212"/>
      <c r="D229" s="214"/>
      <c r="E229" s="214"/>
      <c r="F229" s="215"/>
      <c r="G229" s="211"/>
      <c r="H229" s="114" t="s">
        <v>769</v>
      </c>
      <c r="I229" s="70"/>
      <c r="J229" s="1"/>
    </row>
    <row r="230" spans="1:10" s="192" customFormat="1" ht="15.9" thickTop="1" x14ac:dyDescent="0.6">
      <c r="A230" s="78" t="s">
        <v>38</v>
      </c>
      <c r="B230" s="721">
        <f>SUM(B231:B263)</f>
        <v>839864283</v>
      </c>
      <c r="C230" s="721">
        <f t="shared" ref="C230:E230" si="23">SUM(C231:C263)</f>
        <v>15000000</v>
      </c>
      <c r="D230" s="721">
        <f t="shared" si="23"/>
        <v>120032736</v>
      </c>
      <c r="E230" s="721">
        <f t="shared" si="23"/>
        <v>0</v>
      </c>
      <c r="F230" s="721">
        <f>SUM(F231:F263)</f>
        <v>704831547</v>
      </c>
      <c r="G230" s="722">
        <f>SUM(G231:G263)</f>
        <v>0</v>
      </c>
      <c r="H230" s="114"/>
      <c r="I230" s="70"/>
      <c r="J230" s="1"/>
    </row>
    <row r="231" spans="1:10" x14ac:dyDescent="0.6">
      <c r="A231" s="85" t="s">
        <v>455</v>
      </c>
      <c r="B231" s="18" t="s">
        <v>804</v>
      </c>
      <c r="C231" s="18"/>
      <c r="F231" s="106"/>
      <c r="G231" s="111"/>
    </row>
    <row r="232" spans="1:10" x14ac:dyDescent="0.6">
      <c r="A232" s="85" t="s">
        <v>456</v>
      </c>
      <c r="B232" s="18" t="s">
        <v>804</v>
      </c>
      <c r="F232" s="106"/>
      <c r="G232" s="111"/>
    </row>
    <row r="233" spans="1:10" x14ac:dyDescent="0.6">
      <c r="A233" s="85" t="s">
        <v>457</v>
      </c>
      <c r="B233" s="17">
        <v>-4867208</v>
      </c>
      <c r="F233" s="106">
        <f>B233</f>
        <v>-4867208</v>
      </c>
      <c r="G233" s="111"/>
    </row>
    <row r="234" spans="1:10" x14ac:dyDescent="0.6">
      <c r="A234" s="85" t="s">
        <v>458</v>
      </c>
      <c r="B234" s="18" t="s">
        <v>804</v>
      </c>
      <c r="C234" s="18"/>
      <c r="F234" s="106"/>
      <c r="G234" s="111"/>
    </row>
    <row r="235" spans="1:10" x14ac:dyDescent="0.6">
      <c r="A235" s="85" t="s">
        <v>1586</v>
      </c>
      <c r="B235" s="18" t="s">
        <v>804</v>
      </c>
      <c r="C235" s="18"/>
      <c r="F235" s="106"/>
      <c r="G235" s="111"/>
    </row>
    <row r="236" spans="1:10" x14ac:dyDescent="0.6">
      <c r="A236" s="85" t="s">
        <v>1242</v>
      </c>
      <c r="B236" s="18" t="s">
        <v>804</v>
      </c>
      <c r="C236" s="18"/>
      <c r="F236" s="106"/>
      <c r="G236" s="111"/>
    </row>
    <row r="237" spans="1:10" x14ac:dyDescent="0.6">
      <c r="A237" s="85" t="s">
        <v>1243</v>
      </c>
      <c r="B237" s="18" t="s">
        <v>804</v>
      </c>
      <c r="F237" s="106"/>
      <c r="G237" s="111"/>
    </row>
    <row r="238" spans="1:10" x14ac:dyDescent="0.6">
      <c r="A238" s="85" t="s">
        <v>464</v>
      </c>
      <c r="B238" s="109">
        <v>336062886</v>
      </c>
      <c r="F238" s="106">
        <f>B238</f>
        <v>336062886</v>
      </c>
      <c r="G238" s="111"/>
    </row>
    <row r="239" spans="1:10" x14ac:dyDescent="0.6">
      <c r="A239" s="85" t="s">
        <v>1587</v>
      </c>
      <c r="B239" s="109">
        <v>24100000</v>
      </c>
      <c r="F239" s="106">
        <f t="shared" ref="F239:F241" si="24">B239</f>
        <v>24100000</v>
      </c>
      <c r="G239" s="111"/>
      <c r="H239" s="114" t="s">
        <v>769</v>
      </c>
    </row>
    <row r="240" spans="1:10" x14ac:dyDescent="0.6">
      <c r="A240" s="85" t="s">
        <v>465</v>
      </c>
      <c r="B240" s="109">
        <v>137407</v>
      </c>
      <c r="F240" s="106">
        <f t="shared" si="24"/>
        <v>137407</v>
      </c>
      <c r="G240" s="111"/>
    </row>
    <row r="241" spans="1:8" x14ac:dyDescent="0.6">
      <c r="A241" s="85" t="s">
        <v>262</v>
      </c>
      <c r="B241" s="109">
        <v>16000000</v>
      </c>
      <c r="F241" s="106">
        <f t="shared" si="24"/>
        <v>16000000</v>
      </c>
      <c r="G241" s="111"/>
      <c r="H241" s="114" t="s">
        <v>769</v>
      </c>
    </row>
    <row r="242" spans="1:8" x14ac:dyDescent="0.6">
      <c r="A242" s="85" t="s">
        <v>523</v>
      </c>
      <c r="B242" s="109">
        <v>128000000</v>
      </c>
      <c r="F242" s="106">
        <f>B242</f>
        <v>128000000</v>
      </c>
      <c r="G242" s="111"/>
    </row>
    <row r="243" spans="1:8" x14ac:dyDescent="0.6">
      <c r="A243" s="85" t="s">
        <v>1280</v>
      </c>
      <c r="B243" s="18" t="s">
        <v>804</v>
      </c>
      <c r="F243" s="106"/>
      <c r="G243" s="111"/>
    </row>
    <row r="244" spans="1:8" x14ac:dyDescent="0.6">
      <c r="A244" s="85" t="s">
        <v>1588</v>
      </c>
      <c r="B244" s="109">
        <v>156000000</v>
      </c>
      <c r="F244" s="106">
        <f>B244</f>
        <v>156000000</v>
      </c>
      <c r="G244" s="111"/>
    </row>
    <row r="245" spans="1:8" x14ac:dyDescent="0.6">
      <c r="A245" s="85" t="s">
        <v>466</v>
      </c>
      <c r="B245" s="109">
        <v>35974320</v>
      </c>
      <c r="F245" s="106">
        <f>B245</f>
        <v>35974320</v>
      </c>
      <c r="G245" s="111"/>
    </row>
    <row r="246" spans="1:8" x14ac:dyDescent="0.6">
      <c r="A246" s="85" t="s">
        <v>1281</v>
      </c>
      <c r="B246" s="18" t="s">
        <v>804</v>
      </c>
      <c r="F246" s="106"/>
      <c r="G246" s="111"/>
    </row>
    <row r="247" spans="1:8" x14ac:dyDescent="0.6">
      <c r="A247" s="85" t="s">
        <v>1043</v>
      </c>
      <c r="B247" s="18" t="s">
        <v>804</v>
      </c>
      <c r="F247" s="106"/>
      <c r="G247" s="111"/>
    </row>
    <row r="248" spans="1:8" x14ac:dyDescent="0.6">
      <c r="A248" s="85" t="s">
        <v>263</v>
      </c>
      <c r="B248" s="109">
        <v>111293833</v>
      </c>
      <c r="D248" s="17">
        <f>B248</f>
        <v>111293833</v>
      </c>
      <c r="F248" s="106"/>
      <c r="G248" s="111"/>
    </row>
    <row r="249" spans="1:8" x14ac:dyDescent="0.6">
      <c r="A249" s="85" t="s">
        <v>202</v>
      </c>
      <c r="B249" s="109">
        <v>8600000</v>
      </c>
      <c r="D249" s="17">
        <f>B249</f>
        <v>8600000</v>
      </c>
      <c r="F249" s="106"/>
      <c r="G249" s="111"/>
      <c r="H249" s="114" t="s">
        <v>769</v>
      </c>
    </row>
    <row r="250" spans="1:8" x14ac:dyDescent="0.6">
      <c r="A250" s="85" t="s">
        <v>274</v>
      </c>
      <c r="B250" s="109">
        <v>15000000</v>
      </c>
      <c r="C250" s="18">
        <f>B250</f>
        <v>15000000</v>
      </c>
      <c r="F250" s="106"/>
      <c r="G250" s="111"/>
      <c r="H250" s="114" t="s">
        <v>769</v>
      </c>
    </row>
    <row r="251" spans="1:8" x14ac:dyDescent="0.6">
      <c r="A251" s="85" t="s">
        <v>921</v>
      </c>
      <c r="B251" s="18" t="s">
        <v>804</v>
      </c>
      <c r="C251" s="18"/>
      <c r="F251" s="106"/>
      <c r="G251" s="111"/>
      <c r="H251" s="114" t="s">
        <v>769</v>
      </c>
    </row>
    <row r="252" spans="1:8" x14ac:dyDescent="0.6">
      <c r="A252" s="85" t="s">
        <v>275</v>
      </c>
      <c r="B252" s="109">
        <v>257709</v>
      </c>
      <c r="C252" s="109"/>
      <c r="F252" s="106">
        <f>B252</f>
        <v>257709</v>
      </c>
      <c r="G252" s="111"/>
      <c r="H252" s="114" t="s">
        <v>769</v>
      </c>
    </row>
    <row r="253" spans="1:8" x14ac:dyDescent="0.6">
      <c r="A253" s="85" t="s">
        <v>467</v>
      </c>
      <c r="B253" s="18" t="s">
        <v>804</v>
      </c>
      <c r="C253" s="109"/>
      <c r="F253" s="106"/>
      <c r="G253" s="111"/>
    </row>
    <row r="254" spans="1:8" x14ac:dyDescent="0.6">
      <c r="A254" s="85" t="s">
        <v>1245</v>
      </c>
      <c r="B254" s="18" t="s">
        <v>804</v>
      </c>
      <c r="C254" s="109"/>
      <c r="F254" s="106"/>
      <c r="G254" s="111"/>
    </row>
    <row r="255" spans="1:8" x14ac:dyDescent="0.6">
      <c r="A255" s="85" t="s">
        <v>1589</v>
      </c>
      <c r="B255" s="18" t="s">
        <v>804</v>
      </c>
      <c r="C255" s="18"/>
      <c r="F255" s="106"/>
      <c r="G255" s="111"/>
    </row>
    <row r="256" spans="1:8" x14ac:dyDescent="0.6">
      <c r="A256" s="85" t="s">
        <v>459</v>
      </c>
      <c r="B256" s="109">
        <v>25584</v>
      </c>
      <c r="C256" s="109"/>
      <c r="F256" s="106">
        <f>B256</f>
        <v>25584</v>
      </c>
      <c r="G256" s="111"/>
    </row>
    <row r="257" spans="1:10" x14ac:dyDescent="0.6">
      <c r="A257" s="85" t="s">
        <v>460</v>
      </c>
      <c r="B257" s="109">
        <v>13025185</v>
      </c>
      <c r="C257" s="109"/>
      <c r="F257" s="106">
        <f>B257</f>
        <v>13025185</v>
      </c>
      <c r="G257" s="111"/>
    </row>
    <row r="258" spans="1:10" x14ac:dyDescent="0.6">
      <c r="A258" s="85" t="s">
        <v>1278</v>
      </c>
      <c r="B258" s="18" t="s">
        <v>804</v>
      </c>
      <c r="C258" s="109"/>
      <c r="F258" s="106"/>
      <c r="G258" s="111"/>
    </row>
    <row r="259" spans="1:10" x14ac:dyDescent="0.6">
      <c r="A259" s="85" t="s">
        <v>386</v>
      </c>
      <c r="B259" s="109">
        <v>79437</v>
      </c>
      <c r="C259" s="109"/>
      <c r="D259" s="17">
        <f>B259</f>
        <v>79437</v>
      </c>
      <c r="F259" s="106"/>
      <c r="G259" s="111"/>
    </row>
    <row r="260" spans="1:10" x14ac:dyDescent="0.6">
      <c r="A260" s="85" t="s">
        <v>387</v>
      </c>
      <c r="B260" s="109">
        <v>59466</v>
      </c>
      <c r="C260" s="109"/>
      <c r="D260" s="17">
        <f>B260</f>
        <v>59466</v>
      </c>
      <c r="F260" s="106"/>
      <c r="G260" s="111"/>
    </row>
    <row r="261" spans="1:10" x14ac:dyDescent="0.6">
      <c r="A261" s="85" t="s">
        <v>461</v>
      </c>
      <c r="B261" s="109">
        <v>115664</v>
      </c>
      <c r="C261" s="109"/>
      <c r="F261" s="106">
        <f>B261</f>
        <v>115664</v>
      </c>
      <c r="G261" s="111"/>
    </row>
    <row r="262" spans="1:10" x14ac:dyDescent="0.6">
      <c r="A262" s="85" t="s">
        <v>462</v>
      </c>
      <c r="B262" s="18" t="s">
        <v>804</v>
      </c>
      <c r="C262" s="109"/>
      <c r="F262" s="106"/>
      <c r="G262" s="111"/>
    </row>
    <row r="263" spans="1:10" ht="15.9" thickBot="1" x14ac:dyDescent="0.65">
      <c r="A263" s="99" t="s">
        <v>463</v>
      </c>
      <c r="B263" s="18" t="s">
        <v>804</v>
      </c>
      <c r="C263" s="18"/>
      <c r="D263" s="101"/>
      <c r="E263" s="101"/>
      <c r="F263" s="101"/>
      <c r="G263" s="163"/>
    </row>
    <row r="264" spans="1:10" s="763" customFormat="1" ht="15.9" thickTop="1" x14ac:dyDescent="0.6">
      <c r="A264" s="78" t="s">
        <v>39</v>
      </c>
      <c r="B264" s="801">
        <f>SUM(B265:B274)</f>
        <v>10353342400</v>
      </c>
      <c r="C264" s="801">
        <f t="shared" ref="C264:G264" si="25">SUM(C265:C274)</f>
        <v>0</v>
      </c>
      <c r="D264" s="801">
        <f t="shared" si="25"/>
        <v>0</v>
      </c>
      <c r="E264" s="801">
        <f t="shared" si="25"/>
        <v>0</v>
      </c>
      <c r="F264" s="801">
        <f t="shared" si="25"/>
        <v>10353342400</v>
      </c>
      <c r="G264" s="1575">
        <f t="shared" si="25"/>
        <v>0</v>
      </c>
      <c r="H264" s="114"/>
      <c r="I264" s="70"/>
      <c r="J264" s="1"/>
    </row>
    <row r="265" spans="1:10" s="167" customFormat="1" x14ac:dyDescent="0.6">
      <c r="A265" s="85" t="s">
        <v>336</v>
      </c>
      <c r="B265" s="1201" t="s">
        <v>804</v>
      </c>
      <c r="C265" s="785"/>
      <c r="D265" s="139"/>
      <c r="E265" s="139"/>
      <c r="F265" s="139"/>
      <c r="G265" s="138"/>
      <c r="H265" s="114" t="s">
        <v>769</v>
      </c>
      <c r="I265" s="70"/>
      <c r="J265" s="1"/>
    </row>
    <row r="266" spans="1:10" s="167" customFormat="1" x14ac:dyDescent="0.6">
      <c r="A266" s="85" t="s">
        <v>337</v>
      </c>
      <c r="B266" s="1475">
        <v>825670274</v>
      </c>
      <c r="C266" s="785"/>
      <c r="D266" s="139"/>
      <c r="E266" s="139"/>
      <c r="F266" s="139">
        <f>B266</f>
        <v>825670274</v>
      </c>
      <c r="G266" s="138"/>
      <c r="H266" s="114" t="s">
        <v>769</v>
      </c>
      <c r="I266" s="70"/>
      <c r="J266" s="1"/>
    </row>
    <row r="267" spans="1:10" s="167" customFormat="1" x14ac:dyDescent="0.6">
      <c r="A267" s="85" t="s">
        <v>1590</v>
      </c>
      <c r="B267" s="1475">
        <v>60000000</v>
      </c>
      <c r="C267" s="785"/>
      <c r="D267" s="139"/>
      <c r="E267" s="139"/>
      <c r="F267" s="139">
        <f t="shared" ref="F267:F274" si="26">B267</f>
        <v>60000000</v>
      </c>
      <c r="G267" s="138"/>
      <c r="H267" s="114" t="s">
        <v>769</v>
      </c>
      <c r="I267" s="70"/>
      <c r="J267" s="1"/>
    </row>
    <row r="268" spans="1:10" s="167" customFormat="1" x14ac:dyDescent="0.6">
      <c r="A268" s="85" t="s">
        <v>335</v>
      </c>
      <c r="B268" s="1475">
        <v>15000000</v>
      </c>
      <c r="C268" s="785"/>
      <c r="D268" s="139"/>
      <c r="E268" s="139"/>
      <c r="F268" s="139">
        <f t="shared" si="26"/>
        <v>15000000</v>
      </c>
      <c r="G268" s="138"/>
      <c r="H268" s="114" t="s">
        <v>769</v>
      </c>
      <c r="I268" s="70"/>
      <c r="J268" s="1"/>
    </row>
    <row r="269" spans="1:10" s="167" customFormat="1" x14ac:dyDescent="0.6">
      <c r="A269" s="85" t="s">
        <v>524</v>
      </c>
      <c r="B269" s="1475">
        <v>25000000</v>
      </c>
      <c r="C269" s="785"/>
      <c r="D269" s="139"/>
      <c r="E269" s="139"/>
      <c r="F269" s="139">
        <f t="shared" si="26"/>
        <v>25000000</v>
      </c>
      <c r="G269" s="138"/>
      <c r="H269" s="114" t="s">
        <v>769</v>
      </c>
      <c r="I269" s="70"/>
      <c r="J269" s="1"/>
    </row>
    <row r="270" spans="1:10" x14ac:dyDescent="0.6">
      <c r="A270" s="85" t="s">
        <v>1591</v>
      </c>
      <c r="B270" s="1476">
        <v>42906530</v>
      </c>
      <c r="C270" s="205"/>
      <c r="D270" s="1"/>
      <c r="E270" s="1"/>
      <c r="F270" s="205">
        <f t="shared" si="26"/>
        <v>42906530</v>
      </c>
      <c r="G270" s="129"/>
    </row>
    <row r="271" spans="1:10" x14ac:dyDescent="0.6">
      <c r="A271" s="85" t="s">
        <v>1592</v>
      </c>
      <c r="B271" s="1476">
        <v>7830441691</v>
      </c>
      <c r="C271" s="205"/>
      <c r="D271" s="1"/>
      <c r="E271" s="1"/>
      <c r="F271" s="205">
        <f t="shared" si="26"/>
        <v>7830441691</v>
      </c>
      <c r="G271" s="129"/>
    </row>
    <row r="272" spans="1:10" x14ac:dyDescent="0.6">
      <c r="A272" s="85" t="s">
        <v>1593</v>
      </c>
      <c r="B272" s="1476">
        <v>1126296408</v>
      </c>
      <c r="C272" s="205"/>
      <c r="D272" s="1"/>
      <c r="E272" s="1"/>
      <c r="F272" s="205">
        <f t="shared" si="26"/>
        <v>1126296408</v>
      </c>
      <c r="G272" s="129"/>
    </row>
    <row r="273" spans="1:10" s="103" customFormat="1" x14ac:dyDescent="0.6">
      <c r="A273" s="104" t="s">
        <v>1229</v>
      </c>
      <c r="B273" s="1462">
        <v>332364707</v>
      </c>
      <c r="C273" s="18"/>
      <c r="F273" s="205">
        <f t="shared" si="26"/>
        <v>332364707</v>
      </c>
      <c r="G273" s="129"/>
      <c r="H273" s="114"/>
      <c r="I273" s="70"/>
      <c r="J273" s="1"/>
    </row>
    <row r="274" spans="1:10" customFormat="1" ht="15.9" thickBot="1" x14ac:dyDescent="0.65">
      <c r="A274" s="1463" t="s">
        <v>1285</v>
      </c>
      <c r="B274" s="1462">
        <v>95662790</v>
      </c>
      <c r="C274" s="18"/>
      <c r="D274" s="158"/>
      <c r="E274" s="158"/>
      <c r="F274" s="140">
        <f t="shared" si="26"/>
        <v>95662790</v>
      </c>
      <c r="G274" s="206"/>
      <c r="H274" s="114"/>
      <c r="I274" s="70"/>
      <c r="J274" s="1"/>
    </row>
    <row r="275" spans="1:10" s="646" customFormat="1" ht="15.9" thickTop="1" x14ac:dyDescent="0.6">
      <c r="A275" s="1088" t="s">
        <v>40</v>
      </c>
      <c r="B275" s="758">
        <f>SUM(B276:B281)</f>
        <v>134586513</v>
      </c>
      <c r="C275" s="758">
        <f t="shared" ref="C275:G275" si="27">SUM(C276:C281)</f>
        <v>2053432</v>
      </c>
      <c r="D275" s="758">
        <f t="shared" si="27"/>
        <v>0</v>
      </c>
      <c r="E275" s="758">
        <f t="shared" si="27"/>
        <v>1158209</v>
      </c>
      <c r="F275" s="758">
        <f t="shared" si="27"/>
        <v>131374872</v>
      </c>
      <c r="G275" s="759">
        <f t="shared" si="27"/>
        <v>0</v>
      </c>
      <c r="H275" s="114"/>
      <c r="I275" s="70"/>
      <c r="J275" s="1"/>
    </row>
    <row r="276" spans="1:10" s="647" customFormat="1" x14ac:dyDescent="0.6">
      <c r="A276" s="647" t="s">
        <v>924</v>
      </c>
      <c r="B276" s="1203">
        <v>568000</v>
      </c>
      <c r="C276" s="1203">
        <f>B276</f>
        <v>568000</v>
      </c>
      <c r="D276" s="1203"/>
      <c r="E276" s="1203"/>
      <c r="F276" s="1203"/>
      <c r="G276" s="648"/>
      <c r="H276" s="114" t="s">
        <v>769</v>
      </c>
      <c r="I276" s="70"/>
      <c r="J276" s="1"/>
    </row>
    <row r="277" spans="1:10" s="647" customFormat="1" x14ac:dyDescent="0.6">
      <c r="A277" s="647" t="s">
        <v>1057</v>
      </c>
      <c r="B277" s="1203">
        <v>123416325</v>
      </c>
      <c r="C277" s="1203"/>
      <c r="D277" s="1203"/>
      <c r="E277" s="1203"/>
      <c r="F277" s="1203">
        <f>B277</f>
        <v>123416325</v>
      </c>
      <c r="G277" s="648"/>
      <c r="H277" s="114" t="s">
        <v>769</v>
      </c>
      <c r="I277" s="70"/>
      <c r="J277" s="1"/>
    </row>
    <row r="278" spans="1:10" s="647" customFormat="1" x14ac:dyDescent="0.6">
      <c r="A278" s="647" t="s">
        <v>928</v>
      </c>
      <c r="B278" s="1203">
        <v>1158209</v>
      </c>
      <c r="C278" s="1203"/>
      <c r="D278" s="1203"/>
      <c r="E278" s="1203">
        <f>B278</f>
        <v>1158209</v>
      </c>
      <c r="F278" s="1203"/>
      <c r="G278" s="648"/>
      <c r="H278" s="114" t="s">
        <v>769</v>
      </c>
      <c r="I278" s="70"/>
      <c r="J278" s="1"/>
    </row>
    <row r="279" spans="1:10" s="647" customFormat="1" x14ac:dyDescent="0.6">
      <c r="A279" s="647" t="s">
        <v>929</v>
      </c>
      <c r="B279" s="1203">
        <v>3067361</v>
      </c>
      <c r="C279" s="1203"/>
      <c r="D279" s="1203"/>
      <c r="E279" s="1203"/>
      <c r="F279" s="1203">
        <f>B279</f>
        <v>3067361</v>
      </c>
      <c r="G279" s="648"/>
      <c r="H279" s="114" t="s">
        <v>769</v>
      </c>
      <c r="I279" s="70"/>
      <c r="J279" s="1"/>
    </row>
    <row r="280" spans="1:10" s="647" customFormat="1" x14ac:dyDescent="0.6">
      <c r="A280" s="647" t="s">
        <v>930</v>
      </c>
      <c r="B280" s="1203">
        <v>1485432</v>
      </c>
      <c r="C280" s="1203">
        <f>B280</f>
        <v>1485432</v>
      </c>
      <c r="D280" s="1203"/>
      <c r="E280" s="1203"/>
      <c r="F280" s="1203"/>
      <c r="G280" s="648"/>
      <c r="H280" s="114"/>
      <c r="I280" s="70"/>
      <c r="J280" s="1"/>
    </row>
    <row r="281" spans="1:10" s="647" customFormat="1" ht="15.9" thickBot="1" x14ac:dyDescent="0.65">
      <c r="A281" s="649" t="s">
        <v>1229</v>
      </c>
      <c r="B281" s="649">
        <v>4891186</v>
      </c>
      <c r="C281" s="649"/>
      <c r="D281" s="649"/>
      <c r="E281" s="649"/>
      <c r="F281" s="649">
        <f>B281</f>
        <v>4891186</v>
      </c>
      <c r="G281" s="650"/>
      <c r="H281" s="114"/>
      <c r="I281" s="70"/>
      <c r="J281" s="1"/>
    </row>
    <row r="282" spans="1:10" s="748" customFormat="1" ht="15.9" thickTop="1" x14ac:dyDescent="0.6">
      <c r="A282" s="1060" t="s">
        <v>31</v>
      </c>
      <c r="B282" s="789">
        <f>SUM(B283:B295)</f>
        <v>139685445905</v>
      </c>
      <c r="C282" s="723"/>
      <c r="D282" s="723">
        <f>SUM(D283:D295)</f>
        <v>0</v>
      </c>
      <c r="E282" s="723"/>
      <c r="F282" s="723">
        <f>SUM(F283:F295)</f>
        <v>139685445905</v>
      </c>
      <c r="G282" s="724">
        <f>SUM(G283:G295)</f>
        <v>0</v>
      </c>
      <c r="H282" s="114"/>
      <c r="I282" s="70"/>
      <c r="J282" s="1"/>
    </row>
    <row r="283" spans="1:10" s="123" customFormat="1" x14ac:dyDescent="0.6">
      <c r="A283" s="599" t="s">
        <v>1594</v>
      </c>
      <c r="B283" s="18" t="s">
        <v>804</v>
      </c>
      <c r="C283" s="694"/>
      <c r="D283" s="599"/>
      <c r="E283" s="599"/>
      <c r="F283" s="599"/>
      <c r="G283" s="130"/>
      <c r="H283" s="114"/>
      <c r="I283" s="70"/>
      <c r="J283" s="1"/>
    </row>
    <row r="284" spans="1:10" s="123" customFormat="1" x14ac:dyDescent="0.6">
      <c r="A284" s="599" t="s">
        <v>1595</v>
      </c>
      <c r="B284" s="18" t="s">
        <v>804</v>
      </c>
      <c r="C284" s="694"/>
      <c r="D284" s="599"/>
      <c r="E284" s="599"/>
      <c r="F284" s="599"/>
      <c r="G284" s="130"/>
      <c r="H284" s="114"/>
      <c r="I284" s="70"/>
      <c r="J284" s="1"/>
    </row>
    <row r="285" spans="1:10" s="123" customFormat="1" x14ac:dyDescent="0.6">
      <c r="A285" s="599" t="s">
        <v>1596</v>
      </c>
      <c r="B285" s="694">
        <v>13486000000</v>
      </c>
      <c r="C285" s="694"/>
      <c r="D285" s="599"/>
      <c r="E285" s="599"/>
      <c r="F285" s="599">
        <f>B285</f>
        <v>13486000000</v>
      </c>
      <c r="G285" s="130"/>
      <c r="H285" s="114"/>
      <c r="I285" s="70"/>
      <c r="J285" s="1"/>
    </row>
    <row r="286" spans="1:10" s="123" customFormat="1" x14ac:dyDescent="0.6">
      <c r="A286" s="599" t="s">
        <v>1597</v>
      </c>
      <c r="B286" s="694">
        <v>4967000000</v>
      </c>
      <c r="C286" s="694"/>
      <c r="D286" s="599"/>
      <c r="E286" s="599"/>
      <c r="F286" s="599">
        <f t="shared" ref="F286:F295" si="28">B286</f>
        <v>4967000000</v>
      </c>
      <c r="G286" s="130"/>
      <c r="H286" s="114"/>
      <c r="I286" s="70"/>
      <c r="J286" s="1"/>
    </row>
    <row r="287" spans="1:10" s="123" customFormat="1" x14ac:dyDescent="0.6">
      <c r="A287" s="599" t="s">
        <v>1287</v>
      </c>
      <c r="B287" s="694">
        <v>3187810641</v>
      </c>
      <c r="C287" s="694"/>
      <c r="D287" s="599"/>
      <c r="E287" s="599"/>
      <c r="F287" s="599">
        <f t="shared" si="28"/>
        <v>3187810641</v>
      </c>
      <c r="G287" s="130"/>
      <c r="H287" s="114"/>
      <c r="I287" s="70"/>
      <c r="J287" s="1"/>
    </row>
    <row r="288" spans="1:10" s="123" customFormat="1" x14ac:dyDescent="0.6">
      <c r="A288" s="599" t="s">
        <v>801</v>
      </c>
      <c r="B288" s="694">
        <v>66370600000</v>
      </c>
      <c r="C288" s="694"/>
      <c r="D288" s="599"/>
      <c r="E288" s="599"/>
      <c r="F288" s="599">
        <f t="shared" si="28"/>
        <v>66370600000</v>
      </c>
      <c r="G288" s="130"/>
      <c r="H288" s="114"/>
      <c r="I288" s="70"/>
      <c r="J288" s="1"/>
    </row>
    <row r="289" spans="1:10" s="123" customFormat="1" x14ac:dyDescent="0.6">
      <c r="A289" s="599" t="s">
        <v>1295</v>
      </c>
      <c r="B289" s="694">
        <v>126667972</v>
      </c>
      <c r="C289" s="694"/>
      <c r="D289" s="599"/>
      <c r="E289" s="599"/>
      <c r="F289" s="599">
        <f t="shared" si="28"/>
        <v>126667972</v>
      </c>
      <c r="G289" s="130"/>
      <c r="H289" s="114"/>
      <c r="I289" s="70"/>
      <c r="J289" s="1"/>
    </row>
    <row r="290" spans="1:10" s="123" customFormat="1" x14ac:dyDescent="0.6">
      <c r="A290" s="599" t="s">
        <v>1598</v>
      </c>
      <c r="B290" s="694">
        <v>914000000</v>
      </c>
      <c r="C290" s="694"/>
      <c r="D290" s="599"/>
      <c r="E290" s="599"/>
      <c r="F290" s="599">
        <f t="shared" si="28"/>
        <v>914000000</v>
      </c>
      <c r="G290" s="130"/>
      <c r="H290" s="114"/>
      <c r="I290" s="70"/>
      <c r="J290" s="1"/>
    </row>
    <row r="291" spans="1:10" s="123" customFormat="1" x14ac:dyDescent="0.6">
      <c r="A291" s="599" t="s">
        <v>1297</v>
      </c>
      <c r="B291" s="694">
        <v>1263301912</v>
      </c>
      <c r="C291" s="694"/>
      <c r="D291" s="599"/>
      <c r="E291" s="599"/>
      <c r="F291" s="599">
        <f t="shared" si="28"/>
        <v>1263301912</v>
      </c>
      <c r="G291" s="130"/>
      <c r="H291" s="114"/>
      <c r="I291" s="70"/>
      <c r="J291" s="1"/>
    </row>
    <row r="292" spans="1:10" s="123" customFormat="1" x14ac:dyDescent="0.6">
      <c r="A292" s="599" t="s">
        <v>1308</v>
      </c>
      <c r="B292" s="694">
        <v>30569200000</v>
      </c>
      <c r="C292" s="694"/>
      <c r="D292" s="599"/>
      <c r="E292" s="599"/>
      <c r="F292" s="599">
        <f t="shared" si="28"/>
        <v>30569200000</v>
      </c>
      <c r="G292" s="130"/>
      <c r="H292" s="114"/>
      <c r="I292" s="70"/>
      <c r="J292" s="1"/>
    </row>
    <row r="293" spans="1:10" s="123" customFormat="1" x14ac:dyDescent="0.6">
      <c r="A293" s="599" t="s">
        <v>1599</v>
      </c>
      <c r="B293" s="694">
        <v>1955000000</v>
      </c>
      <c r="C293" s="694"/>
      <c r="D293" s="599"/>
      <c r="E293" s="599"/>
      <c r="F293" s="599">
        <f t="shared" si="28"/>
        <v>1955000000</v>
      </c>
      <c r="G293" s="130"/>
      <c r="H293" s="114"/>
      <c r="I293" s="70"/>
      <c r="J293" s="1"/>
    </row>
    <row r="294" spans="1:10" s="123" customFormat="1" x14ac:dyDescent="0.6">
      <c r="A294" s="599" t="s">
        <v>1314</v>
      </c>
      <c r="B294" s="694">
        <v>1169665380</v>
      </c>
      <c r="C294" s="694"/>
      <c r="D294" s="599"/>
      <c r="E294" s="599"/>
      <c r="F294" s="599">
        <f t="shared" si="28"/>
        <v>1169665380</v>
      </c>
      <c r="G294" s="130"/>
      <c r="H294" s="114"/>
      <c r="I294" s="70"/>
      <c r="J294" s="1"/>
    </row>
    <row r="295" spans="1:10" s="85" customFormat="1" ht="15.9" thickBot="1" x14ac:dyDescent="0.65">
      <c r="A295" s="99" t="s">
        <v>1229</v>
      </c>
      <c r="B295" s="694">
        <v>15676200000</v>
      </c>
      <c r="C295" s="694"/>
      <c r="D295" s="99"/>
      <c r="E295" s="99"/>
      <c r="F295" s="698">
        <f t="shared" si="28"/>
        <v>15676200000</v>
      </c>
      <c r="G295" s="136"/>
      <c r="H295" s="114"/>
      <c r="I295" s="70"/>
      <c r="J295" s="1"/>
    </row>
    <row r="296" spans="1:10" s="764" customFormat="1" ht="15.9" thickTop="1" x14ac:dyDescent="0.6">
      <c r="A296" s="1091" t="s">
        <v>47</v>
      </c>
      <c r="B296" s="732">
        <f t="shared" ref="B296:G296" si="29">B297</f>
        <v>25447900000</v>
      </c>
      <c r="C296" s="732"/>
      <c r="D296" s="732">
        <f t="shared" si="29"/>
        <v>0</v>
      </c>
      <c r="E296" s="732"/>
      <c r="F296" s="732">
        <f t="shared" si="29"/>
        <v>25447900000</v>
      </c>
      <c r="G296" s="733">
        <f t="shared" si="29"/>
        <v>0</v>
      </c>
      <c r="H296" s="114"/>
      <c r="I296" s="70"/>
      <c r="J296" s="1"/>
    </row>
    <row r="297" spans="1:10" s="642" customFormat="1" ht="15.9" thickBot="1" x14ac:dyDescent="0.65">
      <c r="A297" s="625" t="s">
        <v>1600</v>
      </c>
      <c r="B297" s="625">
        <v>25447900000</v>
      </c>
      <c r="C297" s="18"/>
      <c r="D297" s="625"/>
      <c r="E297" s="625"/>
      <c r="F297" s="625">
        <f>B297</f>
        <v>25447900000</v>
      </c>
      <c r="G297" s="626"/>
      <c r="H297" s="114"/>
      <c r="I297" s="70"/>
      <c r="J297" s="1"/>
    </row>
    <row r="298" spans="1:10" s="192" customFormat="1" ht="15.9" thickTop="1" x14ac:dyDescent="0.6">
      <c r="A298" s="78" t="s">
        <v>32</v>
      </c>
      <c r="B298" s="721">
        <f>SUM(B299:B329)</f>
        <v>130216049</v>
      </c>
      <c r="C298" s="721">
        <f t="shared" ref="C298:G298" si="30">SUM(C299:C329)</f>
        <v>12584551</v>
      </c>
      <c r="D298" s="721">
        <f t="shared" si="30"/>
        <v>110603105</v>
      </c>
      <c r="E298" s="721">
        <f t="shared" si="30"/>
        <v>0</v>
      </c>
      <c r="F298" s="721">
        <f t="shared" si="30"/>
        <v>7028393</v>
      </c>
      <c r="G298" s="722">
        <f t="shared" si="30"/>
        <v>0</v>
      </c>
      <c r="H298" s="114"/>
      <c r="I298" s="70"/>
      <c r="J298" s="1"/>
    </row>
    <row r="299" spans="1:10" s="85" customFormat="1" x14ac:dyDescent="0.6">
      <c r="A299" s="85" t="s">
        <v>472</v>
      </c>
      <c r="B299" s="1477">
        <v>229257</v>
      </c>
      <c r="C299" s="1477"/>
      <c r="D299" s="1477"/>
      <c r="E299" s="1477"/>
      <c r="F299" s="1477">
        <f>B299</f>
        <v>229257</v>
      </c>
      <c r="G299" s="250"/>
      <c r="H299" s="114"/>
      <c r="I299" s="70"/>
      <c r="J299" s="1"/>
    </row>
    <row r="300" spans="1:10" s="85" customFormat="1" x14ac:dyDescent="0.6">
      <c r="A300" s="85" t="s">
        <v>256</v>
      </c>
      <c r="B300" s="1477">
        <v>12584551</v>
      </c>
      <c r="C300" s="1477">
        <f>B300</f>
        <v>12584551</v>
      </c>
      <c r="D300" s="1477"/>
      <c r="E300" s="1477"/>
      <c r="F300" s="1477"/>
      <c r="G300" s="250"/>
      <c r="H300" s="114"/>
      <c r="I300" s="70"/>
      <c r="J300" s="1"/>
    </row>
    <row r="301" spans="1:10" s="85" customFormat="1" x14ac:dyDescent="0.6">
      <c r="A301" s="85" t="s">
        <v>1611</v>
      </c>
      <c r="B301" s="18" t="s">
        <v>804</v>
      </c>
      <c r="C301" s="1477"/>
      <c r="D301" s="1477"/>
      <c r="E301" s="1477"/>
      <c r="F301" s="1477"/>
      <c r="G301" s="250"/>
      <c r="H301" s="114"/>
      <c r="I301" s="70"/>
      <c r="J301" s="1"/>
    </row>
    <row r="302" spans="1:10" s="85" customFormat="1" x14ac:dyDescent="0.6">
      <c r="A302" s="85" t="s">
        <v>1612</v>
      </c>
      <c r="B302" s="18" t="s">
        <v>804</v>
      </c>
      <c r="C302" s="1477"/>
      <c r="D302" s="1477"/>
      <c r="E302" s="1477"/>
      <c r="F302" s="1477"/>
      <c r="G302" s="250"/>
      <c r="H302" s="114"/>
      <c r="I302" s="70"/>
      <c r="J302" s="1"/>
    </row>
    <row r="303" spans="1:10" s="85" customFormat="1" x14ac:dyDescent="0.6">
      <c r="A303" s="85" t="s">
        <v>1613</v>
      </c>
      <c r="B303" s="18" t="s">
        <v>804</v>
      </c>
      <c r="C303" s="1477"/>
      <c r="D303" s="1477"/>
      <c r="E303" s="1477"/>
      <c r="F303" s="1477"/>
      <c r="G303" s="250"/>
      <c r="H303" s="114"/>
      <c r="I303" s="70"/>
      <c r="J303" s="1"/>
    </row>
    <row r="304" spans="1:10" s="85" customFormat="1" x14ac:dyDescent="0.6">
      <c r="A304" s="85" t="s">
        <v>1614</v>
      </c>
      <c r="B304" s="18" t="s">
        <v>804</v>
      </c>
      <c r="C304" s="1477"/>
      <c r="D304" s="1477"/>
      <c r="E304" s="1477"/>
      <c r="F304" s="1477"/>
      <c r="G304" s="250"/>
      <c r="H304" s="114"/>
      <c r="I304" s="70"/>
      <c r="J304" s="1"/>
    </row>
    <row r="305" spans="1:10" s="85" customFormat="1" x14ac:dyDescent="0.6">
      <c r="A305" s="85" t="s">
        <v>473</v>
      </c>
      <c r="B305" s="18" t="s">
        <v>804</v>
      </c>
      <c r="C305" s="1477"/>
      <c r="D305" s="1477"/>
      <c r="E305" s="1477"/>
      <c r="F305" s="1477"/>
      <c r="G305" s="250"/>
      <c r="H305" s="114"/>
      <c r="I305" s="70"/>
      <c r="J305" s="1"/>
    </row>
    <row r="306" spans="1:10" s="85" customFormat="1" x14ac:dyDescent="0.6">
      <c r="A306" s="85" t="s">
        <v>474</v>
      </c>
      <c r="B306" s="18" t="s">
        <v>804</v>
      </c>
      <c r="C306" s="1477"/>
      <c r="D306" s="1477"/>
      <c r="E306" s="1477"/>
      <c r="F306" s="1477"/>
      <c r="G306" s="250"/>
      <c r="H306" s="114"/>
      <c r="I306" s="70"/>
      <c r="J306" s="1"/>
    </row>
    <row r="307" spans="1:10" x14ac:dyDescent="0.6">
      <c r="A307" s="85" t="s">
        <v>1601</v>
      </c>
      <c r="B307" s="18" t="s">
        <v>804</v>
      </c>
      <c r="C307" s="109"/>
      <c r="F307" s="106"/>
      <c r="G307" s="111"/>
    </row>
    <row r="308" spans="1:10" x14ac:dyDescent="0.6">
      <c r="A308" s="85" t="s">
        <v>525</v>
      </c>
      <c r="B308" s="1462">
        <v>2200000</v>
      </c>
      <c r="C308" s="109"/>
      <c r="D308" s="17">
        <f>B308</f>
        <v>2200000</v>
      </c>
      <c r="F308" s="106"/>
      <c r="G308" s="111"/>
    </row>
    <row r="309" spans="1:10" x14ac:dyDescent="0.6">
      <c r="A309" s="85" t="s">
        <v>526</v>
      </c>
      <c r="B309" s="1462">
        <v>2234537</v>
      </c>
      <c r="C309" s="109"/>
      <c r="D309" s="17">
        <f>B309</f>
        <v>2234537</v>
      </c>
      <c r="F309" s="106"/>
      <c r="G309" s="111"/>
    </row>
    <row r="310" spans="1:10" x14ac:dyDescent="0.6">
      <c r="A310" s="85" t="s">
        <v>1316</v>
      </c>
      <c r="B310" s="18" t="s">
        <v>804</v>
      </c>
      <c r="C310" s="109"/>
      <c r="F310" s="106"/>
      <c r="G310" s="111"/>
    </row>
    <row r="311" spans="1:10" x14ac:dyDescent="0.6">
      <c r="A311" s="85" t="s">
        <v>470</v>
      </c>
      <c r="B311" s="1462">
        <v>774645</v>
      </c>
      <c r="C311" s="109"/>
      <c r="F311" s="106">
        <f>B311</f>
        <v>774645</v>
      </c>
      <c r="G311" s="111"/>
    </row>
    <row r="312" spans="1:10" x14ac:dyDescent="0.6">
      <c r="A312" s="85" t="s">
        <v>1317</v>
      </c>
      <c r="B312" s="1462">
        <v>2375895</v>
      </c>
      <c r="C312" s="109"/>
      <c r="F312" s="106">
        <f>B312</f>
        <v>2375895</v>
      </c>
      <c r="G312" s="111"/>
    </row>
    <row r="313" spans="1:10" x14ac:dyDescent="0.6">
      <c r="A313" s="85" t="s">
        <v>1318</v>
      </c>
      <c r="B313" s="18" t="s">
        <v>804</v>
      </c>
      <c r="C313" s="109"/>
      <c r="F313" s="106"/>
      <c r="G313" s="111"/>
    </row>
    <row r="314" spans="1:10" x14ac:dyDescent="0.6">
      <c r="A314" s="85" t="s">
        <v>1319</v>
      </c>
      <c r="B314" s="18" t="s">
        <v>804</v>
      </c>
      <c r="C314" s="109"/>
      <c r="F314" s="106"/>
      <c r="G314" s="111"/>
    </row>
    <row r="315" spans="1:10" x14ac:dyDescent="0.6">
      <c r="A315" s="85" t="s">
        <v>527</v>
      </c>
      <c r="B315" s="1462">
        <v>4790035</v>
      </c>
      <c r="C315" s="109"/>
      <c r="D315" s="17">
        <f>B315</f>
        <v>4790035</v>
      </c>
      <c r="F315" s="106"/>
      <c r="G315" s="111"/>
    </row>
    <row r="316" spans="1:10" x14ac:dyDescent="0.6">
      <c r="A316" s="85" t="s">
        <v>1602</v>
      </c>
      <c r="B316" s="18" t="s">
        <v>804</v>
      </c>
      <c r="C316" s="109"/>
      <c r="F316" s="106"/>
      <c r="G316" s="111"/>
    </row>
    <row r="317" spans="1:10" x14ac:dyDescent="0.6">
      <c r="A317" s="85" t="s">
        <v>471</v>
      </c>
      <c r="B317" s="1462">
        <v>3097765</v>
      </c>
      <c r="C317" s="109"/>
      <c r="F317" s="106">
        <f>B317</f>
        <v>3097765</v>
      </c>
      <c r="G317" s="111"/>
    </row>
    <row r="318" spans="1:10" x14ac:dyDescent="0.6">
      <c r="A318" s="85" t="s">
        <v>1603</v>
      </c>
      <c r="B318" s="18" t="s">
        <v>804</v>
      </c>
      <c r="C318" s="109"/>
      <c r="F318" s="106"/>
      <c r="G318" s="111"/>
    </row>
    <row r="319" spans="1:10" x14ac:dyDescent="0.6">
      <c r="A319" s="85" t="s">
        <v>528</v>
      </c>
      <c r="B319" s="18" t="s">
        <v>804</v>
      </c>
      <c r="C319" s="109"/>
      <c r="F319" s="106"/>
      <c r="G319" s="111"/>
    </row>
    <row r="320" spans="1:10" x14ac:dyDescent="0.6">
      <c r="A320" s="85" t="s">
        <v>1604</v>
      </c>
      <c r="B320" s="1462">
        <v>16250000</v>
      </c>
      <c r="C320" s="109"/>
      <c r="D320" s="17">
        <f>B320</f>
        <v>16250000</v>
      </c>
      <c r="F320" s="106"/>
      <c r="G320" s="111"/>
    </row>
    <row r="321" spans="1:10" x14ac:dyDescent="0.6">
      <c r="A321" s="85" t="s">
        <v>1320</v>
      </c>
      <c r="B321" s="18" t="s">
        <v>804</v>
      </c>
      <c r="C321" s="109"/>
      <c r="F321" s="106"/>
      <c r="G321" s="111"/>
    </row>
    <row r="322" spans="1:10" x14ac:dyDescent="0.6">
      <c r="A322" s="85" t="s">
        <v>1605</v>
      </c>
      <c r="B322" s="1462">
        <v>14812243</v>
      </c>
      <c r="C322" s="109"/>
      <c r="D322" s="17">
        <f>B322</f>
        <v>14812243</v>
      </c>
      <c r="F322" s="106"/>
      <c r="G322" s="111"/>
    </row>
    <row r="323" spans="1:10" x14ac:dyDescent="0.6">
      <c r="A323" s="85" t="s">
        <v>1606</v>
      </c>
      <c r="B323" s="1462">
        <v>321042</v>
      </c>
      <c r="C323" s="109"/>
      <c r="F323" s="106">
        <f>B323</f>
        <v>321042</v>
      </c>
      <c r="G323" s="111"/>
    </row>
    <row r="324" spans="1:10" x14ac:dyDescent="0.6">
      <c r="A324" s="85" t="s">
        <v>1321</v>
      </c>
      <c r="B324" s="18" t="s">
        <v>804</v>
      </c>
      <c r="C324" s="109"/>
      <c r="F324" s="106"/>
      <c r="G324" s="111"/>
    </row>
    <row r="325" spans="1:10" x14ac:dyDescent="0.6">
      <c r="A325" s="85" t="s">
        <v>1607</v>
      </c>
      <c r="B325" s="1462">
        <v>229789</v>
      </c>
      <c r="C325" s="18"/>
      <c r="F325" s="106">
        <f>B325</f>
        <v>229789</v>
      </c>
      <c r="G325" s="111"/>
    </row>
    <row r="326" spans="1:10" x14ac:dyDescent="0.6">
      <c r="A326" s="85" t="s">
        <v>1608</v>
      </c>
      <c r="B326" s="1462">
        <v>4825172</v>
      </c>
      <c r="C326" s="109"/>
      <c r="D326" s="17">
        <f>B326</f>
        <v>4825172</v>
      </c>
      <c r="F326" s="106"/>
      <c r="G326" s="111"/>
    </row>
    <row r="327" spans="1:10" x14ac:dyDescent="0.6">
      <c r="A327" s="85" t="s">
        <v>1130</v>
      </c>
      <c r="B327" s="1462">
        <v>46060</v>
      </c>
      <c r="C327" s="109"/>
      <c r="D327" s="17">
        <f>B327</f>
        <v>46060</v>
      </c>
      <c r="F327" s="106"/>
      <c r="G327" s="111"/>
    </row>
    <row r="328" spans="1:10" x14ac:dyDescent="0.6">
      <c r="A328" s="85" t="s">
        <v>1609</v>
      </c>
      <c r="B328" s="1462">
        <v>1907700</v>
      </c>
      <c r="C328" s="18"/>
      <c r="D328" s="17">
        <f>B328</f>
        <v>1907700</v>
      </c>
      <c r="F328" s="106"/>
      <c r="G328" s="111"/>
    </row>
    <row r="329" spans="1:10" ht="15.9" thickBot="1" x14ac:dyDescent="0.65">
      <c r="A329" s="99" t="s">
        <v>1610</v>
      </c>
      <c r="B329" s="1462">
        <v>63537358</v>
      </c>
      <c r="C329" s="18"/>
      <c r="D329" s="101">
        <f>B329</f>
        <v>63537358</v>
      </c>
      <c r="E329" s="101"/>
      <c r="F329" s="101"/>
      <c r="G329" s="163"/>
    </row>
    <row r="330" spans="1:10" s="192" customFormat="1" ht="15.9" thickTop="1" x14ac:dyDescent="0.6">
      <c r="A330" s="78" t="s">
        <v>33</v>
      </c>
      <c r="B330" s="1596"/>
      <c r="C330" s="721"/>
      <c r="D330" s="721">
        <f>SUM(D331:D332)</f>
        <v>0</v>
      </c>
      <c r="E330" s="721"/>
      <c r="F330" s="721">
        <f>SUM(F331:F332)</f>
        <v>0</v>
      </c>
      <c r="G330" s="722">
        <f>SUM(G331:G332)</f>
        <v>0</v>
      </c>
      <c r="H330" s="114"/>
      <c r="I330" s="70"/>
      <c r="J330" s="1"/>
    </row>
    <row r="331" spans="1:10" x14ac:dyDescent="0.6">
      <c r="A331" s="85" t="s">
        <v>477</v>
      </c>
      <c r="B331" s="18" t="s">
        <v>804</v>
      </c>
      <c r="C331" s="18"/>
      <c r="F331" s="106"/>
      <c r="G331" s="111"/>
    </row>
    <row r="332" spans="1:10" ht="15.9" thickBot="1" x14ac:dyDescent="0.65">
      <c r="A332" s="99" t="s">
        <v>529</v>
      </c>
      <c r="B332" s="1597" t="s">
        <v>804</v>
      </c>
      <c r="C332" s="1597"/>
      <c r="D332" s="101"/>
      <c r="E332" s="101"/>
      <c r="F332" s="101"/>
      <c r="G332" s="163"/>
      <c r="H332" s="1593"/>
      <c r="I332" s="108"/>
      <c r="J332" s="16"/>
    </row>
    <row r="333" spans="1:10" s="192" customFormat="1" ht="15.9" thickTop="1" x14ac:dyDescent="0.6">
      <c r="A333" s="78" t="s">
        <v>46</v>
      </c>
      <c r="B333" s="802">
        <f>SUM(B334:B341)</f>
        <v>11207378860</v>
      </c>
      <c r="C333" s="802"/>
      <c r="D333" s="802">
        <f>SUM(D334:D341)</f>
        <v>2097156601</v>
      </c>
      <c r="E333" s="802"/>
      <c r="F333" s="802">
        <f>SUM(F334:F341)</f>
        <v>9110222259</v>
      </c>
      <c r="G333" s="803">
        <f>SUM(G334:G341)</f>
        <v>0</v>
      </c>
      <c r="H333" s="114"/>
    </row>
    <row r="334" spans="1:10" x14ac:dyDescent="0.6">
      <c r="A334" s="85" t="s">
        <v>530</v>
      </c>
      <c r="B334" s="216">
        <v>1700000000</v>
      </c>
      <c r="C334" s="216"/>
      <c r="D334" s="217"/>
      <c r="E334" s="217"/>
      <c r="F334" s="1318">
        <f>B334</f>
        <v>1700000000</v>
      </c>
      <c r="G334" s="168"/>
      <c r="I334" s="1594" t="s">
        <v>78</v>
      </c>
      <c r="J334" s="69"/>
    </row>
    <row r="335" spans="1:10" x14ac:dyDescent="0.6">
      <c r="A335" s="85" t="s">
        <v>531</v>
      </c>
      <c r="B335" s="216">
        <v>1800000000</v>
      </c>
      <c r="C335" s="216"/>
      <c r="D335" s="217"/>
      <c r="E335" s="217"/>
      <c r="F335" s="1318">
        <f>B335</f>
        <v>1800000000</v>
      </c>
      <c r="G335" s="168"/>
      <c r="I335" s="593" t="s">
        <v>42</v>
      </c>
      <c r="J335" s="1">
        <v>25</v>
      </c>
    </row>
    <row r="336" spans="1:10" x14ac:dyDescent="0.6">
      <c r="A336" s="85" t="s">
        <v>1615</v>
      </c>
      <c r="B336" s="18" t="s">
        <v>804</v>
      </c>
      <c r="C336" s="216"/>
      <c r="D336" s="217"/>
      <c r="E336" s="217"/>
      <c r="F336" s="1318"/>
      <c r="G336" s="168"/>
      <c r="H336" s="114" t="s">
        <v>769</v>
      </c>
      <c r="I336" s="593" t="s">
        <v>802</v>
      </c>
      <c r="J336" s="1">
        <f>COUNTIF(B334:B361,"ND")</f>
        <v>10</v>
      </c>
    </row>
    <row r="337" spans="1:10" x14ac:dyDescent="0.6">
      <c r="A337" s="85" t="s">
        <v>799</v>
      </c>
      <c r="B337" s="18" t="s">
        <v>804</v>
      </c>
      <c r="C337" s="18"/>
      <c r="D337" s="217"/>
      <c r="E337" s="217"/>
      <c r="F337" s="1318"/>
      <c r="G337" s="168"/>
      <c r="I337" s="593" t="s">
        <v>1732</v>
      </c>
      <c r="J337" s="1">
        <f>COUNTIF(H334:H361,"x")</f>
        <v>5</v>
      </c>
    </row>
    <row r="338" spans="1:10" x14ac:dyDescent="0.6">
      <c r="A338" s="85" t="s">
        <v>283</v>
      </c>
      <c r="B338" s="216">
        <v>5021968504</v>
      </c>
      <c r="C338" s="216"/>
      <c r="D338" s="217"/>
      <c r="E338" s="217"/>
      <c r="F338" s="1318">
        <f>B338</f>
        <v>5021968504</v>
      </c>
      <c r="G338" s="168"/>
      <c r="H338" s="114" t="s">
        <v>769</v>
      </c>
      <c r="I338" s="593" t="s">
        <v>239</v>
      </c>
    </row>
    <row r="339" spans="1:10" x14ac:dyDescent="0.6">
      <c r="A339" s="85" t="s">
        <v>482</v>
      </c>
      <c r="B339" s="216">
        <v>588253755</v>
      </c>
      <c r="C339" s="216"/>
      <c r="D339" s="217"/>
      <c r="E339" s="217"/>
      <c r="F339" s="1318">
        <f>B339</f>
        <v>588253755</v>
      </c>
      <c r="G339" s="168"/>
    </row>
    <row r="340" spans="1:10" x14ac:dyDescent="0.6">
      <c r="A340" s="85" t="s">
        <v>483</v>
      </c>
      <c r="B340" s="18" t="s">
        <v>804</v>
      </c>
      <c r="C340" s="18"/>
      <c r="D340" s="217"/>
      <c r="E340" s="217"/>
      <c r="F340" s="1318"/>
      <c r="G340" s="168"/>
    </row>
    <row r="341" spans="1:10" ht="15.9" thickBot="1" x14ac:dyDescent="0.65">
      <c r="A341" s="99" t="s">
        <v>532</v>
      </c>
      <c r="B341" s="218">
        <v>2097156601</v>
      </c>
      <c r="C341" s="18"/>
      <c r="D341" s="218">
        <f>B341</f>
        <v>2097156601</v>
      </c>
      <c r="E341" s="218"/>
      <c r="F341" s="218"/>
      <c r="G341" s="169"/>
      <c r="H341" s="114" t="s">
        <v>769</v>
      </c>
    </row>
    <row r="342" spans="1:10" s="192" customFormat="1" ht="15.9" thickTop="1" x14ac:dyDescent="0.6">
      <c r="A342" s="1060" t="s">
        <v>49</v>
      </c>
      <c r="B342" s="1365">
        <f>SUM(B343:B345)</f>
        <v>6763241131</v>
      </c>
      <c r="C342" s="1365">
        <f t="shared" ref="C342:G342" si="31">SUM(C343:C345)</f>
        <v>0</v>
      </c>
      <c r="D342" s="1365">
        <f t="shared" si="31"/>
        <v>0</v>
      </c>
      <c r="E342" s="1365">
        <f t="shared" si="31"/>
        <v>0</v>
      </c>
      <c r="F342" s="1365">
        <f t="shared" si="31"/>
        <v>6763241131</v>
      </c>
      <c r="G342" s="1581">
        <f t="shared" si="31"/>
        <v>0</v>
      </c>
      <c r="H342" s="114"/>
      <c r="I342" s="70"/>
      <c r="J342" s="1"/>
    </row>
    <row r="343" spans="1:10" s="85" customFormat="1" x14ac:dyDescent="0.6">
      <c r="A343" s="599" t="s">
        <v>1616</v>
      </c>
      <c r="B343" s="614" t="s">
        <v>804</v>
      </c>
      <c r="C343" s="614"/>
      <c r="D343" s="611"/>
      <c r="E343" s="611"/>
      <c r="F343" s="611"/>
      <c r="G343" s="612"/>
      <c r="H343" s="114"/>
      <c r="I343" s="70"/>
      <c r="J343" s="1"/>
    </row>
    <row r="344" spans="1:10" s="85" customFormat="1" x14ac:dyDescent="0.6">
      <c r="A344" s="599" t="s">
        <v>1324</v>
      </c>
      <c r="B344" s="1478">
        <v>163241131</v>
      </c>
      <c r="C344" s="614"/>
      <c r="D344" s="611"/>
      <c r="E344" s="611"/>
      <c r="F344" s="611">
        <f>B344</f>
        <v>163241131</v>
      </c>
      <c r="G344" s="612"/>
      <c r="H344" s="114"/>
      <c r="I344" s="70"/>
      <c r="J344" s="1"/>
    </row>
    <row r="345" spans="1:10" ht="15.9" thickBot="1" x14ac:dyDescent="0.65">
      <c r="A345" s="147" t="s">
        <v>800</v>
      </c>
      <c r="B345" s="1479">
        <v>6600000000</v>
      </c>
      <c r="C345" s="628"/>
      <c r="D345" s="629"/>
      <c r="E345" s="629"/>
      <c r="F345" s="629">
        <f>B345</f>
        <v>6600000000</v>
      </c>
      <c r="G345" s="613"/>
    </row>
    <row r="346" spans="1:10" s="192" customFormat="1" ht="15.9" thickTop="1" x14ac:dyDescent="0.6">
      <c r="A346" s="78" t="s">
        <v>50</v>
      </c>
      <c r="B346" s="804">
        <f>SUM(B347:B350)</f>
        <v>7110140760</v>
      </c>
      <c r="C346" s="804">
        <f>SUM(C347:C350)</f>
        <v>0</v>
      </c>
      <c r="D346" s="804">
        <f>SUM(D347:D350)</f>
        <v>0</v>
      </c>
      <c r="E346" s="804">
        <f>SUM(E347:E350)</f>
        <v>0</v>
      </c>
      <c r="F346" s="804">
        <f>SUM(F347:F350)</f>
        <v>7110140760</v>
      </c>
      <c r="G346" s="805">
        <f>SUM(G347:G351)</f>
        <v>0</v>
      </c>
      <c r="H346" s="114"/>
      <c r="I346" s="70"/>
      <c r="J346" s="1"/>
    </row>
    <row r="347" spans="1:10" x14ac:dyDescent="0.6">
      <c r="A347" s="85" t="s">
        <v>496</v>
      </c>
      <c r="B347" s="787">
        <v>1255631521</v>
      </c>
      <c r="C347" s="787"/>
      <c r="D347" s="219"/>
      <c r="E347" s="219"/>
      <c r="F347" s="1578">
        <f>B347</f>
        <v>1255631521</v>
      </c>
      <c r="G347" s="170"/>
    </row>
    <row r="348" spans="1:10" x14ac:dyDescent="0.6">
      <c r="A348" s="85" t="s">
        <v>533</v>
      </c>
      <c r="B348" s="787">
        <v>329249958</v>
      </c>
      <c r="C348" s="787"/>
      <c r="D348" s="219"/>
      <c r="E348" s="219"/>
      <c r="F348" s="1578">
        <f>B348</f>
        <v>329249958</v>
      </c>
      <c r="G348" s="170"/>
      <c r="H348" s="114" t="s">
        <v>769</v>
      </c>
    </row>
    <row r="349" spans="1:10" x14ac:dyDescent="0.6">
      <c r="A349" s="85" t="s">
        <v>259</v>
      </c>
      <c r="B349" s="787">
        <v>5523473241</v>
      </c>
      <c r="C349" s="787"/>
      <c r="D349" s="219"/>
      <c r="E349" s="219"/>
      <c r="F349" s="1578">
        <f>B349</f>
        <v>5523473241</v>
      </c>
      <c r="G349" s="170"/>
      <c r="H349" s="114" t="s">
        <v>769</v>
      </c>
    </row>
    <row r="350" spans="1:10" ht="15.9" thickBot="1" x14ac:dyDescent="0.65">
      <c r="A350" s="99" t="s">
        <v>497</v>
      </c>
      <c r="B350" s="788">
        <v>1786040</v>
      </c>
      <c r="C350" s="788"/>
      <c r="D350" s="220"/>
      <c r="E350" s="220"/>
      <c r="F350" s="220">
        <f>B350</f>
        <v>1786040</v>
      </c>
      <c r="G350" s="171"/>
    </row>
    <row r="351" spans="1:10" s="192" customFormat="1" ht="15.9" thickTop="1" x14ac:dyDescent="0.6">
      <c r="A351" s="78" t="s">
        <v>51</v>
      </c>
      <c r="B351" s="806">
        <f>SUM(B352:B361)</f>
        <v>1203837400</v>
      </c>
      <c r="C351" s="806"/>
      <c r="D351" s="806">
        <f>SUM(D352:D361)</f>
        <v>0</v>
      </c>
      <c r="E351" s="806"/>
      <c r="F351" s="806">
        <f>SUM(F352:F361)</f>
        <v>1203837400</v>
      </c>
      <c r="G351" s="807">
        <f>SUM(G352:G361)</f>
        <v>0</v>
      </c>
      <c r="H351" s="114"/>
      <c r="I351" s="70"/>
      <c r="J351" s="1"/>
    </row>
    <row r="352" spans="1:10" x14ac:dyDescent="0.6">
      <c r="A352" s="85" t="s">
        <v>1325</v>
      </c>
      <c r="B352" s="825">
        <v>309032000</v>
      </c>
      <c r="C352" s="825"/>
      <c r="D352" s="222"/>
      <c r="E352" s="222"/>
      <c r="F352" s="1579">
        <f>B352</f>
        <v>309032000</v>
      </c>
      <c r="G352" s="223"/>
    </row>
    <row r="353" spans="1:7" x14ac:dyDescent="0.6">
      <c r="A353" s="85" t="s">
        <v>490</v>
      </c>
      <c r="B353" s="825">
        <v>1820000</v>
      </c>
      <c r="C353" s="825"/>
      <c r="D353" s="222"/>
      <c r="E353" s="222"/>
      <c r="F353" s="1579">
        <f t="shared" ref="F353:F360" si="32">B353</f>
        <v>1820000</v>
      </c>
      <c r="G353" s="223"/>
    </row>
    <row r="354" spans="1:7" x14ac:dyDescent="0.6">
      <c r="A354" s="85" t="s">
        <v>1326</v>
      </c>
      <c r="B354" s="18" t="s">
        <v>804</v>
      </c>
      <c r="C354" s="825"/>
      <c r="D354" s="222"/>
      <c r="E354" s="222"/>
      <c r="F354" s="1579"/>
      <c r="G354" s="223"/>
    </row>
    <row r="355" spans="1:7" x14ac:dyDescent="0.6">
      <c r="A355" s="85" t="s">
        <v>534</v>
      </c>
      <c r="B355" s="18" t="s">
        <v>804</v>
      </c>
      <c r="C355" s="825"/>
      <c r="D355" s="222"/>
      <c r="E355" s="222"/>
      <c r="F355" s="1579"/>
      <c r="G355" s="223"/>
    </row>
    <row r="356" spans="1:7" x14ac:dyDescent="0.6">
      <c r="A356" s="85" t="s">
        <v>1617</v>
      </c>
      <c r="B356" s="18" t="s">
        <v>804</v>
      </c>
      <c r="C356" s="825"/>
      <c r="D356" s="222"/>
      <c r="E356" s="222"/>
      <c r="F356" s="1579"/>
      <c r="G356" s="223"/>
    </row>
    <row r="357" spans="1:7" x14ac:dyDescent="0.6">
      <c r="A357" s="85" t="s">
        <v>535</v>
      </c>
      <c r="B357" s="18">
        <v>597420000</v>
      </c>
      <c r="C357" s="18"/>
      <c r="D357" s="222"/>
      <c r="E357" s="222"/>
      <c r="F357" s="1579">
        <f t="shared" si="32"/>
        <v>597420000</v>
      </c>
      <c r="G357" s="223"/>
    </row>
    <row r="358" spans="1:7" x14ac:dyDescent="0.6">
      <c r="A358" s="85" t="s">
        <v>1330</v>
      </c>
      <c r="B358" s="18" t="s">
        <v>804</v>
      </c>
      <c r="C358" s="18"/>
      <c r="D358" s="222"/>
      <c r="E358" s="222"/>
      <c r="F358" s="1579"/>
      <c r="G358" s="223"/>
    </row>
    <row r="359" spans="1:7" x14ac:dyDescent="0.6">
      <c r="A359" s="85" t="s">
        <v>494</v>
      </c>
      <c r="B359" s="18" t="s">
        <v>804</v>
      </c>
      <c r="C359" s="18"/>
      <c r="D359" s="222"/>
      <c r="E359" s="222"/>
      <c r="F359" s="1579"/>
      <c r="G359" s="223"/>
    </row>
    <row r="360" spans="1:7" x14ac:dyDescent="0.6">
      <c r="A360" s="85" t="s">
        <v>495</v>
      </c>
      <c r="B360" s="18">
        <v>295565400</v>
      </c>
      <c r="C360" s="18"/>
      <c r="D360" s="222"/>
      <c r="E360" s="222"/>
      <c r="F360" s="1579">
        <f t="shared" si="32"/>
        <v>295565400</v>
      </c>
      <c r="G360" s="223"/>
    </row>
    <row r="361" spans="1:7" ht="15.9" thickBot="1" x14ac:dyDescent="0.65">
      <c r="A361" s="99" t="s">
        <v>782</v>
      </c>
      <c r="B361" s="1480" t="s">
        <v>804</v>
      </c>
      <c r="C361" s="221"/>
      <c r="D361" s="224"/>
      <c r="E361" s="224"/>
      <c r="F361" s="224"/>
      <c r="G361" s="225"/>
    </row>
    <row r="362" spans="1:7" ht="15.9" thickTop="1" x14ac:dyDescent="0.6"/>
    <row r="363" spans="1:7" x14ac:dyDescent="0.6">
      <c r="B363" s="714" t="s">
        <v>1451</v>
      </c>
      <c r="C363" s="13">
        <f>COUNTIF(B3:B361,"=ND")</f>
        <v>138</v>
      </c>
    </row>
    <row r="364" spans="1:7" x14ac:dyDescent="0.6">
      <c r="B364" s="714" t="s">
        <v>1454</v>
      </c>
      <c r="C364" s="13">
        <f>COUNT(B3:B361)</f>
        <v>217</v>
      </c>
    </row>
    <row r="365" spans="1:7" x14ac:dyDescent="0.6">
      <c r="B365" s="714" t="s">
        <v>1452</v>
      </c>
      <c r="C365" s="13">
        <f>COUNTBLANK(B3:B361)</f>
        <v>1</v>
      </c>
    </row>
    <row r="366" spans="1:7" x14ac:dyDescent="0.6">
      <c r="B366" s="714" t="s">
        <v>1453</v>
      </c>
      <c r="C366" s="13"/>
    </row>
    <row r="367" spans="1:7" x14ac:dyDescent="0.6">
      <c r="B367" s="714" t="s">
        <v>42</v>
      </c>
      <c r="C367" s="13">
        <f>SUM(C363:C366)</f>
        <v>356</v>
      </c>
    </row>
    <row r="368" spans="1:7" x14ac:dyDescent="0.6">
      <c r="B368" s="714" t="s">
        <v>1456</v>
      </c>
      <c r="C368" s="13">
        <v>359</v>
      </c>
    </row>
    <row r="369" spans="2:3" x14ac:dyDescent="0.6">
      <c r="B369" s="714"/>
      <c r="C369" s="13"/>
    </row>
    <row r="370" spans="2:3" x14ac:dyDescent="0.6">
      <c r="B370" s="714" t="s">
        <v>1455</v>
      </c>
      <c r="C370" s="13">
        <f>C364-29</f>
        <v>188</v>
      </c>
    </row>
    <row r="371" spans="2:3" x14ac:dyDescent="0.6">
      <c r="B371" s="1" t="s">
        <v>804</v>
      </c>
      <c r="C371" s="13">
        <f>C363</f>
        <v>138</v>
      </c>
    </row>
    <row r="372" spans="2:3" x14ac:dyDescent="0.6">
      <c r="B372" s="1" t="s">
        <v>42</v>
      </c>
      <c r="C372" s="13">
        <f>C371+C370</f>
        <v>326</v>
      </c>
    </row>
    <row r="373" spans="2:3" x14ac:dyDescent="0.6">
      <c r="B373" s="1"/>
      <c r="C373" s="13"/>
    </row>
    <row r="374" spans="2:3" x14ac:dyDescent="0.6">
      <c r="B374" s="1" t="s">
        <v>1456</v>
      </c>
      <c r="C374" s="13">
        <f>C363+C364-29</f>
        <v>326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I227"/>
  <sheetViews>
    <sheetView showGridLines="0" showZeros="0" zoomScale="115" zoomScaleNormal="115" zoomScalePageLayoutView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10.84765625" defaultRowHeight="15.6" x14ac:dyDescent="0.6"/>
  <cols>
    <col min="1" max="1" width="50.84765625" style="1" customWidth="1"/>
    <col min="2" max="5" width="18.5" style="70" customWidth="1"/>
    <col min="6" max="6" width="15" style="70" customWidth="1"/>
    <col min="7" max="7" width="8.09765625" style="114" bestFit="1" customWidth="1"/>
    <col min="8" max="8" width="15" style="70" customWidth="1"/>
    <col min="9" max="16384" width="10.84765625" style="1"/>
  </cols>
  <sheetData>
    <row r="1" spans="1:9" x14ac:dyDescent="0.6">
      <c r="A1" s="78" t="s">
        <v>843</v>
      </c>
      <c r="B1" s="622"/>
      <c r="C1" s="622"/>
      <c r="D1" s="622"/>
      <c r="E1" s="622"/>
    </row>
    <row r="2" spans="1:9" ht="15.9" thickBot="1" x14ac:dyDescent="0.65">
      <c r="A2" s="119"/>
      <c r="B2" s="594" t="s">
        <v>237</v>
      </c>
      <c r="C2" s="594" t="s">
        <v>131</v>
      </c>
      <c r="D2" s="594" t="s">
        <v>196</v>
      </c>
      <c r="E2" s="594" t="s">
        <v>238</v>
      </c>
      <c r="F2" s="623" t="s">
        <v>239</v>
      </c>
      <c r="G2" s="838" t="s">
        <v>1731</v>
      </c>
      <c r="H2" s="1477"/>
    </row>
    <row r="3" spans="1:9" s="192" customFormat="1" ht="15.9" thickTop="1" x14ac:dyDescent="0.6">
      <c r="A3" s="1371" t="s">
        <v>37</v>
      </c>
      <c r="B3" s="721">
        <f>SUM(B4:B13)</f>
        <v>1622144317</v>
      </c>
      <c r="C3" s="721">
        <f>SUM(C4:C13)</f>
        <v>151121418</v>
      </c>
      <c r="D3" s="721">
        <f>SUM(D4:D13)</f>
        <v>168309308.5</v>
      </c>
      <c r="E3" s="722">
        <f>SUM(E4:E13)</f>
        <v>0</v>
      </c>
      <c r="F3" s="1614">
        <f>SUM(F4:F13)</f>
        <v>1302713590.5</v>
      </c>
      <c r="G3" s="838"/>
      <c r="H3" s="1564"/>
      <c r="I3" s="1"/>
    </row>
    <row r="4" spans="1:9" x14ac:dyDescent="0.6">
      <c r="A4" s="1" t="s">
        <v>240</v>
      </c>
      <c r="B4" s="809">
        <v>1121418</v>
      </c>
      <c r="C4" s="593">
        <f>B4</f>
        <v>1121418</v>
      </c>
      <c r="D4" s="593"/>
      <c r="E4" s="607"/>
      <c r="F4" s="1008"/>
      <c r="G4" s="838"/>
      <c r="H4" s="1594" t="s">
        <v>37</v>
      </c>
    </row>
    <row r="5" spans="1:9" x14ac:dyDescent="0.6">
      <c r="A5" s="1" t="s">
        <v>1685</v>
      </c>
      <c r="B5" s="810">
        <v>150000000</v>
      </c>
      <c r="C5" s="593">
        <f>B5</f>
        <v>150000000</v>
      </c>
      <c r="D5" s="593"/>
      <c r="E5" s="607"/>
      <c r="F5" s="1008"/>
      <c r="G5" s="838"/>
      <c r="H5" s="593" t="s">
        <v>42</v>
      </c>
      <c r="I5" s="1">
        <f>13-3</f>
        <v>10</v>
      </c>
    </row>
    <row r="6" spans="1:9" x14ac:dyDescent="0.6">
      <c r="A6" s="1" t="s">
        <v>1686</v>
      </c>
      <c r="B6" s="810">
        <v>38500000</v>
      </c>
      <c r="C6" s="593"/>
      <c r="D6" s="593"/>
      <c r="E6" s="607"/>
      <c r="F6" s="1008">
        <f>B6</f>
        <v>38500000</v>
      </c>
      <c r="G6" s="838" t="s">
        <v>769</v>
      </c>
      <c r="H6" s="593" t="s">
        <v>802</v>
      </c>
      <c r="I6" s="1">
        <f>COUNTIF(B4:B13,"ND")</f>
        <v>4</v>
      </c>
    </row>
    <row r="7" spans="1:9" x14ac:dyDescent="0.6">
      <c r="A7" s="1" t="s">
        <v>1687</v>
      </c>
      <c r="B7" s="810">
        <v>679904282</v>
      </c>
      <c r="C7" s="593"/>
      <c r="D7" s="593"/>
      <c r="E7" s="607"/>
      <c r="F7" s="1008">
        <f>B7</f>
        <v>679904282</v>
      </c>
      <c r="G7" s="838" t="s">
        <v>769</v>
      </c>
      <c r="H7" s="593" t="s">
        <v>1732</v>
      </c>
      <c r="I7" s="1">
        <f>COUNTIF(G4:G13,"x")</f>
        <v>7</v>
      </c>
    </row>
    <row r="8" spans="1:9" x14ac:dyDescent="0.6">
      <c r="A8" s="1" t="s">
        <v>1688</v>
      </c>
      <c r="B8" s="811" t="s">
        <v>804</v>
      </c>
      <c r="C8" s="593"/>
      <c r="D8" s="593"/>
      <c r="E8" s="607"/>
      <c r="F8" s="1008"/>
      <c r="G8" s="838"/>
      <c r="H8" s="593" t="s">
        <v>239</v>
      </c>
      <c r="I8" s="1">
        <f>COUNT(F4:F13)</f>
        <v>4</v>
      </c>
    </row>
    <row r="9" spans="1:9" x14ac:dyDescent="0.6">
      <c r="A9" s="1" t="s">
        <v>1689</v>
      </c>
      <c r="B9" s="1398">
        <v>336618617</v>
      </c>
      <c r="C9" s="838"/>
      <c r="D9" s="1477">
        <f>B9/2</f>
        <v>168309308.5</v>
      </c>
      <c r="E9" s="251"/>
      <c r="F9" s="1008">
        <f>D9</f>
        <v>168309308.5</v>
      </c>
      <c r="G9" s="838" t="s">
        <v>769</v>
      </c>
      <c r="H9" s="593"/>
    </row>
    <row r="10" spans="1:9" x14ac:dyDescent="0.6">
      <c r="A10" s="1" t="s">
        <v>1690</v>
      </c>
      <c r="B10" s="811" t="s">
        <v>804</v>
      </c>
      <c r="C10" s="838"/>
      <c r="D10" s="838"/>
      <c r="E10" s="251"/>
      <c r="F10" s="1008"/>
      <c r="G10" s="838" t="s">
        <v>769</v>
      </c>
      <c r="H10" s="593"/>
    </row>
    <row r="11" spans="1:9" x14ac:dyDescent="0.6">
      <c r="A11" s="1" t="s">
        <v>1691</v>
      </c>
      <c r="B11" s="811" t="s">
        <v>804</v>
      </c>
      <c r="C11" s="838"/>
      <c r="D11" s="838"/>
      <c r="E11" s="251"/>
      <c r="F11" s="1008"/>
      <c r="G11" s="838" t="s">
        <v>769</v>
      </c>
      <c r="H11" s="593"/>
    </row>
    <row r="12" spans="1:9" x14ac:dyDescent="0.6">
      <c r="A12" s="1" t="s">
        <v>1692</v>
      </c>
      <c r="B12" s="811" t="s">
        <v>804</v>
      </c>
      <c r="C12" s="838"/>
      <c r="D12" s="838"/>
      <c r="E12" s="251"/>
      <c r="F12" s="1008"/>
      <c r="G12" s="838" t="s">
        <v>769</v>
      </c>
      <c r="H12" s="593"/>
    </row>
    <row r="13" spans="1:9" ht="15.9" thickBot="1" x14ac:dyDescent="0.65">
      <c r="A13" s="16" t="s">
        <v>965</v>
      </c>
      <c r="B13" s="594">
        <v>416000000</v>
      </c>
      <c r="C13" s="594"/>
      <c r="D13" s="594"/>
      <c r="E13" s="651"/>
      <c r="F13" s="1615">
        <f>B13</f>
        <v>416000000</v>
      </c>
      <c r="G13" s="1593" t="s">
        <v>769</v>
      </c>
      <c r="H13" s="108"/>
      <c r="I13" s="16"/>
    </row>
    <row r="14" spans="1:9" s="748" customFormat="1" ht="15.9" thickTop="1" x14ac:dyDescent="0.6">
      <c r="A14" s="1060" t="s">
        <v>0</v>
      </c>
      <c r="B14" s="723">
        <f>SUM(B15:B18)</f>
        <v>71769668</v>
      </c>
      <c r="C14" s="723">
        <f>SUM(C15:C18)</f>
        <v>71769668</v>
      </c>
      <c r="D14" s="723">
        <f t="shared" ref="D14:F14" si="0">SUM(D15:D18)</f>
        <v>0</v>
      </c>
      <c r="E14" s="724">
        <f t="shared" si="0"/>
        <v>0</v>
      </c>
      <c r="F14" s="1616">
        <f t="shared" si="0"/>
        <v>0</v>
      </c>
      <c r="G14" s="838"/>
      <c r="H14" s="593"/>
      <c r="I14" s="1"/>
    </row>
    <row r="15" spans="1:9" s="123" customFormat="1" x14ac:dyDescent="0.6">
      <c r="A15" s="599" t="s">
        <v>1569</v>
      </c>
      <c r="B15" s="599">
        <v>46142670</v>
      </c>
      <c r="C15" s="599">
        <f>B15</f>
        <v>46142670</v>
      </c>
      <c r="D15" s="599"/>
      <c r="E15" s="130"/>
      <c r="F15" s="1617"/>
      <c r="G15" s="838"/>
      <c r="H15" s="1594" t="s">
        <v>1739</v>
      </c>
      <c r="I15" s="69"/>
    </row>
    <row r="16" spans="1:9" s="123" customFormat="1" x14ac:dyDescent="0.6">
      <c r="A16" s="599" t="s">
        <v>1570</v>
      </c>
      <c r="B16" s="599">
        <v>25626998</v>
      </c>
      <c r="C16" s="599">
        <f>B16</f>
        <v>25626998</v>
      </c>
      <c r="D16" s="599"/>
      <c r="E16" s="130"/>
      <c r="F16" s="1617"/>
      <c r="G16" s="838"/>
      <c r="H16" s="593" t="s">
        <v>42</v>
      </c>
      <c r="I16" s="13">
        <v>56</v>
      </c>
    </row>
    <row r="17" spans="1:9" s="123" customFormat="1" x14ac:dyDescent="0.6">
      <c r="A17" s="599" t="s">
        <v>1693</v>
      </c>
      <c r="B17" s="686" t="s">
        <v>804</v>
      </c>
      <c r="C17" s="599"/>
      <c r="D17" s="599"/>
      <c r="E17" s="130"/>
      <c r="F17" s="1617"/>
      <c r="G17" s="838"/>
      <c r="H17" s="593" t="s">
        <v>802</v>
      </c>
      <c r="I17" s="13">
        <f>COUNTIF(B14:B114,"ND")</f>
        <v>12</v>
      </c>
    </row>
    <row r="18" spans="1:9" s="123" customFormat="1" ht="15.9" thickBot="1" x14ac:dyDescent="0.65">
      <c r="A18" s="124" t="s">
        <v>704</v>
      </c>
      <c r="B18" s="598" t="s">
        <v>804</v>
      </c>
      <c r="C18" s="598"/>
      <c r="D18" s="598"/>
      <c r="E18" s="1561"/>
      <c r="F18" s="1618"/>
      <c r="G18" s="838" t="s">
        <v>769</v>
      </c>
      <c r="H18" s="593" t="s">
        <v>1732</v>
      </c>
      <c r="I18" s="13">
        <f>COUNTIF(G14:G112,"x")</f>
        <v>17</v>
      </c>
    </row>
    <row r="19" spans="1:9" s="748" customFormat="1" ht="15.9" thickTop="1" x14ac:dyDescent="0.6">
      <c r="A19" s="1060" t="s">
        <v>1</v>
      </c>
      <c r="B19" s="744"/>
      <c r="C19" s="744"/>
      <c r="D19" s="744"/>
      <c r="E19" s="745"/>
      <c r="F19" s="1619"/>
      <c r="G19" s="838"/>
      <c r="H19" s="593" t="s">
        <v>239</v>
      </c>
      <c r="I19" s="13"/>
    </row>
    <row r="20" spans="1:9" s="123" customFormat="1" ht="15.9" thickBot="1" x14ac:dyDescent="0.65">
      <c r="A20" s="124"/>
      <c r="B20" s="125"/>
      <c r="C20" s="125"/>
      <c r="D20" s="125"/>
      <c r="E20" s="132"/>
      <c r="F20" s="1620"/>
      <c r="G20" s="838"/>
      <c r="H20" s="593"/>
      <c r="I20" s="1"/>
    </row>
    <row r="21" spans="1:9" s="748" customFormat="1" ht="15.9" thickTop="1" x14ac:dyDescent="0.6">
      <c r="A21" s="1060" t="s">
        <v>2</v>
      </c>
      <c r="B21" s="746"/>
      <c r="C21" s="746"/>
      <c r="D21" s="746"/>
      <c r="E21" s="747"/>
      <c r="F21" s="1621"/>
      <c r="G21" s="838"/>
      <c r="H21" s="593"/>
      <c r="I21" s="1"/>
    </row>
    <row r="22" spans="1:9" s="123" customFormat="1" ht="15.9" thickBot="1" x14ac:dyDescent="0.65">
      <c r="A22" s="124"/>
      <c r="B22" s="127"/>
      <c r="C22" s="127"/>
      <c r="D22" s="127"/>
      <c r="E22" s="134"/>
      <c r="F22" s="1622"/>
      <c r="G22" s="838"/>
      <c r="H22" s="593"/>
      <c r="I22" s="1"/>
    </row>
    <row r="23" spans="1:9" s="748" customFormat="1" ht="15.9" thickTop="1" x14ac:dyDescent="0.6">
      <c r="A23" s="1060" t="s">
        <v>3</v>
      </c>
      <c r="B23" s="789"/>
      <c r="C23" s="723"/>
      <c r="D23" s="723"/>
      <c r="E23" s="724"/>
      <c r="F23" s="1616"/>
      <c r="G23" s="838"/>
      <c r="H23" s="593"/>
      <c r="I23" s="1"/>
    </row>
    <row r="24" spans="1:9" s="123" customFormat="1" ht="15.9" thickBot="1" x14ac:dyDescent="0.65">
      <c r="A24" s="124"/>
      <c r="B24" s="124"/>
      <c r="C24" s="124"/>
      <c r="D24" s="124"/>
      <c r="E24" s="131"/>
      <c r="F24" s="1618"/>
      <c r="G24" s="838"/>
      <c r="H24" s="593"/>
      <c r="I24" s="1"/>
    </row>
    <row r="25" spans="1:9" s="748" customFormat="1" ht="15.9" thickTop="1" x14ac:dyDescent="0.6">
      <c r="A25" s="1060" t="s">
        <v>4</v>
      </c>
      <c r="B25" s="789"/>
      <c r="C25" s="723"/>
      <c r="D25" s="723"/>
      <c r="E25" s="724"/>
      <c r="F25" s="1616"/>
      <c r="G25" s="838"/>
      <c r="H25" s="593"/>
      <c r="I25" s="1"/>
    </row>
    <row r="26" spans="1:9" s="123" customFormat="1" ht="15.9" thickBot="1" x14ac:dyDescent="0.65">
      <c r="A26" s="124"/>
      <c r="B26" s="598"/>
      <c r="C26" s="598"/>
      <c r="D26" s="598"/>
      <c r="E26" s="1561"/>
      <c r="F26" s="1618"/>
      <c r="G26" s="838"/>
      <c r="H26" s="593"/>
      <c r="I26" s="1"/>
    </row>
    <row r="27" spans="1:9" s="748" customFormat="1" ht="15.9" thickTop="1" x14ac:dyDescent="0.6">
      <c r="A27" s="1060" t="s">
        <v>5</v>
      </c>
      <c r="B27" s="723">
        <f>SUM(B28:B28)</f>
        <v>48139641</v>
      </c>
      <c r="C27" s="723">
        <f t="shared" ref="C27:F27" si="1">SUM(C28:C28)</f>
        <v>48139641</v>
      </c>
      <c r="D27" s="723">
        <f t="shared" si="1"/>
        <v>0</v>
      </c>
      <c r="E27" s="724">
        <f t="shared" si="1"/>
        <v>0</v>
      </c>
      <c r="F27" s="1616">
        <f t="shared" si="1"/>
        <v>0</v>
      </c>
      <c r="G27" s="838"/>
      <c r="H27" s="593"/>
      <c r="I27" s="1"/>
    </row>
    <row r="28" spans="1:9" s="123" customFormat="1" ht="15.9" thickBot="1" x14ac:dyDescent="0.65">
      <c r="A28" s="124" t="s">
        <v>1694</v>
      </c>
      <c r="B28" s="1079">
        <v>48139641</v>
      </c>
      <c r="C28" s="1079">
        <f>B28</f>
        <v>48139641</v>
      </c>
      <c r="D28" s="598"/>
      <c r="E28" s="1561"/>
      <c r="F28" s="1618"/>
      <c r="G28" s="686"/>
      <c r="H28" s="595"/>
      <c r="I28" s="596"/>
    </row>
    <row r="29" spans="1:9" s="748" customFormat="1" ht="15.9" thickTop="1" x14ac:dyDescent="0.6">
      <c r="A29" s="1060" t="s">
        <v>6</v>
      </c>
      <c r="B29" s="723">
        <f>SUM(B30:B31)</f>
        <v>1006543692</v>
      </c>
      <c r="C29" s="723">
        <f t="shared" ref="C29:F29" si="2">SUM(C30:C31)</f>
        <v>335514564</v>
      </c>
      <c r="D29" s="723">
        <f t="shared" si="2"/>
        <v>335514564</v>
      </c>
      <c r="E29" s="724">
        <f t="shared" si="2"/>
        <v>335514564</v>
      </c>
      <c r="F29" s="1616">
        <f t="shared" si="2"/>
        <v>0</v>
      </c>
      <c r="G29" s="686"/>
      <c r="H29" s="599"/>
      <c r="I29" s="596"/>
    </row>
    <row r="30" spans="1:9" s="123" customFormat="1" x14ac:dyDescent="0.6">
      <c r="A30" s="599" t="s">
        <v>1695</v>
      </c>
      <c r="B30" s="599">
        <v>679576115</v>
      </c>
      <c r="C30" s="599">
        <f>B30/3</f>
        <v>226525371.66666666</v>
      </c>
      <c r="D30" s="599">
        <f>C30</f>
        <v>226525371.66666666</v>
      </c>
      <c r="E30" s="130">
        <f>D30</f>
        <v>226525371.66666666</v>
      </c>
      <c r="F30" s="1617"/>
      <c r="G30" s="686"/>
      <c r="H30" s="595"/>
      <c r="I30" s="596"/>
    </row>
    <row r="31" spans="1:9" s="123" customFormat="1" ht="15.9" thickBot="1" x14ac:dyDescent="0.65">
      <c r="A31" s="124" t="s">
        <v>1696</v>
      </c>
      <c r="B31" s="124">
        <v>326967577</v>
      </c>
      <c r="C31" s="124">
        <f>B31/3</f>
        <v>108989192.33333333</v>
      </c>
      <c r="D31" s="124">
        <f>C31</f>
        <v>108989192.33333333</v>
      </c>
      <c r="E31" s="131">
        <f>D31</f>
        <v>108989192.33333333</v>
      </c>
      <c r="F31" s="1618"/>
      <c r="G31" s="686"/>
      <c r="H31" s="599"/>
      <c r="I31" s="596"/>
    </row>
    <row r="32" spans="1:9" s="748" customFormat="1" ht="15.9" thickTop="1" x14ac:dyDescent="0.6">
      <c r="A32" s="1060" t="s">
        <v>7</v>
      </c>
      <c r="B32" s="789">
        <f>SUM(B33:B38)</f>
        <v>720000</v>
      </c>
      <c r="C32" s="723">
        <f t="shared" ref="C32:F32" si="3">SUM(C33:C38)</f>
        <v>0</v>
      </c>
      <c r="D32" s="723">
        <f t="shared" si="3"/>
        <v>0</v>
      </c>
      <c r="E32" s="724">
        <f t="shared" si="3"/>
        <v>720000</v>
      </c>
      <c r="F32" s="1616">
        <f t="shared" si="3"/>
        <v>0</v>
      </c>
      <c r="G32" s="686"/>
      <c r="H32" s="595"/>
      <c r="I32" s="596"/>
    </row>
    <row r="33" spans="1:9" s="123" customFormat="1" x14ac:dyDescent="0.6">
      <c r="A33" s="599" t="s">
        <v>1697</v>
      </c>
      <c r="B33" s="599">
        <v>420000</v>
      </c>
      <c r="C33" s="599"/>
      <c r="D33" s="599"/>
      <c r="E33" s="130">
        <f>B33</f>
        <v>420000</v>
      </c>
      <c r="F33" s="1617"/>
      <c r="G33" s="686" t="s">
        <v>769</v>
      </c>
      <c r="H33" s="595"/>
      <c r="I33" s="596"/>
    </row>
    <row r="34" spans="1:9" s="123" customFormat="1" x14ac:dyDescent="0.6">
      <c r="A34" s="599" t="s">
        <v>1698</v>
      </c>
      <c r="B34" s="599">
        <v>300000</v>
      </c>
      <c r="C34" s="599"/>
      <c r="D34" s="599"/>
      <c r="E34" s="130">
        <f>B34</f>
        <v>300000</v>
      </c>
      <c r="F34" s="1617"/>
      <c r="G34" s="686" t="s">
        <v>769</v>
      </c>
      <c r="H34" s="599"/>
      <c r="I34" s="596"/>
    </row>
    <row r="35" spans="1:9" s="123" customFormat="1" x14ac:dyDescent="0.6">
      <c r="A35" s="599" t="s">
        <v>1699</v>
      </c>
      <c r="B35" s="686" t="s">
        <v>804</v>
      </c>
      <c r="C35" s="599"/>
      <c r="D35" s="599"/>
      <c r="E35" s="130"/>
      <c r="F35" s="1617"/>
      <c r="G35" s="686" t="s">
        <v>769</v>
      </c>
      <c r="H35" s="595"/>
      <c r="I35" s="596"/>
    </row>
    <row r="36" spans="1:9" s="123" customFormat="1" x14ac:dyDescent="0.6">
      <c r="A36" s="599" t="s">
        <v>1700</v>
      </c>
      <c r="B36" s="686" t="s">
        <v>804</v>
      </c>
      <c r="C36" s="599"/>
      <c r="D36" s="599"/>
      <c r="E36" s="130"/>
      <c r="F36" s="1617"/>
      <c r="G36" s="686" t="s">
        <v>769</v>
      </c>
      <c r="H36" s="599"/>
      <c r="I36" s="596"/>
    </row>
    <row r="37" spans="1:9" s="123" customFormat="1" x14ac:dyDescent="0.6">
      <c r="A37" s="599" t="s">
        <v>1701</v>
      </c>
      <c r="B37" s="686" t="s">
        <v>804</v>
      </c>
      <c r="C37" s="599"/>
      <c r="D37" s="599"/>
      <c r="E37" s="130"/>
      <c r="F37" s="1617"/>
      <c r="G37" s="686" t="s">
        <v>769</v>
      </c>
      <c r="H37" s="595"/>
      <c r="I37" s="596"/>
    </row>
    <row r="38" spans="1:9" s="123" customFormat="1" ht="15.9" thickBot="1" x14ac:dyDescent="0.65">
      <c r="A38" s="124" t="s">
        <v>1702</v>
      </c>
      <c r="B38" s="598" t="s">
        <v>804</v>
      </c>
      <c r="C38" s="124"/>
      <c r="D38" s="124"/>
      <c r="E38" s="131"/>
      <c r="F38" s="1618"/>
      <c r="G38" s="686" t="s">
        <v>769</v>
      </c>
      <c r="H38" s="599"/>
      <c r="I38" s="596"/>
    </row>
    <row r="39" spans="1:9" s="748" customFormat="1" ht="15.9" thickTop="1" x14ac:dyDescent="0.6">
      <c r="A39" s="1060" t="s">
        <v>8</v>
      </c>
      <c r="B39" s="789"/>
      <c r="C39" s="723"/>
      <c r="D39" s="723"/>
      <c r="E39" s="724"/>
      <c r="F39" s="1616"/>
      <c r="G39" s="686"/>
      <c r="H39" s="595"/>
      <c r="I39" s="596"/>
    </row>
    <row r="40" spans="1:9" s="123" customFormat="1" ht="15.9" thickBot="1" x14ac:dyDescent="0.65">
      <c r="A40" s="124" t="s">
        <v>735</v>
      </c>
      <c r="B40" s="598" t="s">
        <v>804</v>
      </c>
      <c r="C40" s="124"/>
      <c r="D40" s="124"/>
      <c r="E40" s="131"/>
      <c r="F40" s="1618"/>
      <c r="G40" s="686" t="s">
        <v>769</v>
      </c>
      <c r="H40" s="595"/>
      <c r="I40" s="596"/>
    </row>
    <row r="41" spans="1:9" s="748" customFormat="1" ht="15.9" thickTop="1" x14ac:dyDescent="0.6">
      <c r="A41" s="1060" t="s">
        <v>9</v>
      </c>
      <c r="B41" s="789">
        <f>SUM(B42:B48)</f>
        <v>1617476386</v>
      </c>
      <c r="C41" s="723">
        <f t="shared" ref="C41:F41" si="4">SUM(C42:C48)</f>
        <v>1258126303</v>
      </c>
      <c r="D41" s="723">
        <f t="shared" si="4"/>
        <v>0</v>
      </c>
      <c r="E41" s="724">
        <f t="shared" si="4"/>
        <v>359350083</v>
      </c>
      <c r="F41" s="1616">
        <f t="shared" si="4"/>
        <v>0</v>
      </c>
      <c r="G41" s="686"/>
      <c r="H41" s="599"/>
      <c r="I41" s="596"/>
    </row>
    <row r="42" spans="1:9" s="123" customFormat="1" x14ac:dyDescent="0.6">
      <c r="A42" s="599" t="s">
        <v>1703</v>
      </c>
      <c r="B42" s="599">
        <v>37078498</v>
      </c>
      <c r="C42" s="599"/>
      <c r="D42" s="599"/>
      <c r="E42" s="130">
        <f>B42</f>
        <v>37078498</v>
      </c>
      <c r="F42" s="1617"/>
      <c r="G42" s="686" t="s">
        <v>769</v>
      </c>
      <c r="H42" s="595"/>
      <c r="I42" s="596"/>
    </row>
    <row r="43" spans="1:9" s="123" customFormat="1" x14ac:dyDescent="0.6">
      <c r="A43" s="599" t="s">
        <v>1704</v>
      </c>
      <c r="B43" s="599">
        <v>2717203</v>
      </c>
      <c r="C43" s="599"/>
      <c r="D43" s="599"/>
      <c r="E43" s="130">
        <f>B43</f>
        <v>2717203</v>
      </c>
      <c r="F43" s="1617"/>
      <c r="G43" s="686" t="s">
        <v>769</v>
      </c>
      <c r="H43" s="595"/>
      <c r="I43" s="596"/>
    </row>
    <row r="44" spans="1:9" s="123" customFormat="1" x14ac:dyDescent="0.6">
      <c r="A44" s="599" t="s">
        <v>1705</v>
      </c>
      <c r="B44" s="599">
        <v>338008718</v>
      </c>
      <c r="C44" s="599">
        <f>B44</f>
        <v>338008718</v>
      </c>
      <c r="D44" s="599"/>
      <c r="E44" s="130"/>
      <c r="F44" s="1617"/>
      <c r="G44" s="686" t="s">
        <v>769</v>
      </c>
      <c r="H44" s="599"/>
      <c r="I44" s="596"/>
    </row>
    <row r="45" spans="1:9" s="123" customFormat="1" x14ac:dyDescent="0.6">
      <c r="A45" s="599" t="s">
        <v>1706</v>
      </c>
      <c r="B45" s="599">
        <v>920117585</v>
      </c>
      <c r="C45" s="599">
        <f>B45</f>
        <v>920117585</v>
      </c>
      <c r="D45" s="599"/>
      <c r="E45" s="130"/>
      <c r="F45" s="1617"/>
      <c r="G45" s="686" t="s">
        <v>769</v>
      </c>
      <c r="H45" s="595"/>
      <c r="I45" s="596"/>
    </row>
    <row r="46" spans="1:9" s="123" customFormat="1" x14ac:dyDescent="0.6">
      <c r="A46" s="599" t="s">
        <v>1109</v>
      </c>
      <c r="B46" s="686" t="s">
        <v>804</v>
      </c>
      <c r="C46" s="599"/>
      <c r="D46" s="599"/>
      <c r="E46" s="130"/>
      <c r="F46" s="1617"/>
      <c r="G46" s="686" t="s">
        <v>769</v>
      </c>
      <c r="H46" s="599"/>
    </row>
    <row r="47" spans="1:9" s="123" customFormat="1" x14ac:dyDescent="0.6">
      <c r="A47" s="599" t="s">
        <v>1707</v>
      </c>
      <c r="B47" s="599">
        <v>283042</v>
      </c>
      <c r="C47" s="599"/>
      <c r="D47" s="599"/>
      <c r="E47" s="130">
        <f>B47</f>
        <v>283042</v>
      </c>
      <c r="F47" s="1617"/>
      <c r="G47" s="686" t="s">
        <v>769</v>
      </c>
      <c r="H47" s="599"/>
    </row>
    <row r="48" spans="1:9" s="123" customFormat="1" ht="15.9" thickBot="1" x14ac:dyDescent="0.65">
      <c r="A48" s="124" t="s">
        <v>1696</v>
      </c>
      <c r="B48" s="124">
        <v>319271340</v>
      </c>
      <c r="C48" s="124"/>
      <c r="D48" s="124"/>
      <c r="E48" s="131">
        <f>B48</f>
        <v>319271340</v>
      </c>
      <c r="F48" s="1618"/>
      <c r="G48" s="686"/>
      <c r="H48" s="599"/>
    </row>
    <row r="49" spans="1:9" s="748" customFormat="1" ht="15.9" thickTop="1" x14ac:dyDescent="0.6">
      <c r="A49" s="1060" t="s">
        <v>10</v>
      </c>
      <c r="B49" s="789"/>
      <c r="C49" s="723"/>
      <c r="D49" s="723"/>
      <c r="E49" s="724"/>
      <c r="F49" s="1616"/>
      <c r="G49" s="686"/>
      <c r="H49" s="599"/>
      <c r="I49" s="123"/>
    </row>
    <row r="50" spans="1:9" s="123" customFormat="1" ht="15.9" thickBot="1" x14ac:dyDescent="0.65">
      <c r="A50" s="124"/>
      <c r="B50" s="124"/>
      <c r="C50" s="124"/>
      <c r="D50" s="124"/>
      <c r="E50" s="131"/>
      <c r="F50" s="1618"/>
      <c r="G50" s="686"/>
      <c r="H50" s="599"/>
    </row>
    <row r="51" spans="1:9" s="748" customFormat="1" ht="15.9" thickTop="1" x14ac:dyDescent="0.6">
      <c r="A51" s="1060" t="s">
        <v>11</v>
      </c>
      <c r="B51" s="749"/>
      <c r="C51" s="749"/>
      <c r="D51" s="749"/>
      <c r="E51" s="750"/>
      <c r="F51" s="1616"/>
      <c r="G51" s="686"/>
      <c r="H51" s="599"/>
      <c r="I51" s="123"/>
    </row>
    <row r="52" spans="1:9" s="123" customFormat="1" ht="15.9" thickBot="1" x14ac:dyDescent="0.65">
      <c r="A52" s="124"/>
      <c r="B52" s="831"/>
      <c r="C52" s="634"/>
      <c r="D52" s="634"/>
      <c r="E52" s="635"/>
      <c r="F52" s="1623"/>
      <c r="G52" s="686"/>
      <c r="H52" s="599"/>
    </row>
    <row r="53" spans="1:9" s="748" customFormat="1" ht="15.9" thickTop="1" x14ac:dyDescent="0.6">
      <c r="A53" s="1060" t="s">
        <v>12</v>
      </c>
      <c r="B53" s="789">
        <f>SUM(B54:B54)</f>
        <v>26665544</v>
      </c>
      <c r="C53" s="723">
        <f t="shared" ref="C53:F53" si="5">SUM(C54:C54)</f>
        <v>0</v>
      </c>
      <c r="D53" s="723">
        <f t="shared" si="5"/>
        <v>0</v>
      </c>
      <c r="E53" s="724">
        <f t="shared" si="5"/>
        <v>26665544</v>
      </c>
      <c r="F53" s="1616">
        <f t="shared" si="5"/>
        <v>0</v>
      </c>
      <c r="G53" s="686"/>
      <c r="H53" s="595"/>
      <c r="I53" s="123"/>
    </row>
    <row r="54" spans="1:9" s="123" customFormat="1" ht="15.9" thickBot="1" x14ac:dyDescent="0.65">
      <c r="A54" s="124" t="s">
        <v>1708</v>
      </c>
      <c r="B54" s="124">
        <v>26665544</v>
      </c>
      <c r="C54" s="124"/>
      <c r="D54" s="124"/>
      <c r="E54" s="131">
        <f>B54</f>
        <v>26665544</v>
      </c>
      <c r="F54" s="1618"/>
      <c r="G54" s="686"/>
      <c r="H54" s="595"/>
    </row>
    <row r="55" spans="1:9" s="748" customFormat="1" ht="15.9" thickTop="1" x14ac:dyDescent="0.6">
      <c r="A55" s="1060" t="s">
        <v>13</v>
      </c>
      <c r="B55" s="789">
        <f>SUM(B56:B56)</f>
        <v>51350239</v>
      </c>
      <c r="C55" s="723">
        <f t="shared" ref="C55" si="6">SUM(C56:C56)</f>
        <v>0</v>
      </c>
      <c r="D55" s="723">
        <f t="shared" ref="D55" si="7">SUM(D56:D56)</f>
        <v>0</v>
      </c>
      <c r="E55" s="724">
        <f t="shared" ref="E55" si="8">SUM(E56:E56)</f>
        <v>51350239</v>
      </c>
      <c r="F55" s="1616">
        <f t="shared" ref="F55" si="9">SUM(F56:F56)</f>
        <v>0</v>
      </c>
      <c r="G55" s="686"/>
      <c r="H55" s="599"/>
      <c r="I55" s="123"/>
    </row>
    <row r="56" spans="1:9" s="123" customFormat="1" ht="15.9" thickBot="1" x14ac:dyDescent="0.65">
      <c r="A56" s="124" t="s">
        <v>1709</v>
      </c>
      <c r="B56" s="124">
        <v>51350239</v>
      </c>
      <c r="C56" s="124"/>
      <c r="D56" s="124"/>
      <c r="E56" s="131">
        <f>B56</f>
        <v>51350239</v>
      </c>
      <c r="F56" s="1618"/>
      <c r="G56" s="686" t="s">
        <v>769</v>
      </c>
      <c r="H56" s="595"/>
    </row>
    <row r="57" spans="1:9" s="748" customFormat="1" ht="15.9" thickTop="1" x14ac:dyDescent="0.6">
      <c r="A57" s="1060" t="s">
        <v>14</v>
      </c>
      <c r="B57" s="777"/>
      <c r="C57" s="777"/>
      <c r="D57" s="777"/>
      <c r="E57" s="778"/>
      <c r="F57" s="1624"/>
      <c r="G57" s="686"/>
      <c r="H57" s="599"/>
      <c r="I57" s="123"/>
    </row>
    <row r="58" spans="1:9" s="123" customFormat="1" ht="15.9" thickBot="1" x14ac:dyDescent="0.65">
      <c r="A58" s="124"/>
      <c r="B58" s="781"/>
      <c r="C58" s="781"/>
      <c r="D58" s="781"/>
      <c r="E58" s="782"/>
      <c r="F58" s="1625"/>
      <c r="G58" s="686"/>
      <c r="H58" s="599"/>
    </row>
    <row r="59" spans="1:9" s="748" customFormat="1" ht="15.9" thickTop="1" x14ac:dyDescent="0.6">
      <c r="A59" s="1060" t="s">
        <v>15</v>
      </c>
      <c r="B59" s="789"/>
      <c r="C59" s="723"/>
      <c r="D59" s="723"/>
      <c r="E59" s="724"/>
      <c r="F59" s="1616">
        <v>0</v>
      </c>
      <c r="G59" s="686"/>
      <c r="H59" s="599"/>
      <c r="I59" s="123"/>
    </row>
    <row r="60" spans="1:9" s="123" customFormat="1" ht="15.9" thickBot="1" x14ac:dyDescent="0.65">
      <c r="A60" s="124" t="s">
        <v>1581</v>
      </c>
      <c r="B60" s="598" t="s">
        <v>804</v>
      </c>
      <c r="C60" s="124"/>
      <c r="D60" s="124"/>
      <c r="E60" s="131"/>
      <c r="F60" s="1618"/>
      <c r="G60" s="686" t="s">
        <v>769</v>
      </c>
      <c r="H60" s="599"/>
    </row>
    <row r="61" spans="1:9" s="748" customFormat="1" ht="15.9" thickTop="1" x14ac:dyDescent="0.6">
      <c r="A61" s="1060" t="s">
        <v>16</v>
      </c>
      <c r="B61" s="789"/>
      <c r="C61" s="723"/>
      <c r="D61" s="723"/>
      <c r="E61" s="724"/>
      <c r="F61" s="1616">
        <v>0</v>
      </c>
      <c r="G61" s="686"/>
      <c r="H61" s="595"/>
      <c r="I61" s="123"/>
    </row>
    <row r="62" spans="1:9" s="123" customFormat="1" ht="15.9" thickBot="1" x14ac:dyDescent="0.65">
      <c r="A62" s="124"/>
      <c r="B62" s="124"/>
      <c r="C62" s="124"/>
      <c r="D62" s="124"/>
      <c r="E62" s="131"/>
      <c r="F62" s="1618"/>
      <c r="G62" s="686"/>
      <c r="H62" s="599"/>
    </row>
    <row r="63" spans="1:9" s="748" customFormat="1" ht="15.9" thickTop="1" x14ac:dyDescent="0.6">
      <c r="A63" s="1060" t="s">
        <v>17</v>
      </c>
      <c r="B63" s="789"/>
      <c r="C63" s="723"/>
      <c r="D63" s="723"/>
      <c r="E63" s="724"/>
      <c r="F63" s="1616">
        <v>0</v>
      </c>
      <c r="G63" s="686"/>
      <c r="H63" s="595"/>
      <c r="I63" s="123"/>
    </row>
    <row r="64" spans="1:9" s="123" customFormat="1" ht="15.9" thickBot="1" x14ac:dyDescent="0.65">
      <c r="A64" s="124"/>
      <c r="B64" s="124"/>
      <c r="C64" s="124"/>
      <c r="D64" s="124"/>
      <c r="E64" s="131"/>
      <c r="F64" s="1618"/>
      <c r="G64" s="686"/>
      <c r="H64" s="599"/>
    </row>
    <row r="65" spans="1:9" s="748" customFormat="1" ht="15.9" thickTop="1" x14ac:dyDescent="0.6">
      <c r="A65" s="1060" t="s">
        <v>18</v>
      </c>
      <c r="B65" s="789"/>
      <c r="C65" s="723"/>
      <c r="D65" s="723"/>
      <c r="E65" s="724"/>
      <c r="F65" s="1616">
        <v>0</v>
      </c>
      <c r="G65" s="686"/>
      <c r="H65" s="595"/>
      <c r="I65" s="123"/>
    </row>
    <row r="66" spans="1:9" s="123" customFormat="1" ht="15.9" thickBot="1" x14ac:dyDescent="0.65">
      <c r="A66" s="124"/>
      <c r="B66" s="598"/>
      <c r="C66" s="598"/>
      <c r="D66" s="598"/>
      <c r="E66" s="1561"/>
      <c r="F66" s="1618"/>
      <c r="G66" s="686"/>
      <c r="H66" s="599"/>
    </row>
    <row r="67" spans="1:9" s="748" customFormat="1" ht="15.9" thickTop="1" x14ac:dyDescent="0.6">
      <c r="A67" s="1060" t="s">
        <v>19</v>
      </c>
      <c r="B67" s="746"/>
      <c r="C67" s="746"/>
      <c r="D67" s="746"/>
      <c r="E67" s="747"/>
      <c r="F67" s="1616">
        <v>0</v>
      </c>
      <c r="G67" s="686"/>
      <c r="H67" s="595"/>
      <c r="I67" s="123"/>
    </row>
    <row r="68" spans="1:9" s="123" customFormat="1" ht="15.9" thickBot="1" x14ac:dyDescent="0.65">
      <c r="A68" s="124"/>
      <c r="B68" s="127"/>
      <c r="C68" s="127"/>
      <c r="D68" s="127"/>
      <c r="E68" s="134"/>
      <c r="F68" s="1618"/>
      <c r="G68" s="686"/>
      <c r="H68" s="599"/>
    </row>
    <row r="69" spans="1:9" s="636" customFormat="1" ht="15.9" thickTop="1" x14ac:dyDescent="0.6">
      <c r="A69" s="1404" t="s">
        <v>20</v>
      </c>
      <c r="B69" s="834"/>
      <c r="C69" s="753"/>
      <c r="D69" s="753"/>
      <c r="E69" s="754"/>
      <c r="F69" s="1626">
        <v>0</v>
      </c>
      <c r="G69" s="686"/>
      <c r="H69" s="595"/>
      <c r="I69" s="123"/>
    </row>
    <row r="70" spans="1:9" s="637" customFormat="1" ht="15.9" thickBot="1" x14ac:dyDescent="0.65">
      <c r="A70" s="639"/>
      <c r="B70" s="639"/>
      <c r="C70" s="639"/>
      <c r="D70" s="639"/>
      <c r="E70" s="640"/>
      <c r="F70" s="1627"/>
      <c r="G70" s="686"/>
      <c r="H70" s="599"/>
      <c r="I70" s="123"/>
    </row>
    <row r="71" spans="1:9" s="192" customFormat="1" ht="15.9" thickTop="1" x14ac:dyDescent="0.6">
      <c r="A71" s="78" t="s">
        <v>38</v>
      </c>
      <c r="B71" s="790">
        <f>SUM(B72:B77)</f>
        <v>24764443</v>
      </c>
      <c r="C71" s="727">
        <f t="shared" ref="C71:F71" si="10">SUM(C72:C77)</f>
        <v>24764443</v>
      </c>
      <c r="D71" s="727">
        <f t="shared" si="10"/>
        <v>0</v>
      </c>
      <c r="E71" s="728">
        <f t="shared" si="10"/>
        <v>0</v>
      </c>
      <c r="F71" s="1628">
        <f t="shared" si="10"/>
        <v>0</v>
      </c>
      <c r="G71" s="686"/>
      <c r="H71" s="595"/>
      <c r="I71" s="123"/>
    </row>
    <row r="72" spans="1:9" s="85" customFormat="1" x14ac:dyDescent="0.6">
      <c r="A72" s="85" t="s">
        <v>385</v>
      </c>
      <c r="B72" s="593">
        <v>1305684</v>
      </c>
      <c r="C72" s="593">
        <f>B72</f>
        <v>1305684</v>
      </c>
      <c r="D72" s="593"/>
      <c r="E72" s="607"/>
      <c r="F72" s="1008"/>
      <c r="G72" s="686"/>
      <c r="H72" s="599"/>
      <c r="I72" s="123"/>
    </row>
    <row r="73" spans="1:9" s="85" customFormat="1" x14ac:dyDescent="0.6">
      <c r="A73" s="85" t="s">
        <v>386</v>
      </c>
      <c r="B73" s="593">
        <v>518312</v>
      </c>
      <c r="C73" s="593">
        <f t="shared" ref="C73:C77" si="11">B73</f>
        <v>518312</v>
      </c>
      <c r="D73" s="593"/>
      <c r="E73" s="607"/>
      <c r="F73" s="1008"/>
      <c r="G73" s="686"/>
      <c r="H73" s="595"/>
      <c r="I73" s="123"/>
    </row>
    <row r="74" spans="1:9" s="85" customFormat="1" x14ac:dyDescent="0.6">
      <c r="A74" s="85" t="s">
        <v>387</v>
      </c>
      <c r="B74" s="593">
        <v>225362</v>
      </c>
      <c r="C74" s="593">
        <f t="shared" si="11"/>
        <v>225362</v>
      </c>
      <c r="D74" s="593"/>
      <c r="E74" s="607"/>
      <c r="F74" s="1008"/>
      <c r="G74" s="686"/>
      <c r="H74" s="599"/>
      <c r="I74" s="123"/>
    </row>
    <row r="75" spans="1:9" s="85" customFormat="1" x14ac:dyDescent="0.6">
      <c r="A75" s="85" t="s">
        <v>261</v>
      </c>
      <c r="B75" s="593">
        <v>4401293</v>
      </c>
      <c r="C75" s="593">
        <f t="shared" si="11"/>
        <v>4401293</v>
      </c>
      <c r="D75" s="593"/>
      <c r="E75" s="607"/>
      <c r="F75" s="1008"/>
      <c r="G75" s="686"/>
      <c r="H75" s="599"/>
      <c r="I75" s="123"/>
    </row>
    <row r="76" spans="1:9" s="85" customFormat="1" x14ac:dyDescent="0.6">
      <c r="A76" s="85" t="s">
        <v>1043</v>
      </c>
      <c r="B76" s="838" t="s">
        <v>804</v>
      </c>
      <c r="C76" s="593"/>
      <c r="D76" s="593"/>
      <c r="E76" s="607"/>
      <c r="F76" s="1008"/>
      <c r="G76" s="686"/>
      <c r="H76" s="595"/>
      <c r="I76" s="123"/>
    </row>
    <row r="77" spans="1:9" s="85" customFormat="1" ht="15.9" thickBot="1" x14ac:dyDescent="0.65">
      <c r="A77" s="99" t="s">
        <v>263</v>
      </c>
      <c r="B77" s="623">
        <v>18313792</v>
      </c>
      <c r="C77" s="623">
        <f t="shared" si="11"/>
        <v>18313792</v>
      </c>
      <c r="D77" s="594"/>
      <c r="E77" s="651"/>
      <c r="F77" s="1615"/>
      <c r="G77" s="686" t="s">
        <v>769</v>
      </c>
      <c r="H77" s="599"/>
      <c r="I77" s="123"/>
    </row>
    <row r="78" spans="1:9" s="748" customFormat="1" ht="15.9" thickTop="1" x14ac:dyDescent="0.6">
      <c r="A78" s="1060" t="s">
        <v>39</v>
      </c>
      <c r="B78" s="791"/>
      <c r="C78" s="729"/>
      <c r="D78" s="729"/>
      <c r="E78" s="757"/>
      <c r="F78" s="1616">
        <v>0</v>
      </c>
      <c r="G78" s="686"/>
      <c r="H78" s="595"/>
      <c r="I78" s="123"/>
    </row>
    <row r="79" spans="1:9" s="145" customFormat="1" ht="15.9" thickBot="1" x14ac:dyDescent="0.65">
      <c r="A79" s="147"/>
      <c r="B79" s="147"/>
      <c r="C79" s="147"/>
      <c r="D79" s="147"/>
      <c r="E79" s="148"/>
      <c r="F79" s="1629"/>
      <c r="G79" s="686"/>
      <c r="H79" s="599"/>
      <c r="I79" s="123"/>
    </row>
    <row r="80" spans="1:9" s="748" customFormat="1" ht="15.9" thickTop="1" x14ac:dyDescent="0.6">
      <c r="A80" s="1060" t="s">
        <v>40</v>
      </c>
      <c r="B80" s="792"/>
      <c r="C80" s="730"/>
      <c r="D80" s="730"/>
      <c r="E80" s="731"/>
      <c r="F80" s="1630"/>
      <c r="G80" s="686"/>
      <c r="H80" s="595"/>
      <c r="I80" s="123"/>
    </row>
    <row r="81" spans="1:9" s="123" customFormat="1" ht="15.9" thickBot="1" x14ac:dyDescent="0.65">
      <c r="A81" s="124"/>
      <c r="B81" s="603"/>
      <c r="C81" s="603"/>
      <c r="D81" s="603"/>
      <c r="E81" s="604"/>
      <c r="F81" s="1631"/>
      <c r="G81" s="686"/>
      <c r="H81" s="599"/>
    </row>
    <row r="82" spans="1:9" s="748" customFormat="1" ht="15.9" thickTop="1" x14ac:dyDescent="0.6">
      <c r="A82" s="1060" t="s">
        <v>31</v>
      </c>
      <c r="B82" s="789"/>
      <c r="C82" s="723"/>
      <c r="D82" s="723"/>
      <c r="E82" s="724"/>
      <c r="F82" s="1616"/>
      <c r="G82" s="686"/>
      <c r="H82" s="595"/>
      <c r="I82" s="123"/>
    </row>
    <row r="83" spans="1:9" s="697" customFormat="1" ht="15.9" thickBot="1" x14ac:dyDescent="0.65">
      <c r="A83" s="698"/>
      <c r="B83" s="698"/>
      <c r="C83" s="698"/>
      <c r="D83" s="698"/>
      <c r="E83" s="700"/>
      <c r="F83" s="1632"/>
      <c r="G83" s="686"/>
      <c r="H83" s="599"/>
      <c r="I83" s="123"/>
    </row>
    <row r="84" spans="1:9" s="748" customFormat="1" ht="15.9" thickTop="1" x14ac:dyDescent="0.6">
      <c r="A84" s="1060" t="s">
        <v>47</v>
      </c>
      <c r="B84" s="793"/>
      <c r="C84" s="732"/>
      <c r="D84" s="732"/>
      <c r="E84" s="733"/>
      <c r="F84" s="1633">
        <v>0</v>
      </c>
      <c r="G84" s="838"/>
      <c r="H84" s="1565"/>
      <c r="I84" s="1"/>
    </row>
    <row r="85" spans="1:9" s="123" customFormat="1" ht="15.9" thickBot="1" x14ac:dyDescent="0.65">
      <c r="A85" s="124"/>
      <c r="B85" s="625"/>
      <c r="C85" s="625"/>
      <c r="D85" s="625"/>
      <c r="E85" s="626"/>
      <c r="F85" s="1634"/>
      <c r="G85" s="838"/>
      <c r="H85" s="593"/>
      <c r="I85" s="1"/>
    </row>
    <row r="86" spans="1:9" s="120" customFormat="1" ht="15.9" thickTop="1" x14ac:dyDescent="0.6">
      <c r="A86" s="1092" t="s">
        <v>32</v>
      </c>
      <c r="B86" s="790">
        <f>SUM(B87:B112)</f>
        <v>1281875409</v>
      </c>
      <c r="C86" s="727">
        <f>SUM(C87:C112)</f>
        <v>1036587376.5</v>
      </c>
      <c r="D86" s="727">
        <f t="shared" ref="D86:F86" si="12">SUM(D87:D112)</f>
        <v>245288032.5</v>
      </c>
      <c r="E86" s="728">
        <f t="shared" si="12"/>
        <v>0</v>
      </c>
      <c r="F86" s="1628">
        <f t="shared" si="12"/>
        <v>0</v>
      </c>
      <c r="G86" s="838"/>
      <c r="H86" s="593"/>
      <c r="I86" s="1"/>
    </row>
    <row r="87" spans="1:9" s="704" customFormat="1" x14ac:dyDescent="0.6">
      <c r="A87" s="701" t="s">
        <v>526</v>
      </c>
      <c r="B87" s="701">
        <v>2872535</v>
      </c>
      <c r="C87" s="701">
        <f>B87</f>
        <v>2872535</v>
      </c>
      <c r="D87" s="701"/>
      <c r="E87" s="703"/>
      <c r="F87" s="1635"/>
      <c r="G87" s="838"/>
      <c r="H87" s="593"/>
      <c r="I87" s="1"/>
    </row>
    <row r="88" spans="1:9" s="704" customFormat="1" x14ac:dyDescent="0.6">
      <c r="A88" s="701" t="s">
        <v>1710</v>
      </c>
      <c r="B88" s="701">
        <v>11908113</v>
      </c>
      <c r="C88" s="701">
        <f>B88</f>
        <v>11908113</v>
      </c>
      <c r="D88" s="701"/>
      <c r="E88" s="703"/>
      <c r="F88" s="1635"/>
      <c r="G88" s="838"/>
      <c r="H88" s="593"/>
      <c r="I88" s="1"/>
    </row>
    <row r="89" spans="1:9" s="704" customFormat="1" x14ac:dyDescent="0.6">
      <c r="A89" s="701" t="s">
        <v>527</v>
      </c>
      <c r="B89" s="701">
        <v>6157670</v>
      </c>
      <c r="C89" s="701">
        <f>B89</f>
        <v>6157670</v>
      </c>
      <c r="D89" s="701"/>
      <c r="E89" s="703"/>
      <c r="F89" s="1635"/>
      <c r="G89" s="838"/>
      <c r="H89" s="593"/>
      <c r="I89" s="1"/>
    </row>
    <row r="90" spans="1:9" s="704" customFormat="1" x14ac:dyDescent="0.6">
      <c r="A90" s="701" t="s">
        <v>1602</v>
      </c>
      <c r="B90" s="1410" t="s">
        <v>804</v>
      </c>
      <c r="C90" s="701"/>
      <c r="D90" s="701"/>
      <c r="E90" s="703"/>
      <c r="F90" s="1635"/>
      <c r="G90" s="838"/>
      <c r="H90" s="593"/>
      <c r="I90" s="1"/>
    </row>
    <row r="91" spans="1:9" s="704" customFormat="1" x14ac:dyDescent="0.6">
      <c r="A91" s="701" t="s">
        <v>839</v>
      </c>
      <c r="B91" s="701">
        <v>138988092</v>
      </c>
      <c r="C91" s="701">
        <f>B91</f>
        <v>138988092</v>
      </c>
      <c r="D91" s="701"/>
      <c r="E91" s="703"/>
      <c r="F91" s="1635"/>
      <c r="G91" s="838"/>
      <c r="H91" s="593"/>
      <c r="I91" s="1"/>
    </row>
    <row r="92" spans="1:9" s="704" customFormat="1" x14ac:dyDescent="0.6">
      <c r="A92" s="701" t="s">
        <v>840</v>
      </c>
      <c r="B92" s="701">
        <v>3448354</v>
      </c>
      <c r="C92" s="701">
        <f>B92</f>
        <v>3448354</v>
      </c>
      <c r="D92" s="701"/>
      <c r="E92" s="703"/>
      <c r="F92" s="1635"/>
      <c r="G92" s="838"/>
      <c r="H92" s="593"/>
      <c r="I92" s="1"/>
    </row>
    <row r="93" spans="1:9" s="704" customFormat="1" x14ac:dyDescent="0.6">
      <c r="A93" s="701" t="s">
        <v>841</v>
      </c>
      <c r="B93" s="701">
        <v>165121373</v>
      </c>
      <c r="C93" s="701">
        <f>B93</f>
        <v>165121373</v>
      </c>
      <c r="D93" s="701"/>
      <c r="E93" s="703"/>
      <c r="F93" s="1635"/>
      <c r="G93" s="838"/>
      <c r="H93" s="593"/>
      <c r="I93" s="1"/>
    </row>
    <row r="94" spans="1:9" s="704" customFormat="1" x14ac:dyDescent="0.6">
      <c r="A94" s="701" t="s">
        <v>842</v>
      </c>
      <c r="B94" s="701">
        <v>5084501</v>
      </c>
      <c r="C94" s="701">
        <f>B94</f>
        <v>5084501</v>
      </c>
      <c r="D94" s="701"/>
      <c r="E94" s="703"/>
      <c r="F94" s="1635"/>
      <c r="G94" s="838"/>
      <c r="H94" s="593"/>
      <c r="I94" s="1"/>
    </row>
    <row r="95" spans="1:9" s="704" customFormat="1" x14ac:dyDescent="0.6">
      <c r="A95" s="701" t="s">
        <v>1711</v>
      </c>
      <c r="B95" s="701">
        <v>438428261</v>
      </c>
      <c r="C95" s="701">
        <f>B95/2</f>
        <v>219214130.5</v>
      </c>
      <c r="D95" s="701">
        <f>C95</f>
        <v>219214130.5</v>
      </c>
      <c r="E95" s="703"/>
      <c r="F95" s="1635"/>
      <c r="G95" s="838"/>
      <c r="H95" s="593"/>
      <c r="I95" s="1"/>
    </row>
    <row r="96" spans="1:9" s="704" customFormat="1" x14ac:dyDescent="0.6">
      <c r="A96" s="701" t="s">
        <v>1712</v>
      </c>
      <c r="B96" s="701">
        <v>52147804</v>
      </c>
      <c r="C96" s="701">
        <f>B96/2</f>
        <v>26073902</v>
      </c>
      <c r="D96" s="701">
        <f>C96</f>
        <v>26073902</v>
      </c>
      <c r="E96" s="703"/>
      <c r="F96" s="1635"/>
      <c r="G96" s="838"/>
      <c r="H96" s="593"/>
      <c r="I96" s="1"/>
    </row>
    <row r="97" spans="1:9" s="704" customFormat="1" x14ac:dyDescent="0.6">
      <c r="A97" s="701" t="s">
        <v>1713</v>
      </c>
      <c r="B97" s="701">
        <v>20649408</v>
      </c>
      <c r="C97" s="701">
        <f>B97</f>
        <v>20649408</v>
      </c>
      <c r="D97" s="701"/>
      <c r="E97" s="703"/>
      <c r="F97" s="1635"/>
      <c r="G97" s="838"/>
      <c r="H97" s="593"/>
      <c r="I97" s="1"/>
    </row>
    <row r="98" spans="1:9" s="704" customFormat="1" x14ac:dyDescent="0.6">
      <c r="A98" s="701" t="s">
        <v>1714</v>
      </c>
      <c r="B98" s="701">
        <v>1055606</v>
      </c>
      <c r="C98" s="701">
        <f>B98</f>
        <v>1055606</v>
      </c>
      <c r="D98" s="701"/>
      <c r="E98" s="703"/>
      <c r="F98" s="1635"/>
      <c r="G98" s="1063"/>
      <c r="H98" s="1062"/>
      <c r="I98" s="123"/>
    </row>
    <row r="99" spans="1:9" s="704" customFormat="1" x14ac:dyDescent="0.6">
      <c r="A99" s="701" t="s">
        <v>1605</v>
      </c>
      <c r="B99" s="701">
        <v>19041387</v>
      </c>
      <c r="C99" s="701">
        <f>B99</f>
        <v>19041387</v>
      </c>
      <c r="D99" s="701"/>
      <c r="E99" s="703"/>
      <c r="F99" s="1635"/>
      <c r="G99" s="686"/>
      <c r="H99" s="595"/>
      <c r="I99" s="123"/>
    </row>
    <row r="100" spans="1:9" s="704" customFormat="1" x14ac:dyDescent="0.6">
      <c r="A100" s="701" t="s">
        <v>1606</v>
      </c>
      <c r="B100" s="701">
        <v>412705</v>
      </c>
      <c r="C100" s="701">
        <f>B100</f>
        <v>412705</v>
      </c>
      <c r="D100" s="701"/>
      <c r="E100" s="703"/>
      <c r="F100" s="1635"/>
      <c r="G100" s="1063"/>
      <c r="H100" s="600"/>
      <c r="I100" s="145"/>
    </row>
    <row r="101" spans="1:9" s="704" customFormat="1" x14ac:dyDescent="0.6">
      <c r="A101" s="701" t="s">
        <v>1715</v>
      </c>
      <c r="B101" s="1410" t="s">
        <v>804</v>
      </c>
      <c r="C101" s="701"/>
      <c r="D101" s="701"/>
      <c r="E101" s="703"/>
      <c r="F101" s="1635"/>
      <c r="G101" s="1406"/>
      <c r="H101" s="1566"/>
      <c r="I101" s="123"/>
    </row>
    <row r="102" spans="1:9" s="704" customFormat="1" x14ac:dyDescent="0.6">
      <c r="A102" s="701" t="s">
        <v>1716</v>
      </c>
      <c r="B102" s="701">
        <v>1442668</v>
      </c>
      <c r="C102" s="701">
        <f t="shared" ref="C102:C112" si="13">B102</f>
        <v>1442668</v>
      </c>
      <c r="D102" s="701"/>
      <c r="E102" s="703"/>
      <c r="F102" s="1635"/>
      <c r="G102" s="1406"/>
      <c r="H102" s="601"/>
      <c r="I102" s="123"/>
    </row>
    <row r="103" spans="1:9" s="704" customFormat="1" x14ac:dyDescent="0.6">
      <c r="A103" s="701" t="s">
        <v>1717</v>
      </c>
      <c r="B103" s="701">
        <v>7590024</v>
      </c>
      <c r="C103" s="701">
        <f t="shared" si="13"/>
        <v>7590024</v>
      </c>
      <c r="D103" s="701"/>
      <c r="E103" s="703"/>
      <c r="F103" s="1635"/>
      <c r="G103" s="1406"/>
      <c r="H103" s="601"/>
      <c r="I103" s="123"/>
    </row>
    <row r="104" spans="1:9" s="704" customFormat="1" x14ac:dyDescent="0.6">
      <c r="A104" s="701" t="s">
        <v>1130</v>
      </c>
      <c r="B104" s="701">
        <v>79994</v>
      </c>
      <c r="C104" s="701">
        <f t="shared" si="13"/>
        <v>79994</v>
      </c>
      <c r="D104" s="701"/>
      <c r="E104" s="703"/>
      <c r="F104" s="1635"/>
      <c r="G104" s="1406"/>
      <c r="H104" s="601"/>
      <c r="I104" s="123"/>
    </row>
    <row r="105" spans="1:9" s="704" customFormat="1" x14ac:dyDescent="0.6">
      <c r="A105" s="701" t="s">
        <v>1718</v>
      </c>
      <c r="B105" s="701">
        <v>306108079</v>
      </c>
      <c r="C105" s="701">
        <f t="shared" si="13"/>
        <v>306108079</v>
      </c>
      <c r="D105" s="701"/>
      <c r="E105" s="703"/>
      <c r="F105" s="1635"/>
      <c r="G105" s="1406"/>
      <c r="H105" s="601"/>
      <c r="I105" s="123"/>
    </row>
    <row r="106" spans="1:9" s="704" customFormat="1" x14ac:dyDescent="0.6">
      <c r="A106" s="701" t="s">
        <v>1719</v>
      </c>
      <c r="B106" s="701">
        <v>84081638</v>
      </c>
      <c r="C106" s="701">
        <f t="shared" si="13"/>
        <v>84081638</v>
      </c>
      <c r="D106" s="701"/>
      <c r="E106" s="703"/>
      <c r="F106" s="1635"/>
      <c r="G106" s="1406"/>
      <c r="H106" s="601"/>
      <c r="I106" s="123"/>
    </row>
    <row r="107" spans="1:9" s="704" customFormat="1" x14ac:dyDescent="0.6">
      <c r="A107" s="701" t="s">
        <v>1720</v>
      </c>
      <c r="B107" s="701">
        <v>1165565</v>
      </c>
      <c r="C107" s="701">
        <f t="shared" si="13"/>
        <v>1165565</v>
      </c>
      <c r="D107" s="701"/>
      <c r="E107" s="703"/>
      <c r="F107" s="1635"/>
      <c r="G107" s="1406"/>
      <c r="H107" s="601"/>
      <c r="I107" s="123"/>
    </row>
    <row r="108" spans="1:9" s="704" customFormat="1" x14ac:dyDescent="0.6">
      <c r="A108" s="701" t="s">
        <v>1721</v>
      </c>
      <c r="B108" s="701">
        <v>935091</v>
      </c>
      <c r="C108" s="701">
        <f t="shared" si="13"/>
        <v>935091</v>
      </c>
      <c r="D108" s="701"/>
      <c r="E108" s="703"/>
      <c r="F108" s="1635"/>
      <c r="G108" s="1406"/>
      <c r="H108" s="601"/>
      <c r="I108" s="123"/>
    </row>
    <row r="109" spans="1:9" s="704" customFormat="1" x14ac:dyDescent="0.6">
      <c r="A109" s="701" t="s">
        <v>1722</v>
      </c>
      <c r="B109" s="701">
        <v>1228901</v>
      </c>
      <c r="C109" s="701">
        <f t="shared" si="13"/>
        <v>1228901</v>
      </c>
      <c r="D109" s="701"/>
      <c r="E109" s="703"/>
      <c r="F109" s="1635"/>
      <c r="G109" s="1572"/>
      <c r="H109" s="1567"/>
      <c r="I109" s="123"/>
    </row>
    <row r="110" spans="1:9" s="704" customFormat="1" x14ac:dyDescent="0.6">
      <c r="A110" s="701" t="s">
        <v>1723</v>
      </c>
      <c r="B110" s="701">
        <v>4797640</v>
      </c>
      <c r="C110" s="701">
        <f t="shared" si="13"/>
        <v>4797640</v>
      </c>
      <c r="D110" s="701"/>
      <c r="E110" s="703"/>
      <c r="F110" s="1635"/>
      <c r="G110" s="1065"/>
      <c r="H110" s="694"/>
      <c r="I110" s="123"/>
    </row>
    <row r="111" spans="1:9" s="704" customFormat="1" x14ac:dyDescent="0.6">
      <c r="A111" s="701" t="s">
        <v>1724</v>
      </c>
      <c r="B111" s="701">
        <v>7434000</v>
      </c>
      <c r="C111" s="701">
        <f t="shared" si="13"/>
        <v>7434000</v>
      </c>
      <c r="D111" s="701"/>
      <c r="E111" s="703"/>
      <c r="F111" s="1635"/>
      <c r="G111" s="1065"/>
      <c r="H111" s="694"/>
      <c r="I111" s="123"/>
    </row>
    <row r="112" spans="1:9" s="704" customFormat="1" ht="15.9" thickBot="1" x14ac:dyDescent="0.65">
      <c r="A112" s="705" t="s">
        <v>1725</v>
      </c>
      <c r="B112" s="705">
        <v>1696000</v>
      </c>
      <c r="C112" s="705">
        <f t="shared" si="13"/>
        <v>1696000</v>
      </c>
      <c r="D112" s="705"/>
      <c r="E112" s="707"/>
      <c r="F112" s="1636"/>
      <c r="G112" s="1065"/>
      <c r="H112" s="694"/>
      <c r="I112" s="123"/>
    </row>
    <row r="113" spans="1:9" s="748" customFormat="1" ht="15.9" thickTop="1" x14ac:dyDescent="0.6">
      <c r="A113" s="1060" t="s">
        <v>33</v>
      </c>
      <c r="B113" s="790"/>
      <c r="C113" s="727"/>
      <c r="D113" s="727"/>
      <c r="E113" s="728"/>
      <c r="F113" s="1628"/>
      <c r="G113" s="1065"/>
      <c r="H113" s="694"/>
      <c r="I113" s="123"/>
    </row>
    <row r="114" spans="1:9" s="123" customFormat="1" ht="15.9" thickBot="1" x14ac:dyDescent="0.65">
      <c r="A114" s="124"/>
      <c r="B114" s="108"/>
      <c r="C114" s="108"/>
      <c r="D114" s="108"/>
      <c r="E114" s="624"/>
      <c r="F114" s="1615"/>
      <c r="G114" s="1645"/>
      <c r="H114" s="698"/>
      <c r="I114" s="124"/>
    </row>
    <row r="115" spans="1:9" s="748" customFormat="1" ht="15.9" thickTop="1" x14ac:dyDescent="0.6">
      <c r="A115" s="1060" t="s">
        <v>46</v>
      </c>
      <c r="B115" s="794"/>
      <c r="C115" s="734"/>
      <c r="D115" s="734"/>
      <c r="E115" s="735"/>
      <c r="F115" s="1637">
        <v>0</v>
      </c>
      <c r="G115" s="1065"/>
    </row>
    <row r="116" spans="1:9" s="145" customFormat="1" ht="15.9" thickBot="1" x14ac:dyDescent="0.65">
      <c r="A116" s="147"/>
      <c r="B116" s="627"/>
      <c r="C116" s="627"/>
      <c r="D116" s="627"/>
      <c r="E116" s="610"/>
      <c r="F116" s="1638"/>
      <c r="G116" s="1090"/>
      <c r="H116" s="1594" t="s">
        <v>78</v>
      </c>
      <c r="I116" s="69"/>
    </row>
    <row r="117" spans="1:9" s="748" customFormat="1" ht="15.9" thickTop="1" x14ac:dyDescent="0.6">
      <c r="A117" s="1060" t="s">
        <v>49</v>
      </c>
      <c r="B117" s="786"/>
      <c r="C117" s="736"/>
      <c r="D117" s="736"/>
      <c r="E117" s="1562"/>
      <c r="F117" s="1639">
        <v>0</v>
      </c>
      <c r="G117" s="1090"/>
      <c r="H117" s="593" t="s">
        <v>42</v>
      </c>
      <c r="I117" s="1"/>
    </row>
    <row r="118" spans="1:9" s="145" customFormat="1" ht="15.9" thickBot="1" x14ac:dyDescent="0.65">
      <c r="A118" s="147"/>
      <c r="B118" s="628"/>
      <c r="C118" s="628"/>
      <c r="D118" s="628"/>
      <c r="E118" s="1563"/>
      <c r="F118" s="1640"/>
      <c r="G118" s="1090"/>
      <c r="H118" s="593" t="s">
        <v>802</v>
      </c>
      <c r="I118" s="1">
        <f>COUNTIF(A116:A143,"ND")</f>
        <v>0</v>
      </c>
    </row>
    <row r="119" spans="1:9" s="748" customFormat="1" ht="15.9" thickTop="1" x14ac:dyDescent="0.6">
      <c r="A119" s="1060" t="s">
        <v>50</v>
      </c>
      <c r="B119" s="795"/>
      <c r="C119" s="739"/>
      <c r="D119" s="739"/>
      <c r="E119" s="740"/>
      <c r="F119" s="1641">
        <v>0</v>
      </c>
      <c r="G119" s="686"/>
      <c r="H119" s="593" t="s">
        <v>1732</v>
      </c>
      <c r="I119" s="1">
        <f>COUNTIF(G116:G143,"x")</f>
        <v>0</v>
      </c>
    </row>
    <row r="120" spans="1:9" s="123" customFormat="1" ht="15.9" thickBot="1" x14ac:dyDescent="0.65">
      <c r="A120" s="124"/>
      <c r="B120" s="151"/>
      <c r="C120" s="151"/>
      <c r="D120" s="151"/>
      <c r="E120" s="152"/>
      <c r="F120" s="1642"/>
      <c r="G120" s="686"/>
      <c r="H120" s="593" t="s">
        <v>239</v>
      </c>
      <c r="I120" s="1"/>
    </row>
    <row r="121" spans="1:9" s="798" customFormat="1" ht="15.9" thickTop="1" x14ac:dyDescent="0.6">
      <c r="A121" s="1385" t="s">
        <v>51</v>
      </c>
      <c r="B121" s="796"/>
      <c r="C121" s="839"/>
      <c r="D121" s="839"/>
      <c r="E121" s="797"/>
      <c r="F121" s="1643">
        <v>0</v>
      </c>
      <c r="G121" s="686"/>
      <c r="H121" s="599"/>
      <c r="I121" s="123"/>
    </row>
    <row r="122" spans="1:9" s="711" customFormat="1" ht="15.9" thickBot="1" x14ac:dyDescent="0.65">
      <c r="A122" s="719"/>
      <c r="B122" s="717"/>
      <c r="C122" s="719"/>
      <c r="D122" s="719"/>
      <c r="E122" s="718"/>
      <c r="F122" s="1644"/>
      <c r="G122" s="686"/>
      <c r="H122" s="599"/>
      <c r="I122" s="123"/>
    </row>
    <row r="123" spans="1:9" s="714" customFormat="1" ht="15.9" thickTop="1" x14ac:dyDescent="0.6">
      <c r="A123" s="710"/>
      <c r="G123" s="686"/>
      <c r="H123" s="599"/>
      <c r="I123" s="123"/>
    </row>
    <row r="124" spans="1:9" s="714" customFormat="1" x14ac:dyDescent="0.6">
      <c r="A124" s="710"/>
      <c r="B124" s="1370" t="s">
        <v>1451</v>
      </c>
      <c r="C124" s="13">
        <f>COUNTIF(B3:B122,"=ND")</f>
        <v>16</v>
      </c>
      <c r="G124" s="686"/>
      <c r="H124" s="599"/>
      <c r="I124" s="123"/>
    </row>
    <row r="125" spans="1:9" s="714" customFormat="1" x14ac:dyDescent="0.6">
      <c r="B125" s="1370" t="s">
        <v>1454</v>
      </c>
      <c r="C125" s="13">
        <f>COUNT(B3:B122)</f>
        <v>60</v>
      </c>
      <c r="G125" s="686"/>
      <c r="H125" s="599"/>
      <c r="I125" s="123"/>
    </row>
    <row r="126" spans="1:9" s="714" customFormat="1" x14ac:dyDescent="0.6">
      <c r="B126" s="1370" t="s">
        <v>1452</v>
      </c>
      <c r="C126" s="13">
        <f>COUNTBLANK(B3:B122)</f>
        <v>44</v>
      </c>
      <c r="G126" s="686"/>
      <c r="H126" s="599"/>
      <c r="I126" s="123"/>
    </row>
    <row r="127" spans="1:9" s="714" customFormat="1" x14ac:dyDescent="0.6">
      <c r="B127" s="1370" t="s">
        <v>1453</v>
      </c>
      <c r="C127" s="13">
        <v>29</v>
      </c>
      <c r="G127" s="686"/>
      <c r="H127" s="599"/>
      <c r="I127" s="123"/>
    </row>
    <row r="128" spans="1:9" s="714" customFormat="1" x14ac:dyDescent="0.6">
      <c r="B128" s="1370" t="s">
        <v>42</v>
      </c>
      <c r="C128" s="13">
        <f>SUM(C124:C126)</f>
        <v>120</v>
      </c>
      <c r="G128" s="686"/>
      <c r="H128" s="599"/>
      <c r="I128" s="123"/>
    </row>
    <row r="129" spans="2:9" s="714" customFormat="1" x14ac:dyDescent="0.6">
      <c r="B129" s="1370" t="s">
        <v>1456</v>
      </c>
      <c r="C129" s="13">
        <v>120</v>
      </c>
      <c r="G129" s="838"/>
      <c r="H129" s="1565"/>
      <c r="I129" s="123"/>
    </row>
    <row r="130" spans="2:9" x14ac:dyDescent="0.6">
      <c r="B130" s="1370"/>
      <c r="C130" s="13"/>
      <c r="D130" s="1"/>
      <c r="E130" s="1"/>
      <c r="F130" s="1"/>
      <c r="G130" s="838"/>
      <c r="H130" s="593"/>
      <c r="I130" s="123"/>
    </row>
    <row r="131" spans="2:9" x14ac:dyDescent="0.6">
      <c r="B131" s="1370" t="s">
        <v>1455</v>
      </c>
      <c r="C131" s="13">
        <f>C125-C126</f>
        <v>16</v>
      </c>
      <c r="D131" s="1"/>
      <c r="E131" s="1"/>
      <c r="F131" s="1"/>
      <c r="G131" s="774"/>
      <c r="H131" s="1569"/>
      <c r="I131" s="123"/>
    </row>
    <row r="132" spans="2:9" x14ac:dyDescent="0.6">
      <c r="B132" s="826" t="s">
        <v>804</v>
      </c>
      <c r="C132" s="13">
        <f>C124</f>
        <v>16</v>
      </c>
      <c r="D132" s="1"/>
      <c r="E132" s="1"/>
      <c r="F132" s="1"/>
      <c r="G132" s="774"/>
      <c r="H132" s="608"/>
      <c r="I132" s="123"/>
    </row>
    <row r="133" spans="2:9" x14ac:dyDescent="0.6">
      <c r="B133" s="826" t="s">
        <v>42</v>
      </c>
      <c r="C133" s="13">
        <f>C132+C131</f>
        <v>32</v>
      </c>
      <c r="D133" s="1"/>
      <c r="E133" s="1"/>
      <c r="F133" s="1"/>
      <c r="G133" s="774"/>
      <c r="H133" s="608"/>
      <c r="I133" s="123"/>
    </row>
    <row r="134" spans="2:9" x14ac:dyDescent="0.6">
      <c r="B134" s="826"/>
      <c r="C134" s="13"/>
      <c r="D134" s="1"/>
      <c r="E134" s="1"/>
      <c r="F134" s="1"/>
      <c r="G134" s="774"/>
      <c r="H134" s="608"/>
      <c r="I134" s="145"/>
    </row>
    <row r="135" spans="2:9" x14ac:dyDescent="0.6">
      <c r="B135" s="826" t="s">
        <v>1456</v>
      </c>
      <c r="C135" s="13">
        <f>C124+C125-C126</f>
        <v>32</v>
      </c>
      <c r="D135" s="1"/>
      <c r="E135" s="1"/>
      <c r="F135" s="1"/>
      <c r="G135" s="614"/>
      <c r="H135" s="1570"/>
      <c r="I135" s="123"/>
    </row>
    <row r="136" spans="2:9" x14ac:dyDescent="0.6">
      <c r="B136" s="1"/>
      <c r="C136" s="1"/>
      <c r="D136" s="1"/>
      <c r="E136" s="1"/>
      <c r="F136" s="1"/>
      <c r="G136" s="614"/>
      <c r="H136" s="611"/>
      <c r="I136" s="145"/>
    </row>
    <row r="137" spans="2:9" x14ac:dyDescent="0.6">
      <c r="B137" s="1"/>
      <c r="C137" s="1"/>
      <c r="D137" s="1"/>
      <c r="E137" s="1"/>
      <c r="F137" s="1"/>
      <c r="G137" s="1326"/>
      <c r="H137" s="1571"/>
      <c r="I137" s="123"/>
    </row>
    <row r="138" spans="2:9" x14ac:dyDescent="0.6">
      <c r="B138" s="1"/>
      <c r="C138" s="1"/>
      <c r="D138" s="1"/>
      <c r="E138" s="1"/>
      <c r="G138" s="1326"/>
      <c r="H138" s="615"/>
      <c r="I138" s="123"/>
    </row>
    <row r="139" spans="2:9" x14ac:dyDescent="0.6">
      <c r="B139" s="1"/>
      <c r="C139" s="1"/>
      <c r="D139" s="1"/>
      <c r="E139" s="1"/>
      <c r="F139" s="1"/>
      <c r="G139" s="1326"/>
      <c r="H139" s="615"/>
      <c r="I139" s="123"/>
    </row>
    <row r="140" spans="2:9" x14ac:dyDescent="0.6">
      <c r="B140" s="1"/>
      <c r="C140" s="1"/>
      <c r="D140" s="1"/>
      <c r="E140" s="1"/>
      <c r="F140" s="1"/>
      <c r="G140" s="686"/>
      <c r="H140" s="595"/>
      <c r="I140" s="123"/>
    </row>
    <row r="141" spans="2:9" x14ac:dyDescent="0.6">
      <c r="B141" s="1"/>
      <c r="C141" s="1"/>
      <c r="D141" s="1"/>
      <c r="E141" s="1"/>
      <c r="F141" s="1"/>
      <c r="G141" s="686"/>
      <c r="H141" s="599"/>
      <c r="I141" s="123"/>
    </row>
    <row r="142" spans="2:9" x14ac:dyDescent="0.6">
      <c r="B142" s="1"/>
      <c r="C142" s="1"/>
      <c r="D142" s="1"/>
      <c r="E142" s="1"/>
      <c r="F142" s="1"/>
      <c r="G142" s="686"/>
      <c r="H142" s="599"/>
      <c r="I142" s="123"/>
    </row>
    <row r="143" spans="2:9" x14ac:dyDescent="0.6">
      <c r="B143" s="1"/>
      <c r="C143" s="1"/>
      <c r="D143" s="1"/>
      <c r="E143" s="1"/>
      <c r="G143" s="60"/>
      <c r="H143" s="85"/>
    </row>
    <row r="144" spans="2:9" x14ac:dyDescent="0.6">
      <c r="B144" s="1"/>
      <c r="C144" s="1"/>
      <c r="D144" s="1"/>
      <c r="E144" s="1"/>
    </row>
    <row r="145" spans="2:8" x14ac:dyDescent="0.6">
      <c r="B145" s="1"/>
      <c r="C145" s="1"/>
      <c r="D145" s="1"/>
      <c r="E145" s="1"/>
      <c r="F145" s="1"/>
    </row>
    <row r="146" spans="2:8" x14ac:dyDescent="0.6">
      <c r="B146" s="1"/>
      <c r="C146" s="1"/>
      <c r="D146" s="1"/>
      <c r="E146" s="1"/>
      <c r="F146" s="1"/>
    </row>
    <row r="147" spans="2:8" x14ac:dyDescent="0.6">
      <c r="B147" s="1"/>
      <c r="C147" s="1"/>
      <c r="D147" s="1"/>
      <c r="E147" s="1"/>
      <c r="F147" s="1"/>
      <c r="G147" s="60"/>
      <c r="H147" s="1"/>
    </row>
    <row r="148" spans="2:8" x14ac:dyDescent="0.6">
      <c r="B148" s="1"/>
      <c r="C148" s="1"/>
      <c r="D148" s="1"/>
      <c r="E148" s="1"/>
      <c r="F148" s="1"/>
      <c r="G148" s="60"/>
      <c r="H148" s="1"/>
    </row>
    <row r="149" spans="2:8" x14ac:dyDescent="0.6">
      <c r="B149" s="1"/>
      <c r="C149" s="1"/>
      <c r="D149" s="1"/>
      <c r="E149" s="1"/>
      <c r="F149" s="1"/>
      <c r="G149" s="60"/>
      <c r="H149" s="1"/>
    </row>
    <row r="150" spans="2:8" x14ac:dyDescent="0.6">
      <c r="B150" s="1"/>
      <c r="C150" s="1"/>
      <c r="D150" s="1"/>
      <c r="E150" s="1"/>
      <c r="F150" s="1"/>
      <c r="G150" s="60"/>
      <c r="H150" s="1"/>
    </row>
    <row r="151" spans="2:8" x14ac:dyDescent="0.6">
      <c r="B151" s="1"/>
      <c r="C151" s="1"/>
      <c r="D151" s="1"/>
      <c r="E151" s="1"/>
      <c r="F151" s="1"/>
      <c r="G151" s="60"/>
      <c r="H151" s="1"/>
    </row>
    <row r="152" spans="2:8" x14ac:dyDescent="0.6">
      <c r="B152" s="1"/>
      <c r="C152" s="1"/>
      <c r="D152" s="1"/>
      <c r="E152" s="1"/>
      <c r="F152" s="1"/>
      <c r="G152" s="60"/>
      <c r="H152" s="1"/>
    </row>
    <row r="153" spans="2:8" x14ac:dyDescent="0.6">
      <c r="B153" s="1"/>
      <c r="C153" s="1"/>
      <c r="D153" s="1"/>
      <c r="E153" s="1"/>
      <c r="G153" s="60"/>
      <c r="H153" s="1"/>
    </row>
    <row r="154" spans="2:8" x14ac:dyDescent="0.6">
      <c r="B154" s="1"/>
      <c r="C154" s="1"/>
      <c r="D154" s="1"/>
      <c r="E154" s="1"/>
      <c r="G154" s="60"/>
      <c r="H154" s="1"/>
    </row>
    <row r="155" spans="2:8" x14ac:dyDescent="0.6">
      <c r="B155" s="1"/>
      <c r="C155" s="1"/>
      <c r="D155" s="1"/>
      <c r="E155" s="1"/>
      <c r="F155" s="1"/>
      <c r="G155" s="60"/>
      <c r="H155" s="1"/>
    </row>
    <row r="156" spans="2:8" x14ac:dyDescent="0.6">
      <c r="B156" s="1"/>
      <c r="C156" s="1"/>
      <c r="D156" s="1"/>
      <c r="E156" s="1"/>
      <c r="F156" s="1"/>
      <c r="G156" s="60"/>
      <c r="H156" s="1"/>
    </row>
    <row r="157" spans="2:8" x14ac:dyDescent="0.6">
      <c r="B157" s="1"/>
      <c r="C157" s="1"/>
      <c r="D157" s="1"/>
      <c r="E157" s="1"/>
      <c r="F157" s="1"/>
      <c r="G157" s="60"/>
      <c r="H157" s="1"/>
    </row>
    <row r="158" spans="2:8" x14ac:dyDescent="0.6">
      <c r="B158" s="1"/>
      <c r="C158" s="1"/>
      <c r="D158" s="1"/>
      <c r="E158" s="1"/>
      <c r="F158" s="1"/>
      <c r="G158" s="60"/>
      <c r="H158" s="1"/>
    </row>
    <row r="159" spans="2:8" x14ac:dyDescent="0.6">
      <c r="B159" s="1"/>
      <c r="C159" s="1"/>
      <c r="D159" s="1"/>
      <c r="E159" s="1"/>
      <c r="F159" s="1"/>
      <c r="G159" s="60"/>
      <c r="H159" s="1"/>
    </row>
    <row r="160" spans="2:8" x14ac:dyDescent="0.6">
      <c r="B160" s="1"/>
      <c r="C160" s="1"/>
      <c r="D160" s="1"/>
      <c r="E160" s="1"/>
      <c r="F160" s="1"/>
      <c r="G160" s="60"/>
      <c r="H160" s="1"/>
    </row>
    <row r="161" spans="6:7" s="1" customFormat="1" x14ac:dyDescent="0.6">
      <c r="G161" s="60"/>
    </row>
    <row r="162" spans="6:7" s="1" customFormat="1" x14ac:dyDescent="0.6">
      <c r="G162" s="60"/>
    </row>
    <row r="163" spans="6:7" s="1" customFormat="1" x14ac:dyDescent="0.6">
      <c r="F163" s="70"/>
      <c r="G163" s="60"/>
    </row>
    <row r="164" spans="6:7" s="1" customFormat="1" x14ac:dyDescent="0.6">
      <c r="G164" s="60"/>
    </row>
    <row r="165" spans="6:7" s="1" customFormat="1" x14ac:dyDescent="0.6">
      <c r="G165" s="60"/>
    </row>
    <row r="166" spans="6:7" s="1" customFormat="1" x14ac:dyDescent="0.6">
      <c r="G166" s="60"/>
    </row>
    <row r="167" spans="6:7" s="1" customFormat="1" x14ac:dyDescent="0.6">
      <c r="G167" s="60"/>
    </row>
    <row r="168" spans="6:7" s="1" customFormat="1" x14ac:dyDescent="0.6">
      <c r="G168" s="60"/>
    </row>
    <row r="169" spans="6:7" s="1" customFormat="1" x14ac:dyDescent="0.6">
      <c r="G169" s="60"/>
    </row>
    <row r="170" spans="6:7" s="1" customFormat="1" x14ac:dyDescent="0.6">
      <c r="G170" s="60"/>
    </row>
    <row r="171" spans="6:7" s="1" customFormat="1" x14ac:dyDescent="0.6">
      <c r="G171" s="60"/>
    </row>
    <row r="172" spans="6:7" s="1" customFormat="1" x14ac:dyDescent="0.6">
      <c r="G172" s="60"/>
    </row>
    <row r="173" spans="6:7" s="1" customFormat="1" x14ac:dyDescent="0.6">
      <c r="G173" s="60"/>
    </row>
    <row r="174" spans="6:7" s="1" customFormat="1" x14ac:dyDescent="0.6">
      <c r="F174" s="70"/>
      <c r="G174" s="60"/>
    </row>
    <row r="175" spans="6:7" s="1" customFormat="1" x14ac:dyDescent="0.6">
      <c r="G175" s="60"/>
    </row>
    <row r="176" spans="6:7" s="1" customFormat="1" x14ac:dyDescent="0.6">
      <c r="G176" s="60"/>
    </row>
    <row r="177" spans="6:7" s="1" customFormat="1" x14ac:dyDescent="0.6">
      <c r="G177" s="60"/>
    </row>
    <row r="178" spans="6:7" s="1" customFormat="1" x14ac:dyDescent="0.6">
      <c r="G178" s="60"/>
    </row>
    <row r="179" spans="6:7" s="1" customFormat="1" x14ac:dyDescent="0.6">
      <c r="G179" s="60"/>
    </row>
    <row r="180" spans="6:7" s="1" customFormat="1" x14ac:dyDescent="0.6">
      <c r="F180" s="70"/>
      <c r="G180" s="60"/>
    </row>
    <row r="181" spans="6:7" s="1" customFormat="1" x14ac:dyDescent="0.6">
      <c r="G181" s="60"/>
    </row>
    <row r="182" spans="6:7" s="1" customFormat="1" x14ac:dyDescent="0.6">
      <c r="G182" s="60"/>
    </row>
    <row r="183" spans="6:7" s="1" customFormat="1" x14ac:dyDescent="0.6">
      <c r="G183" s="60"/>
    </row>
    <row r="184" spans="6:7" s="1" customFormat="1" x14ac:dyDescent="0.6">
      <c r="G184" s="60"/>
    </row>
    <row r="185" spans="6:7" s="1" customFormat="1" x14ac:dyDescent="0.6">
      <c r="G185" s="60"/>
    </row>
    <row r="186" spans="6:7" s="1" customFormat="1" x14ac:dyDescent="0.6">
      <c r="G186" s="60"/>
    </row>
    <row r="187" spans="6:7" s="1" customFormat="1" x14ac:dyDescent="0.6">
      <c r="G187" s="60"/>
    </row>
    <row r="188" spans="6:7" s="1" customFormat="1" x14ac:dyDescent="0.6">
      <c r="G188" s="60"/>
    </row>
    <row r="189" spans="6:7" s="1" customFormat="1" x14ac:dyDescent="0.6">
      <c r="G189" s="60"/>
    </row>
    <row r="190" spans="6:7" s="1" customFormat="1" x14ac:dyDescent="0.6">
      <c r="G190" s="60"/>
    </row>
    <row r="191" spans="6:7" s="1" customFormat="1" x14ac:dyDescent="0.6">
      <c r="G191" s="60"/>
    </row>
    <row r="192" spans="6:7" s="1" customFormat="1" x14ac:dyDescent="0.6">
      <c r="G192" s="60"/>
    </row>
    <row r="193" spans="2:8" x14ac:dyDescent="0.6">
      <c r="B193" s="1"/>
      <c r="C193" s="1"/>
      <c r="D193" s="1"/>
      <c r="E193" s="1"/>
      <c r="F193" s="1"/>
      <c r="G193" s="60"/>
      <c r="H193" s="1"/>
    </row>
    <row r="194" spans="2:8" x14ac:dyDescent="0.6">
      <c r="B194" s="1"/>
      <c r="C194" s="1"/>
      <c r="D194" s="1"/>
      <c r="E194" s="1"/>
      <c r="F194" s="1"/>
      <c r="G194" s="60"/>
      <c r="H194" s="1"/>
    </row>
    <row r="195" spans="2:8" x14ac:dyDescent="0.6">
      <c r="B195" s="1"/>
      <c r="C195" s="1"/>
      <c r="D195" s="1"/>
      <c r="E195" s="1"/>
      <c r="F195" s="1"/>
      <c r="G195" s="60"/>
      <c r="H195" s="1"/>
    </row>
    <row r="196" spans="2:8" x14ac:dyDescent="0.6">
      <c r="B196" s="1"/>
      <c r="C196" s="1"/>
      <c r="D196" s="1"/>
      <c r="E196" s="1"/>
      <c r="G196" s="60"/>
      <c r="H196" s="1"/>
    </row>
    <row r="197" spans="2:8" x14ac:dyDescent="0.6">
      <c r="B197" s="1"/>
      <c r="C197" s="1"/>
      <c r="D197" s="1"/>
      <c r="E197" s="1"/>
      <c r="F197" s="1"/>
      <c r="G197" s="60"/>
      <c r="H197" s="1"/>
    </row>
    <row r="198" spans="2:8" x14ac:dyDescent="0.6">
      <c r="B198" s="1"/>
      <c r="C198" s="1"/>
      <c r="D198" s="1"/>
      <c r="E198" s="1"/>
      <c r="F198" s="1"/>
      <c r="G198" s="60"/>
      <c r="H198" s="1"/>
    </row>
    <row r="199" spans="2:8" x14ac:dyDescent="0.6">
      <c r="B199" s="1"/>
      <c r="C199" s="1"/>
      <c r="D199" s="1"/>
      <c r="E199" s="1"/>
      <c r="F199" s="1"/>
      <c r="G199" s="60"/>
      <c r="H199" s="1"/>
    </row>
    <row r="200" spans="2:8" x14ac:dyDescent="0.6">
      <c r="B200" s="1"/>
      <c r="C200" s="1"/>
      <c r="D200" s="1"/>
      <c r="E200" s="1"/>
      <c r="F200" s="1"/>
      <c r="G200" s="60"/>
      <c r="H200" s="1"/>
    </row>
    <row r="201" spans="2:8" x14ac:dyDescent="0.6">
      <c r="B201" s="1"/>
      <c r="C201" s="1"/>
      <c r="D201" s="1"/>
      <c r="E201" s="1"/>
      <c r="F201" s="1"/>
      <c r="G201" s="60"/>
      <c r="H201" s="1"/>
    </row>
    <row r="202" spans="2:8" x14ac:dyDescent="0.6">
      <c r="B202" s="1"/>
      <c r="C202" s="1"/>
      <c r="D202" s="1"/>
      <c r="E202" s="1"/>
      <c r="F202" s="1"/>
      <c r="G202" s="60"/>
      <c r="H202" s="1"/>
    </row>
    <row r="203" spans="2:8" x14ac:dyDescent="0.6">
      <c r="B203" s="1"/>
      <c r="C203" s="1"/>
      <c r="D203" s="1"/>
      <c r="E203" s="1"/>
      <c r="F203" s="1"/>
      <c r="G203" s="60"/>
      <c r="H203" s="1"/>
    </row>
    <row r="204" spans="2:8" x14ac:dyDescent="0.6">
      <c r="G204" s="60"/>
      <c r="H204" s="1"/>
    </row>
    <row r="205" spans="2:8" x14ac:dyDescent="0.6">
      <c r="G205" s="60"/>
      <c r="H205" s="1"/>
    </row>
    <row r="206" spans="2:8" x14ac:dyDescent="0.6">
      <c r="G206" s="60"/>
      <c r="H206" s="1"/>
    </row>
    <row r="207" spans="2:8" x14ac:dyDescent="0.6">
      <c r="G207" s="60"/>
      <c r="H207" s="1"/>
    </row>
    <row r="208" spans="2:8" x14ac:dyDescent="0.6">
      <c r="G208" s="60"/>
      <c r="H208" s="1"/>
    </row>
    <row r="209" spans="7:8" x14ac:dyDescent="0.6">
      <c r="G209" s="60"/>
      <c r="H209" s="1"/>
    </row>
    <row r="210" spans="7:8" x14ac:dyDescent="0.6">
      <c r="G210" s="60"/>
      <c r="H210" s="1"/>
    </row>
    <row r="211" spans="7:8" x14ac:dyDescent="0.6">
      <c r="G211" s="60"/>
      <c r="H211" s="1"/>
    </row>
    <row r="212" spans="7:8" x14ac:dyDescent="0.6">
      <c r="G212" s="60"/>
      <c r="H212" s="1"/>
    </row>
    <row r="213" spans="7:8" x14ac:dyDescent="0.6">
      <c r="G213" s="60"/>
      <c r="H213" s="1"/>
    </row>
    <row r="214" spans="7:8" x14ac:dyDescent="0.6">
      <c r="G214" s="60"/>
      <c r="H214" s="1"/>
    </row>
    <row r="215" spans="7:8" x14ac:dyDescent="0.6">
      <c r="G215" s="60"/>
      <c r="H215" s="1"/>
    </row>
    <row r="216" spans="7:8" x14ac:dyDescent="0.6">
      <c r="G216" s="60"/>
      <c r="H216" s="1"/>
    </row>
    <row r="217" spans="7:8" x14ac:dyDescent="0.6">
      <c r="G217" s="60"/>
      <c r="H217" s="1"/>
    </row>
    <row r="218" spans="7:8" x14ac:dyDescent="0.6">
      <c r="G218" s="60"/>
      <c r="H218" s="1"/>
    </row>
    <row r="219" spans="7:8" x14ac:dyDescent="0.6">
      <c r="G219" s="60"/>
      <c r="H219" s="1"/>
    </row>
    <row r="220" spans="7:8" x14ac:dyDescent="0.6">
      <c r="G220" s="60"/>
      <c r="H220" s="1"/>
    </row>
    <row r="221" spans="7:8" x14ac:dyDescent="0.6">
      <c r="G221" s="60"/>
      <c r="H221" s="1"/>
    </row>
    <row r="222" spans="7:8" x14ac:dyDescent="0.6">
      <c r="G222" s="60"/>
      <c r="H222" s="1"/>
    </row>
    <row r="223" spans="7:8" x14ac:dyDescent="0.6">
      <c r="G223" s="60"/>
      <c r="H223" s="1"/>
    </row>
    <row r="224" spans="7:8" x14ac:dyDescent="0.6">
      <c r="G224" s="60"/>
      <c r="H224" s="1"/>
    </row>
    <row r="225" spans="7:8" x14ac:dyDescent="0.6">
      <c r="G225" s="60"/>
      <c r="H225" s="1"/>
    </row>
    <row r="226" spans="7:8" x14ac:dyDescent="0.6">
      <c r="G226" s="60"/>
      <c r="H226" s="1"/>
    </row>
    <row r="227" spans="7:8" x14ac:dyDescent="0.6">
      <c r="G227" s="60"/>
      <c r="H227" s="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83"/>
  <sheetViews>
    <sheetView showGridLines="0" showZeros="0" zoomScale="115" zoomScaleNormal="115" zoomScalePageLayoutView="11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0.84765625" defaultRowHeight="15.6" x14ac:dyDescent="0.6"/>
  <cols>
    <col min="1" max="1" width="26.84765625" style="1" bestFit="1" customWidth="1"/>
    <col min="2" max="2" width="18.5" style="17" bestFit="1" customWidth="1"/>
    <col min="3" max="3" width="15" style="17" bestFit="1" customWidth="1"/>
    <col min="4" max="4" width="14" style="17" bestFit="1" customWidth="1"/>
    <col min="5" max="5" width="16" style="17" bestFit="1" customWidth="1"/>
    <col min="6" max="6" width="18.5" style="17" bestFit="1" customWidth="1"/>
    <col min="7" max="7" width="10.84765625" style="17"/>
    <col min="8" max="16384" width="10.84765625" style="1"/>
  </cols>
  <sheetData>
    <row r="1" spans="1:7" x14ac:dyDescent="0.6">
      <c r="A1" s="1" t="s">
        <v>694</v>
      </c>
    </row>
    <row r="2" spans="1:7" x14ac:dyDescent="0.6">
      <c r="A2" s="1" t="s">
        <v>518</v>
      </c>
      <c r="E2" s="18" t="s">
        <v>123</v>
      </c>
    </row>
    <row r="3" spans="1:7" s="2" customFormat="1" x14ac:dyDescent="0.6">
      <c r="B3" s="18" t="s">
        <v>43</v>
      </c>
      <c r="C3" s="18" t="s">
        <v>114</v>
      </c>
      <c r="D3" s="18" t="s">
        <v>45</v>
      </c>
      <c r="E3" s="18" t="s">
        <v>872</v>
      </c>
      <c r="F3" s="18" t="s">
        <v>42</v>
      </c>
      <c r="G3" s="18"/>
    </row>
    <row r="4" spans="1:7" x14ac:dyDescent="0.6">
      <c r="A4" s="129" t="s">
        <v>48</v>
      </c>
      <c r="B4" s="1556">
        <v>-22400000</v>
      </c>
      <c r="C4" s="1557"/>
      <c r="D4" s="1557"/>
      <c r="E4" s="810">
        <v>-6179800000</v>
      </c>
      <c r="F4" s="607">
        <f>SUM(B4:E4)</f>
        <v>-6202200000</v>
      </c>
    </row>
    <row r="5" spans="1:7" x14ac:dyDescent="0.6">
      <c r="A5" s="129" t="s">
        <v>53</v>
      </c>
      <c r="B5" s="1556">
        <v>-8610500000</v>
      </c>
      <c r="C5" s="1557">
        <v>-2231000000</v>
      </c>
      <c r="D5" s="1557"/>
      <c r="E5" s="810">
        <v>-2742800000</v>
      </c>
      <c r="F5" s="607">
        <f t="shared" ref="F5:F28" si="0">SUM(B5:E5)</f>
        <v>-13584300000</v>
      </c>
    </row>
    <row r="6" spans="1:7" x14ac:dyDescent="0.6">
      <c r="A6" s="129" t="s">
        <v>54</v>
      </c>
      <c r="B6" s="1556">
        <v>-156900000</v>
      </c>
      <c r="C6" s="1557"/>
      <c r="D6" s="1557"/>
      <c r="E6" s="810">
        <v>-210500000</v>
      </c>
      <c r="F6" s="607">
        <f t="shared" si="0"/>
        <v>-367400000</v>
      </c>
    </row>
    <row r="7" spans="1:7" x14ac:dyDescent="0.6">
      <c r="A7" s="129" t="s">
        <v>55</v>
      </c>
      <c r="B7" s="1556">
        <v>-14000000</v>
      </c>
      <c r="C7" s="1557">
        <v>-448400000</v>
      </c>
      <c r="D7" s="1557"/>
      <c r="E7" s="810">
        <v>-472200000</v>
      </c>
      <c r="F7" s="607">
        <f t="shared" si="0"/>
        <v>-934600000</v>
      </c>
    </row>
    <row r="8" spans="1:7" x14ac:dyDescent="0.6">
      <c r="A8" s="129" t="s">
        <v>56</v>
      </c>
      <c r="B8" s="1556">
        <v>-308000000</v>
      </c>
      <c r="C8" s="1557"/>
      <c r="D8" s="1557"/>
      <c r="E8" s="810">
        <v>-1234300000</v>
      </c>
      <c r="F8" s="607">
        <f t="shared" si="0"/>
        <v>-1542300000</v>
      </c>
    </row>
    <row r="9" spans="1:7" s="85" customFormat="1" x14ac:dyDescent="0.6">
      <c r="A9" s="616" t="s">
        <v>57</v>
      </c>
      <c r="B9" s="1556">
        <v>-141300000</v>
      </c>
      <c r="C9" s="1557"/>
      <c r="D9" s="1557"/>
      <c r="E9" s="810">
        <v>-12200000</v>
      </c>
      <c r="F9" s="607">
        <f t="shared" si="0"/>
        <v>-153500000</v>
      </c>
      <c r="G9" s="70"/>
    </row>
    <row r="10" spans="1:7" s="85" customFormat="1" x14ac:dyDescent="0.6">
      <c r="A10" s="616" t="s">
        <v>58</v>
      </c>
      <c r="B10" s="1556">
        <v>-2285400000</v>
      </c>
      <c r="C10" s="1557">
        <v>-800000</v>
      </c>
      <c r="D10" s="1557"/>
      <c r="E10" s="810"/>
      <c r="F10" s="607">
        <f t="shared" si="0"/>
        <v>-2286200000</v>
      </c>
      <c r="G10" s="70"/>
    </row>
    <row r="11" spans="1:7" s="85" customFormat="1" x14ac:dyDescent="0.6">
      <c r="A11" s="616" t="s">
        <v>59</v>
      </c>
      <c r="B11" s="1556">
        <v>-9669900000</v>
      </c>
      <c r="C11" s="1557">
        <v>-502400000</v>
      </c>
      <c r="D11" s="1557"/>
      <c r="E11" s="810">
        <v>-4969200000</v>
      </c>
      <c r="F11" s="607">
        <f t="shared" si="0"/>
        <v>-15141500000</v>
      </c>
      <c r="G11" s="70"/>
    </row>
    <row r="12" spans="1:7" s="85" customFormat="1" x14ac:dyDescent="0.6">
      <c r="A12" s="616" t="s">
        <v>60</v>
      </c>
      <c r="B12" s="1556">
        <v>-133800000</v>
      </c>
      <c r="C12" s="1557"/>
      <c r="D12" s="1557"/>
      <c r="E12" s="810">
        <v>-700000</v>
      </c>
      <c r="F12" s="607">
        <f t="shared" si="0"/>
        <v>-134500000</v>
      </c>
      <c r="G12" s="70"/>
    </row>
    <row r="13" spans="1:7" s="85" customFormat="1" x14ac:dyDescent="0.6">
      <c r="A13" s="616" t="s">
        <v>61</v>
      </c>
      <c r="B13" s="1556">
        <v>-7111100000</v>
      </c>
      <c r="C13" s="1557"/>
      <c r="D13" s="1557"/>
      <c r="E13" s="810">
        <v>-8717900000</v>
      </c>
      <c r="F13" s="607">
        <f t="shared" si="0"/>
        <v>-15829000000</v>
      </c>
      <c r="G13" s="70"/>
    </row>
    <row r="14" spans="1:7" s="85" customFormat="1" x14ac:dyDescent="0.6">
      <c r="A14" s="616" t="s">
        <v>62</v>
      </c>
      <c r="B14" s="1556">
        <v>-3053800000</v>
      </c>
      <c r="C14" s="1557">
        <v>-226200000</v>
      </c>
      <c r="D14" s="1557"/>
      <c r="E14" s="810">
        <v>-1848600000</v>
      </c>
      <c r="F14" s="607">
        <f t="shared" si="0"/>
        <v>-5128600000</v>
      </c>
      <c r="G14" s="70"/>
    </row>
    <row r="15" spans="1:7" s="85" customFormat="1" x14ac:dyDescent="0.6">
      <c r="A15" s="616" t="s">
        <v>63</v>
      </c>
      <c r="B15" s="1556">
        <v>-17151500000</v>
      </c>
      <c r="C15" s="1557">
        <v>-17553500000</v>
      </c>
      <c r="D15" s="1557"/>
      <c r="E15" s="810">
        <v>-12254400000</v>
      </c>
      <c r="F15" s="607">
        <f t="shared" si="0"/>
        <v>-46959400000</v>
      </c>
      <c r="G15" s="70"/>
    </row>
    <row r="16" spans="1:7" s="85" customFormat="1" x14ac:dyDescent="0.6">
      <c r="A16" s="616" t="s">
        <v>64</v>
      </c>
      <c r="B16" s="1556">
        <v>-510900000</v>
      </c>
      <c r="C16" s="1557">
        <v>-294300000</v>
      </c>
      <c r="D16" s="1557">
        <v>-1004300000</v>
      </c>
      <c r="E16" s="810">
        <v>-432600000</v>
      </c>
      <c r="F16" s="607">
        <f t="shared" si="0"/>
        <v>-2242100000</v>
      </c>
      <c r="G16" s="70"/>
    </row>
    <row r="17" spans="1:7" s="85" customFormat="1" x14ac:dyDescent="0.6">
      <c r="A17" s="616" t="s">
        <v>65</v>
      </c>
      <c r="B17" s="1556">
        <v>-1401500000</v>
      </c>
      <c r="C17" s="1557">
        <v>-1204400000</v>
      </c>
      <c r="D17" s="1557"/>
      <c r="E17" s="810">
        <v>-3315200000</v>
      </c>
      <c r="F17" s="607">
        <f t="shared" si="0"/>
        <v>-5921100000</v>
      </c>
      <c r="G17" s="70"/>
    </row>
    <row r="18" spans="1:7" s="85" customFormat="1" x14ac:dyDescent="0.6">
      <c r="A18" s="616" t="s">
        <v>66</v>
      </c>
      <c r="B18" s="1556">
        <v>-3347500000</v>
      </c>
      <c r="C18" s="1557">
        <v>-10700000</v>
      </c>
      <c r="D18" s="1557"/>
      <c r="E18" s="810">
        <v>-384500000</v>
      </c>
      <c r="F18" s="607">
        <f t="shared" si="0"/>
        <v>-3742700000</v>
      </c>
      <c r="G18" s="70"/>
    </row>
    <row r="19" spans="1:7" s="85" customFormat="1" x14ac:dyDescent="0.6">
      <c r="A19" s="616" t="s">
        <v>67</v>
      </c>
      <c r="B19" s="1556">
        <v>-388200000</v>
      </c>
      <c r="C19" s="1557"/>
      <c r="D19" s="1557"/>
      <c r="E19" s="810"/>
      <c r="F19" s="607">
        <f t="shared" si="0"/>
        <v>-388200000</v>
      </c>
      <c r="G19" s="70"/>
    </row>
    <row r="20" spans="1:7" s="85" customFormat="1" x14ac:dyDescent="0.6">
      <c r="A20" s="616" t="s">
        <v>68</v>
      </c>
      <c r="B20" s="1556">
        <v>-2438800000</v>
      </c>
      <c r="C20" s="1557"/>
      <c r="D20" s="1557"/>
      <c r="E20" s="810"/>
      <c r="F20" s="607">
        <f t="shared" si="0"/>
        <v>-2438800000</v>
      </c>
      <c r="G20" s="70"/>
    </row>
    <row r="21" spans="1:7" s="85" customFormat="1" x14ac:dyDescent="0.6">
      <c r="A21" s="616" t="s">
        <v>695</v>
      </c>
      <c r="B21" s="1556">
        <v>-82400000</v>
      </c>
      <c r="C21" s="1557"/>
      <c r="D21" s="1557"/>
      <c r="E21" s="810"/>
      <c r="F21" s="607">
        <f t="shared" si="0"/>
        <v>-82400000</v>
      </c>
      <c r="G21" s="70"/>
    </row>
    <row r="22" spans="1:7" s="85" customFormat="1" x14ac:dyDescent="0.6">
      <c r="A22" s="616" t="s">
        <v>69</v>
      </c>
      <c r="B22" s="1556">
        <v>-738100000</v>
      </c>
      <c r="C22" s="1557">
        <v>-944100000</v>
      </c>
      <c r="D22" s="1557"/>
      <c r="E22" s="810">
        <v>-1406700000</v>
      </c>
      <c r="F22" s="607">
        <f t="shared" si="0"/>
        <v>-3088900000</v>
      </c>
      <c r="G22" s="70"/>
    </row>
    <row r="23" spans="1:7" s="85" customFormat="1" x14ac:dyDescent="0.6">
      <c r="A23" s="616" t="s">
        <v>70</v>
      </c>
      <c r="B23" s="1556">
        <v>-27965300000</v>
      </c>
      <c r="C23" s="1557">
        <v>-4507400000</v>
      </c>
      <c r="D23" s="1557"/>
      <c r="E23" s="810">
        <v>-12080000000</v>
      </c>
      <c r="F23" s="607">
        <f t="shared" si="0"/>
        <v>-44552700000</v>
      </c>
      <c r="G23" s="70"/>
    </row>
    <row r="24" spans="1:7" s="85" customFormat="1" x14ac:dyDescent="0.6">
      <c r="A24" s="616" t="s">
        <v>71</v>
      </c>
      <c r="B24" s="1556">
        <v>-481900000</v>
      </c>
      <c r="C24" s="1557"/>
      <c r="D24" s="1557"/>
      <c r="E24" s="810">
        <v>-312400000</v>
      </c>
      <c r="F24" s="607">
        <f t="shared" si="0"/>
        <v>-794300000</v>
      </c>
      <c r="G24" s="70"/>
    </row>
    <row r="25" spans="1:7" s="85" customFormat="1" x14ac:dyDescent="0.6">
      <c r="A25" s="616" t="s">
        <v>72</v>
      </c>
      <c r="B25" s="1556">
        <v>-2802900000</v>
      </c>
      <c r="C25" s="1557"/>
      <c r="D25" s="1557">
        <v>-2463600000</v>
      </c>
      <c r="E25" s="810">
        <v>-995700000</v>
      </c>
      <c r="F25" s="607">
        <f t="shared" si="0"/>
        <v>-6262200000</v>
      </c>
      <c r="G25" s="70"/>
    </row>
    <row r="26" spans="1:7" s="85" customFormat="1" x14ac:dyDescent="0.6">
      <c r="A26" s="616" t="s">
        <v>73</v>
      </c>
      <c r="B26" s="1556">
        <v>-891700000</v>
      </c>
      <c r="C26" s="1557">
        <v>-7225000000</v>
      </c>
      <c r="D26" s="1557"/>
      <c r="E26" s="810">
        <v>-2083200000</v>
      </c>
      <c r="F26" s="607">
        <f t="shared" si="0"/>
        <v>-10199900000</v>
      </c>
      <c r="G26" s="70"/>
    </row>
    <row r="27" spans="1:7" s="85" customFormat="1" x14ac:dyDescent="0.6">
      <c r="A27" s="616" t="s">
        <v>74</v>
      </c>
      <c r="B27" s="1556">
        <v>-201700000</v>
      </c>
      <c r="C27" s="1557">
        <v>-4980600000</v>
      </c>
      <c r="D27" s="1557"/>
      <c r="E27" s="810">
        <v>-1011900000</v>
      </c>
      <c r="F27" s="607">
        <f t="shared" si="0"/>
        <v>-6194200000</v>
      </c>
      <c r="G27" s="70"/>
    </row>
    <row r="28" spans="1:7" s="85" customFormat="1" x14ac:dyDescent="0.6">
      <c r="A28" s="1000" t="s">
        <v>75</v>
      </c>
      <c r="B28" s="1558">
        <v>-18818200000</v>
      </c>
      <c r="C28" s="1559">
        <v>-2688600000</v>
      </c>
      <c r="D28" s="1559"/>
      <c r="E28" s="1560">
        <v>-3742100000</v>
      </c>
      <c r="F28" s="607">
        <f t="shared" si="0"/>
        <v>-25248900000</v>
      </c>
      <c r="G28" s="70"/>
    </row>
    <row r="29" spans="1:7" s="192" customFormat="1" x14ac:dyDescent="0.6">
      <c r="A29" s="1649" t="s">
        <v>42</v>
      </c>
      <c r="B29" s="1650">
        <f t="shared" ref="B29:F29" si="1">SUM(B4:B28)</f>
        <v>-108727700000</v>
      </c>
      <c r="C29" s="1650">
        <f t="shared" si="1"/>
        <v>-42817400000</v>
      </c>
      <c r="D29" s="1650">
        <f t="shared" si="1"/>
        <v>-3467900000</v>
      </c>
      <c r="E29" s="1650">
        <f t="shared" si="1"/>
        <v>-64406900000</v>
      </c>
      <c r="F29" s="1651">
        <f t="shared" si="1"/>
        <v>-219419900000</v>
      </c>
      <c r="G29" s="120"/>
    </row>
    <row r="30" spans="1:7" s="85" customFormat="1" x14ac:dyDescent="0.6">
      <c r="B30" s="70"/>
      <c r="C30" s="70"/>
      <c r="D30" s="70"/>
      <c r="E30" s="70"/>
      <c r="F30" s="70"/>
      <c r="G30" s="70"/>
    </row>
    <row r="31" spans="1:7" x14ac:dyDescent="0.6">
      <c r="A31" s="192" t="s">
        <v>1741</v>
      </c>
    </row>
    <row r="32" spans="1:7" x14ac:dyDescent="0.6">
      <c r="A32" s="129" t="s">
        <v>53</v>
      </c>
      <c r="B32" s="1556">
        <v>-8610500000</v>
      </c>
      <c r="C32" s="1557">
        <v>-2231000000</v>
      </c>
      <c r="D32" s="1557"/>
      <c r="E32" s="810">
        <v>-2742800000</v>
      </c>
      <c r="F32" s="607">
        <f t="shared" ref="F32:F56" si="2">SUM(B32:E32)</f>
        <v>-13584300000</v>
      </c>
    </row>
    <row r="33" spans="1:6" x14ac:dyDescent="0.6">
      <c r="A33" s="129" t="s">
        <v>54</v>
      </c>
      <c r="B33" s="1556">
        <v>-156900000</v>
      </c>
      <c r="C33" s="1557"/>
      <c r="D33" s="1557"/>
      <c r="E33" s="810">
        <v>-210500000</v>
      </c>
      <c r="F33" s="607">
        <f t="shared" si="2"/>
        <v>-367400000</v>
      </c>
    </row>
    <row r="34" spans="1:6" x14ac:dyDescent="0.6">
      <c r="A34" s="129" t="s">
        <v>55</v>
      </c>
      <c r="B34" s="1556">
        <v>-14000000</v>
      </c>
      <c r="C34" s="1557">
        <v>-448400000</v>
      </c>
      <c r="D34" s="1557"/>
      <c r="E34" s="810">
        <v>-472200000</v>
      </c>
      <c r="F34" s="607">
        <f t="shared" si="2"/>
        <v>-934600000</v>
      </c>
    </row>
    <row r="35" spans="1:6" x14ac:dyDescent="0.6">
      <c r="A35" s="129" t="s">
        <v>56</v>
      </c>
      <c r="B35" s="1556">
        <v>-308000000</v>
      </c>
      <c r="C35" s="1557"/>
      <c r="D35" s="1557"/>
      <c r="E35" s="810">
        <v>-1234300000</v>
      </c>
      <c r="F35" s="607">
        <f t="shared" si="2"/>
        <v>-1542300000</v>
      </c>
    </row>
    <row r="36" spans="1:6" x14ac:dyDescent="0.6">
      <c r="A36" s="616" t="s">
        <v>57</v>
      </c>
      <c r="B36" s="1556">
        <v>-141300000</v>
      </c>
      <c r="C36" s="1557"/>
      <c r="D36" s="1557"/>
      <c r="E36" s="810">
        <v>-12200000</v>
      </c>
      <c r="F36" s="607">
        <f t="shared" si="2"/>
        <v>-153500000</v>
      </c>
    </row>
    <row r="37" spans="1:6" x14ac:dyDescent="0.6">
      <c r="A37" s="616" t="s">
        <v>58</v>
      </c>
      <c r="B37" s="1556">
        <v>-2285400000</v>
      </c>
      <c r="C37" s="1557">
        <v>-800000</v>
      </c>
      <c r="D37" s="1557"/>
      <c r="E37" s="810"/>
      <c r="F37" s="607">
        <f t="shared" si="2"/>
        <v>-2286200000</v>
      </c>
    </row>
    <row r="38" spans="1:6" x14ac:dyDescent="0.6">
      <c r="A38" s="616" t="s">
        <v>59</v>
      </c>
      <c r="B38" s="1556">
        <v>-9669900000</v>
      </c>
      <c r="C38" s="1557">
        <v>-502400000</v>
      </c>
      <c r="D38" s="1557"/>
      <c r="E38" s="810">
        <v>-4969200000</v>
      </c>
      <c r="F38" s="607">
        <f t="shared" si="2"/>
        <v>-15141500000</v>
      </c>
    </row>
    <row r="39" spans="1:6" x14ac:dyDescent="0.6">
      <c r="A39" s="616" t="s">
        <v>60</v>
      </c>
      <c r="B39" s="1556">
        <v>-133800000</v>
      </c>
      <c r="C39" s="1557"/>
      <c r="D39" s="1557"/>
      <c r="E39" s="810">
        <v>-700000</v>
      </c>
      <c r="F39" s="607">
        <f t="shared" si="2"/>
        <v>-134500000</v>
      </c>
    </row>
    <row r="40" spans="1:6" x14ac:dyDescent="0.6">
      <c r="A40" s="616" t="s">
        <v>61</v>
      </c>
      <c r="B40" s="1556">
        <v>-7111100000</v>
      </c>
      <c r="C40" s="1557"/>
      <c r="D40" s="1557"/>
      <c r="E40" s="810">
        <v>-8717900000</v>
      </c>
      <c r="F40" s="607">
        <f t="shared" si="2"/>
        <v>-15829000000</v>
      </c>
    </row>
    <row r="41" spans="1:6" x14ac:dyDescent="0.6">
      <c r="A41" s="616" t="s">
        <v>63</v>
      </c>
      <c r="B41" s="1556">
        <v>-17151500000</v>
      </c>
      <c r="C41" s="1557">
        <v>-17553500000</v>
      </c>
      <c r="D41" s="1557"/>
      <c r="E41" s="810">
        <v>-12254400000</v>
      </c>
      <c r="F41" s="607">
        <f t="shared" si="2"/>
        <v>-46959400000</v>
      </c>
    </row>
    <row r="42" spans="1:6" x14ac:dyDescent="0.6">
      <c r="A42" s="616" t="s">
        <v>62</v>
      </c>
      <c r="B42" s="1556">
        <v>-3053800000</v>
      </c>
      <c r="C42" s="1557">
        <v>-226200000</v>
      </c>
      <c r="D42" s="1557"/>
      <c r="E42" s="810">
        <v>-1848600000</v>
      </c>
      <c r="F42" s="607">
        <f t="shared" si="2"/>
        <v>-5128600000</v>
      </c>
    </row>
    <row r="43" spans="1:6" x14ac:dyDescent="0.6">
      <c r="A43" s="616" t="s">
        <v>64</v>
      </c>
      <c r="B43" s="1556">
        <v>-510900000</v>
      </c>
      <c r="C43" s="1557">
        <v>-294300000</v>
      </c>
      <c r="D43" s="1557">
        <v>-1004300000</v>
      </c>
      <c r="E43" s="810">
        <v>-432600000</v>
      </c>
      <c r="F43" s="607">
        <f t="shared" si="2"/>
        <v>-2242100000</v>
      </c>
    </row>
    <row r="44" spans="1:6" x14ac:dyDescent="0.6">
      <c r="A44" s="616" t="s">
        <v>65</v>
      </c>
      <c r="B44" s="1556">
        <v>-1401500000</v>
      </c>
      <c r="C44" s="1557">
        <v>-1204400000</v>
      </c>
      <c r="D44" s="1557"/>
      <c r="E44" s="810">
        <v>-3315200000</v>
      </c>
      <c r="F44" s="607">
        <f t="shared" si="2"/>
        <v>-5921100000</v>
      </c>
    </row>
    <row r="45" spans="1:6" x14ac:dyDescent="0.6">
      <c r="A45" s="616" t="s">
        <v>66</v>
      </c>
      <c r="B45" s="1556">
        <v>-3347500000</v>
      </c>
      <c r="C45" s="1557">
        <v>-10700000</v>
      </c>
      <c r="D45" s="1557"/>
      <c r="E45" s="810">
        <v>-384500000</v>
      </c>
      <c r="F45" s="607">
        <f t="shared" si="2"/>
        <v>-3742700000</v>
      </c>
    </row>
    <row r="46" spans="1:6" x14ac:dyDescent="0.6">
      <c r="A46" s="616" t="s">
        <v>67</v>
      </c>
      <c r="B46" s="1556">
        <v>-388200000</v>
      </c>
      <c r="C46" s="1557"/>
      <c r="D46" s="1557"/>
      <c r="E46" s="810"/>
      <c r="F46" s="607">
        <f t="shared" si="2"/>
        <v>-388200000</v>
      </c>
    </row>
    <row r="47" spans="1:6" x14ac:dyDescent="0.6">
      <c r="A47" s="129" t="s">
        <v>48</v>
      </c>
      <c r="B47" s="1556">
        <v>-22400000</v>
      </c>
      <c r="C47" s="1557"/>
      <c r="D47" s="1557"/>
      <c r="E47" s="810">
        <v>-6179800000</v>
      </c>
      <c r="F47" s="607">
        <f t="shared" si="2"/>
        <v>-6202200000</v>
      </c>
    </row>
    <row r="48" spans="1:6" x14ac:dyDescent="0.6">
      <c r="A48" s="616" t="s">
        <v>68</v>
      </c>
      <c r="B48" s="1556">
        <v>-2438800000</v>
      </c>
      <c r="C48" s="1557"/>
      <c r="D48" s="1557"/>
      <c r="E48" s="810"/>
      <c r="F48" s="607">
        <f t="shared" si="2"/>
        <v>-2438800000</v>
      </c>
    </row>
    <row r="49" spans="1:6" x14ac:dyDescent="0.6">
      <c r="A49" s="616" t="s">
        <v>695</v>
      </c>
      <c r="B49" s="1556">
        <v>-82400000</v>
      </c>
      <c r="C49" s="1557"/>
      <c r="D49" s="1557"/>
      <c r="E49" s="810"/>
      <c r="F49" s="607">
        <f t="shared" si="2"/>
        <v>-82400000</v>
      </c>
    </row>
    <row r="50" spans="1:6" x14ac:dyDescent="0.6">
      <c r="A50" s="616" t="s">
        <v>69</v>
      </c>
      <c r="B50" s="1556">
        <v>-738100000</v>
      </c>
      <c r="C50" s="1557">
        <v>-944100000</v>
      </c>
      <c r="D50" s="1557"/>
      <c r="E50" s="810">
        <v>-1406700000</v>
      </c>
      <c r="F50" s="607">
        <f t="shared" si="2"/>
        <v>-3088900000</v>
      </c>
    </row>
    <row r="51" spans="1:6" x14ac:dyDescent="0.6">
      <c r="A51" s="616" t="s">
        <v>70</v>
      </c>
      <c r="B51" s="1556">
        <v>-27965300000</v>
      </c>
      <c r="C51" s="1557">
        <v>-4507400000</v>
      </c>
      <c r="D51" s="1557"/>
      <c r="E51" s="810">
        <v>-12080000000</v>
      </c>
      <c r="F51" s="607">
        <f t="shared" si="2"/>
        <v>-44552700000</v>
      </c>
    </row>
    <row r="52" spans="1:6" x14ac:dyDescent="0.6">
      <c r="A52" s="616" t="s">
        <v>71</v>
      </c>
      <c r="B52" s="1556">
        <v>-481900000</v>
      </c>
      <c r="C52" s="1557"/>
      <c r="D52" s="1557"/>
      <c r="E52" s="810">
        <v>-312400000</v>
      </c>
      <c r="F52" s="607">
        <f t="shared" si="2"/>
        <v>-794300000</v>
      </c>
    </row>
    <row r="53" spans="1:6" x14ac:dyDescent="0.6">
      <c r="A53" s="616" t="s">
        <v>72</v>
      </c>
      <c r="B53" s="1556">
        <v>-2802900000</v>
      </c>
      <c r="C53" s="1557"/>
      <c r="D53" s="1557">
        <v>-2463600000</v>
      </c>
      <c r="E53" s="810">
        <v>-995700000</v>
      </c>
      <c r="F53" s="607">
        <f t="shared" si="2"/>
        <v>-6262200000</v>
      </c>
    </row>
    <row r="54" spans="1:6" x14ac:dyDescent="0.6">
      <c r="A54" s="616" t="s">
        <v>73</v>
      </c>
      <c r="B54" s="1556">
        <v>-891700000</v>
      </c>
      <c r="C54" s="1557">
        <v>-7225000000</v>
      </c>
      <c r="D54" s="1557"/>
      <c r="E54" s="810">
        <v>-2083200000</v>
      </c>
      <c r="F54" s="607">
        <f t="shared" si="2"/>
        <v>-10199900000</v>
      </c>
    </row>
    <row r="55" spans="1:6" x14ac:dyDescent="0.6">
      <c r="A55" s="616" t="s">
        <v>74</v>
      </c>
      <c r="B55" s="1556">
        <v>-201700000</v>
      </c>
      <c r="C55" s="1557">
        <v>-4980600000</v>
      </c>
      <c r="D55" s="1557"/>
      <c r="E55" s="810">
        <v>-1011900000</v>
      </c>
      <c r="F55" s="607">
        <f t="shared" si="2"/>
        <v>-6194200000</v>
      </c>
    </row>
    <row r="56" spans="1:6" x14ac:dyDescent="0.6">
      <c r="A56" s="1648" t="s">
        <v>75</v>
      </c>
      <c r="B56" s="1559">
        <v>-18818200000</v>
      </c>
      <c r="C56" s="1559">
        <v>-2688600000</v>
      </c>
      <c r="D56" s="1559"/>
      <c r="E56" s="1559">
        <v>-3742100000</v>
      </c>
      <c r="F56" s="369">
        <f t="shared" si="2"/>
        <v>-25248900000</v>
      </c>
    </row>
    <row r="57" spans="1:6" x14ac:dyDescent="0.6">
      <c r="F57" s="1653"/>
    </row>
    <row r="58" spans="1:6" x14ac:dyDescent="0.6">
      <c r="A58" s="192" t="s">
        <v>1742</v>
      </c>
      <c r="B58" s="239"/>
      <c r="F58" s="111"/>
    </row>
    <row r="59" spans="1:6" x14ac:dyDescent="0.6">
      <c r="A59" s="129" t="s">
        <v>53</v>
      </c>
      <c r="B59" s="239">
        <v>0.09</v>
      </c>
      <c r="F59" s="111"/>
    </row>
    <row r="60" spans="1:6" x14ac:dyDescent="0.6">
      <c r="A60" s="129" t="s">
        <v>54</v>
      </c>
      <c r="B60" s="239">
        <v>0.1</v>
      </c>
      <c r="F60" s="111"/>
    </row>
    <row r="61" spans="1:6" x14ac:dyDescent="0.6">
      <c r="A61" s="129" t="s">
        <v>55</v>
      </c>
      <c r="B61" s="239">
        <v>0.18</v>
      </c>
      <c r="F61" s="111"/>
    </row>
    <row r="62" spans="1:6" x14ac:dyDescent="0.6">
      <c r="A62" s="129" t="s">
        <v>56</v>
      </c>
      <c r="B62" s="239">
        <v>0.05</v>
      </c>
      <c r="F62" s="111"/>
    </row>
    <row r="63" spans="1:6" x14ac:dyDescent="0.6">
      <c r="A63" s="616" t="s">
        <v>57</v>
      </c>
      <c r="B63" s="239"/>
      <c r="F63" s="111"/>
    </row>
    <row r="64" spans="1:6" x14ac:dyDescent="0.6">
      <c r="A64" s="616" t="s">
        <v>58</v>
      </c>
      <c r="B64" s="239">
        <v>0.12</v>
      </c>
      <c r="F64" s="111"/>
    </row>
    <row r="65" spans="1:6" x14ac:dyDescent="0.6">
      <c r="A65" s="616" t="s">
        <v>59</v>
      </c>
      <c r="B65" s="239">
        <v>0.14000000000000001</v>
      </c>
      <c r="F65" s="111"/>
    </row>
    <row r="66" spans="1:6" x14ac:dyDescent="0.6">
      <c r="A66" s="616" t="s">
        <v>60</v>
      </c>
      <c r="B66" s="239">
        <v>0.18</v>
      </c>
      <c r="F66" s="111"/>
    </row>
    <row r="67" spans="1:6" x14ac:dyDescent="0.6">
      <c r="A67" s="616" t="s">
        <v>61</v>
      </c>
      <c r="B67" s="239">
        <v>0.1</v>
      </c>
      <c r="F67" s="111"/>
    </row>
    <row r="68" spans="1:6" x14ac:dyDescent="0.6">
      <c r="A68" s="616" t="s">
        <v>63</v>
      </c>
      <c r="B68" s="239"/>
      <c r="F68" s="111"/>
    </row>
    <row r="69" spans="1:6" x14ac:dyDescent="0.6">
      <c r="A69" s="616" t="s">
        <v>62</v>
      </c>
      <c r="B69" s="239"/>
      <c r="F69" s="111"/>
    </row>
    <row r="70" spans="1:6" x14ac:dyDescent="0.6">
      <c r="A70" s="616" t="s">
        <v>64</v>
      </c>
      <c r="B70" s="239">
        <v>0.12</v>
      </c>
      <c r="F70" s="111"/>
    </row>
    <row r="71" spans="1:6" x14ac:dyDescent="0.6">
      <c r="A71" s="616" t="s">
        <v>65</v>
      </c>
      <c r="B71" s="239"/>
      <c r="F71" s="111"/>
    </row>
    <row r="72" spans="1:6" x14ac:dyDescent="0.6">
      <c r="A72" s="616" t="s">
        <v>66</v>
      </c>
      <c r="B72" s="239"/>
      <c r="F72" s="111"/>
    </row>
    <row r="73" spans="1:6" x14ac:dyDescent="0.6">
      <c r="A73" s="616" t="s">
        <v>67</v>
      </c>
      <c r="B73" s="239"/>
      <c r="F73" s="111"/>
    </row>
    <row r="74" spans="1:6" x14ac:dyDescent="0.6">
      <c r="A74" s="129" t="s">
        <v>48</v>
      </c>
      <c r="B74" s="239">
        <v>0.16</v>
      </c>
      <c r="F74" s="111"/>
    </row>
    <row r="75" spans="1:6" x14ac:dyDescent="0.6">
      <c r="A75" s="616" t="s">
        <v>68</v>
      </c>
      <c r="B75" s="239">
        <v>0.05</v>
      </c>
      <c r="F75" s="111"/>
    </row>
    <row r="76" spans="1:6" x14ac:dyDescent="0.6">
      <c r="A76" s="616" t="s">
        <v>695</v>
      </c>
      <c r="B76" s="239">
        <v>0.05</v>
      </c>
      <c r="F76" s="111"/>
    </row>
    <row r="77" spans="1:6" x14ac:dyDescent="0.6">
      <c r="A77" s="616" t="s">
        <v>69</v>
      </c>
      <c r="B77" s="239"/>
      <c r="F77" s="111"/>
    </row>
    <row r="78" spans="1:6" x14ac:dyDescent="0.6">
      <c r="A78" s="616" t="s">
        <v>70</v>
      </c>
      <c r="B78" s="239">
        <v>0.05</v>
      </c>
      <c r="F78" s="111"/>
    </row>
    <row r="79" spans="1:6" x14ac:dyDescent="0.6">
      <c r="A79" s="616" t="s">
        <v>71</v>
      </c>
      <c r="B79" s="28">
        <v>0.125</v>
      </c>
      <c r="F79" s="111"/>
    </row>
    <row r="80" spans="1:6" x14ac:dyDescent="0.6">
      <c r="A80" s="616" t="s">
        <v>72</v>
      </c>
      <c r="B80" s="239"/>
      <c r="F80" s="111"/>
    </row>
    <row r="81" spans="1:6" x14ac:dyDescent="0.6">
      <c r="A81" s="616" t="s">
        <v>73</v>
      </c>
      <c r="B81" s="239">
        <v>0.05</v>
      </c>
      <c r="F81" s="111"/>
    </row>
    <row r="82" spans="1:6" x14ac:dyDescent="0.6">
      <c r="A82" s="616" t="s">
        <v>74</v>
      </c>
      <c r="B82" s="239"/>
      <c r="F82" s="111"/>
    </row>
    <row r="83" spans="1:6" x14ac:dyDescent="0.6">
      <c r="A83" s="1648" t="s">
        <v>75</v>
      </c>
      <c r="B83" s="1652">
        <v>7.0000000000000007E-2</v>
      </c>
      <c r="C83" s="998"/>
      <c r="D83" s="998"/>
      <c r="E83" s="998"/>
      <c r="F83" s="113"/>
    </row>
  </sheetData>
  <sortState xmlns:xlrd2="http://schemas.microsoft.com/office/spreadsheetml/2017/richdata2" ref="A32:F57">
    <sortCondition ref="A32:A5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Y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3.59765625" style="1" customWidth="1"/>
    <col min="3" max="3" width="9.5" style="13" bestFit="1" customWidth="1"/>
    <col min="4" max="4" width="16.09765625" style="13" bestFit="1" customWidth="1"/>
    <col min="5" max="5" width="10.5" style="55" customWidth="1"/>
    <col min="6" max="6" width="10.84765625" style="7" bestFit="1" customWidth="1"/>
    <col min="7" max="7" width="11.09765625" style="1" bestFit="1" customWidth="1"/>
    <col min="8" max="8" width="11.09765625" style="10" bestFit="1" customWidth="1"/>
    <col min="9" max="9" width="12.5" style="411" bestFit="1" customWidth="1"/>
    <col min="10" max="10" width="9.34765625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bestFit="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bestFit="1" customWidth="1"/>
    <col min="20" max="20" width="19.59765625" style="57" bestFit="1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7.5" style="17" bestFit="1" customWidth="1"/>
    <col min="25" max="16384" width="10.84765625" style="1"/>
  </cols>
  <sheetData>
    <row r="1" spans="1:24" x14ac:dyDescent="0.6">
      <c r="A1" s="24" t="s">
        <v>28</v>
      </c>
      <c r="C1" s="19" t="s">
        <v>855</v>
      </c>
      <c r="E1" s="107"/>
      <c r="J1" s="55"/>
    </row>
    <row r="2" spans="1:24" s="2" customFormat="1" x14ac:dyDescent="0.6"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455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42</v>
      </c>
      <c r="S2" s="114"/>
      <c r="T2" s="58"/>
      <c r="U2" s="18" t="s">
        <v>42</v>
      </c>
      <c r="V2" s="18"/>
      <c r="W2" s="11" t="s">
        <v>645</v>
      </c>
      <c r="X2" s="18"/>
    </row>
    <row r="3" spans="1:24" s="2" customFormat="1" x14ac:dyDescent="0.6">
      <c r="C3" s="14" t="s">
        <v>94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76</v>
      </c>
      <c r="U3" s="18" t="s">
        <v>77</v>
      </c>
      <c r="V3" s="18" t="s">
        <v>34</v>
      </c>
      <c r="W3" s="11" t="s">
        <v>639</v>
      </c>
      <c r="X3" s="18" t="s">
        <v>642</v>
      </c>
    </row>
    <row r="4" spans="1:24" x14ac:dyDescent="0.6">
      <c r="A4" s="61">
        <v>1</v>
      </c>
      <c r="B4" s="44" t="s">
        <v>37</v>
      </c>
      <c r="C4" s="290">
        <v>145977</v>
      </c>
      <c r="D4" s="345">
        <f>C4*Assumptions!$C$16</f>
        <v>45737513640</v>
      </c>
      <c r="E4" s="399">
        <v>1</v>
      </c>
      <c r="F4" s="297">
        <f>Assumptions!$C$115</f>
        <v>3.7854100000000002</v>
      </c>
      <c r="G4" s="389"/>
      <c r="H4" s="301">
        <f>'State diesel'!O64</f>
        <v>2.1975276114594178</v>
      </c>
      <c r="I4" s="452"/>
      <c r="J4" s="306">
        <f>'State diesel'!O60</f>
        <v>0.50506299966255941</v>
      </c>
      <c r="K4" s="329"/>
      <c r="L4" s="329">
        <f>K4*H4</f>
        <v>0</v>
      </c>
      <c r="M4" s="329">
        <f>L4*I4</f>
        <v>0</v>
      </c>
      <c r="N4" s="313"/>
      <c r="O4" s="314">
        <f>'State diesel'!O61*Diesel!D4</f>
        <v>7277274094.8996773</v>
      </c>
      <c r="P4" s="1053">
        <f>J4+N4</f>
        <v>0.50506299966255941</v>
      </c>
      <c r="Q4" s="1047">
        <f>D4*'State diesel'!O60</f>
        <v>23100325836.125626</v>
      </c>
      <c r="R4" s="310">
        <f>'State diesel'!O62</f>
        <v>0.34595347411687488</v>
      </c>
      <c r="S4" s="366">
        <f>Q4-O4</f>
        <v>15823051741.225948</v>
      </c>
      <c r="T4" s="336">
        <f>-'OECD distillate subsidies'!C2</f>
        <v>-242246614</v>
      </c>
      <c r="U4" s="342">
        <f>T4*E4</f>
        <v>-242246614</v>
      </c>
      <c r="V4" s="111">
        <f>S4+U4</f>
        <v>15580805127.225948</v>
      </c>
      <c r="W4" s="320">
        <f>'State diesel'!O65</f>
        <v>2.7025906111219768</v>
      </c>
      <c r="X4" s="342">
        <f>W4*D4+U4</f>
        <v>123367528325.52736</v>
      </c>
    </row>
    <row r="5" spans="1:24" s="2" customFormat="1" x14ac:dyDescent="0.6">
      <c r="A5" s="40" t="s">
        <v>394</v>
      </c>
      <c r="B5" s="40"/>
      <c r="C5" s="356"/>
      <c r="D5" s="346"/>
      <c r="E5" s="418"/>
      <c r="F5" s="298"/>
      <c r="G5" s="385"/>
      <c r="H5" s="302"/>
      <c r="I5" s="45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</row>
    <row r="6" spans="1:24" x14ac:dyDescent="0.6">
      <c r="A6" s="46">
        <f>A4+1</f>
        <v>2</v>
      </c>
      <c r="B6" s="44" t="s">
        <v>0</v>
      </c>
      <c r="C6" s="290">
        <v>7032</v>
      </c>
      <c r="D6" s="345">
        <f>C6*Assumptions!$C$16</f>
        <v>2203266240</v>
      </c>
      <c r="E6" s="391">
        <f>Assumptions!$H$3</f>
        <v>1.1863330000000001</v>
      </c>
      <c r="F6" s="297">
        <f>Assumptions!$C$115</f>
        <v>3.7854100000000002</v>
      </c>
      <c r="G6" s="422">
        <v>0.51600000000000001</v>
      </c>
      <c r="H6" s="301">
        <f t="shared" ref="H6:H26" si="0">G6*E6*F6</f>
        <v>2.3172305095894803</v>
      </c>
      <c r="I6" s="427">
        <v>0.48</v>
      </c>
      <c r="J6" s="286">
        <f>I6*E6*F6</f>
        <v>2.1555632647344001</v>
      </c>
      <c r="K6" s="322">
        <v>0.21</v>
      </c>
      <c r="L6" s="329">
        <f t="shared" ref="L6:L26" si="1">K6*H6</f>
        <v>0.48661840701379083</v>
      </c>
      <c r="M6" s="281">
        <f t="shared" ref="M6:M26" si="2">K6*J6</f>
        <v>0.45266828559422401</v>
      </c>
      <c r="N6" s="281">
        <f>M6+L6</f>
        <v>0.93928669260801478</v>
      </c>
      <c r="O6" s="314">
        <f t="shared" ref="O6:O26" si="3">L6*D6</f>
        <v>1072149907.9360646</v>
      </c>
      <c r="P6" s="1053">
        <f t="shared" ref="P6:P41" si="4">J6+N6</f>
        <v>3.0948499573424151</v>
      </c>
      <c r="Q6" s="1047">
        <f t="shared" ref="Q6:Q65" si="5">P6*D6</f>
        <v>6818778428.8779831</v>
      </c>
      <c r="R6" s="268">
        <f t="shared" ref="R6:R26" si="6">M6+J6</f>
        <v>2.608231550328624</v>
      </c>
      <c r="S6" s="366">
        <f t="shared" ref="S6:S26" si="7">D6*R6</f>
        <v>5746628520.9419184</v>
      </c>
      <c r="T6" s="336">
        <f>-'OECD distillate subsidies'!C51</f>
        <v>-413551522</v>
      </c>
      <c r="U6" s="342">
        <f t="shared" ref="U6:U26" si="8">T6*E6</f>
        <v>-490609817.74882603</v>
      </c>
      <c r="V6" s="111">
        <f t="shared" ref="V6:V26" si="9">S6+U6</f>
        <v>5256018703.1930923</v>
      </c>
      <c r="W6" s="281">
        <f t="shared" ref="W6:W34" si="10">(H6+J6)*(1+K6)</f>
        <v>5.4120804669318954</v>
      </c>
      <c r="X6" s="342">
        <f t="shared" ref="X6:X26" si="11">W6*D6+U6</f>
        <v>11433644363.205654</v>
      </c>
    </row>
    <row r="7" spans="1:24" x14ac:dyDescent="0.6">
      <c r="A7" s="46">
        <f>A6+1</f>
        <v>3</v>
      </c>
      <c r="B7" s="44" t="s">
        <v>1</v>
      </c>
      <c r="C7" s="290">
        <v>3881</v>
      </c>
      <c r="D7" s="345">
        <f>C7*Assumptions!$C$16</f>
        <v>1215994920</v>
      </c>
      <c r="E7" s="391">
        <f>Assumptions!$H$15</f>
        <v>4.5997000000000003E-2</v>
      </c>
      <c r="F7" s="297">
        <f>Assumptions!$C$115</f>
        <v>3.7854100000000002</v>
      </c>
      <c r="G7" s="386">
        <v>13.3</v>
      </c>
      <c r="H7" s="301">
        <f t="shared" si="0"/>
        <v>2.315762800141</v>
      </c>
      <c r="I7" s="428">
        <v>10.95</v>
      </c>
      <c r="J7" s="286">
        <f t="shared" ref="J7:J39" si="12">I7*E7*F7</f>
        <v>1.9065866662814999</v>
      </c>
      <c r="K7" s="322">
        <v>0.21</v>
      </c>
      <c r="L7" s="329">
        <f t="shared" si="1"/>
        <v>0.48631018802960996</v>
      </c>
      <c r="M7" s="281">
        <f t="shared" si="2"/>
        <v>0.40038319991911497</v>
      </c>
      <c r="N7" s="281">
        <f t="shared" ref="N7:N39" si="13">M7+L7</f>
        <v>0.88669338794872488</v>
      </c>
      <c r="O7" s="314">
        <f t="shared" si="3"/>
        <v>591350718.18825054</v>
      </c>
      <c r="P7" s="1053">
        <f t="shared" si="4"/>
        <v>2.793280054230225</v>
      </c>
      <c r="Q7" s="1047">
        <f t="shared" si="5"/>
        <v>3396614356.0812778</v>
      </c>
      <c r="R7" s="268">
        <f t="shared" si="6"/>
        <v>2.3069698662006148</v>
      </c>
      <c r="S7" s="366">
        <f t="shared" si="7"/>
        <v>2805263637.8930273</v>
      </c>
      <c r="T7" s="336">
        <f>-'OECD distillate subsidies'!C60</f>
        <v>-1169143145</v>
      </c>
      <c r="U7" s="342">
        <f t="shared" si="8"/>
        <v>-53777077.240565002</v>
      </c>
      <c r="V7" s="111">
        <f t="shared" si="9"/>
        <v>2751486560.6524625</v>
      </c>
      <c r="W7" s="281">
        <f t="shared" si="10"/>
        <v>5.109042854371225</v>
      </c>
      <c r="X7" s="342">
        <f t="shared" si="11"/>
        <v>6158793079.7371445</v>
      </c>
    </row>
    <row r="8" spans="1:24" x14ac:dyDescent="0.6">
      <c r="A8" s="46">
        <f t="shared" ref="A8:A26" si="14">A7+1</f>
        <v>4</v>
      </c>
      <c r="B8" s="44" t="s">
        <v>2</v>
      </c>
      <c r="C8" s="290">
        <v>2385</v>
      </c>
      <c r="D8" s="345">
        <f>C8*Assumptions!$C$16</f>
        <v>747268200</v>
      </c>
      <c r="E8" s="391">
        <f>Assumptions!$H$16</f>
        <v>0.15934999999999999</v>
      </c>
      <c r="F8" s="297">
        <f>Assumptions!$C$115</f>
        <v>3.7854100000000002</v>
      </c>
      <c r="G8" s="423">
        <v>3.8570000000000002</v>
      </c>
      <c r="H8" s="301">
        <f t="shared" si="0"/>
        <v>2.3265620070595001</v>
      </c>
      <c r="I8" s="429">
        <v>2.9969999999999999</v>
      </c>
      <c r="J8" s="286">
        <f t="shared" si="12"/>
        <v>1.8078056352495</v>
      </c>
      <c r="K8" s="322">
        <v>0.25</v>
      </c>
      <c r="L8" s="329">
        <f t="shared" si="1"/>
        <v>0.58164050176487503</v>
      </c>
      <c r="M8" s="281">
        <f t="shared" si="2"/>
        <v>0.451951408812375</v>
      </c>
      <c r="N8" s="281">
        <f t="shared" si="13"/>
        <v>1.03359191057725</v>
      </c>
      <c r="O8" s="314">
        <f t="shared" si="3"/>
        <v>434641450.80093497</v>
      </c>
      <c r="P8" s="1053">
        <f t="shared" si="4"/>
        <v>2.8413975458267497</v>
      </c>
      <c r="Q8" s="1047">
        <f t="shared" si="5"/>
        <v>2123286029.5543728</v>
      </c>
      <c r="R8" s="268">
        <f t="shared" si="6"/>
        <v>2.2597570440618751</v>
      </c>
      <c r="S8" s="366">
        <f t="shared" si="7"/>
        <v>1688644578.753438</v>
      </c>
      <c r="T8" s="336">
        <f>-'OECD distillate subsidies'!C63</f>
        <v>-1115000000</v>
      </c>
      <c r="U8" s="342">
        <f t="shared" si="8"/>
        <v>-177675250</v>
      </c>
      <c r="V8" s="111">
        <f t="shared" si="9"/>
        <v>1510969328.753438</v>
      </c>
      <c r="W8" s="281">
        <f t="shared" si="10"/>
        <v>5.1679595528862503</v>
      </c>
      <c r="X8" s="342">
        <f t="shared" si="11"/>
        <v>3684176582.7581129</v>
      </c>
    </row>
    <row r="9" spans="1:24" x14ac:dyDescent="0.6">
      <c r="A9" s="46">
        <f t="shared" si="14"/>
        <v>5</v>
      </c>
      <c r="B9" s="44" t="s">
        <v>3</v>
      </c>
      <c r="C9" s="290">
        <v>32216</v>
      </c>
      <c r="D9" s="345">
        <f>C9*Assumptions!$C$16</f>
        <v>10093917120</v>
      </c>
      <c r="E9" s="391">
        <f>Assumptions!$H$3</f>
        <v>1.1863330000000001</v>
      </c>
      <c r="F9" s="297">
        <f>Assumptions!$C$115</f>
        <v>3.7854100000000002</v>
      </c>
      <c r="G9" s="422">
        <v>0.54700000000000004</v>
      </c>
      <c r="H9" s="301">
        <f t="shared" si="0"/>
        <v>2.4564439704369105</v>
      </c>
      <c r="I9" s="427">
        <v>0.47</v>
      </c>
      <c r="J9" s="286">
        <f t="shared" si="12"/>
        <v>2.1106556967191001</v>
      </c>
      <c r="K9" s="322">
        <v>0.19</v>
      </c>
      <c r="L9" s="329">
        <f t="shared" si="1"/>
        <v>0.46672435438301302</v>
      </c>
      <c r="M9" s="281">
        <f t="shared" si="2"/>
        <v>0.40102458237662902</v>
      </c>
      <c r="N9" s="281">
        <f t="shared" si="13"/>
        <v>0.86774893675964204</v>
      </c>
      <c r="O9" s="314">
        <f t="shared" si="3"/>
        <v>4711076951.0276423</v>
      </c>
      <c r="P9" s="1053">
        <f t="shared" si="4"/>
        <v>2.9784046334787422</v>
      </c>
      <c r="Q9" s="1047">
        <f t="shared" si="5"/>
        <v>30063769520.158401</v>
      </c>
      <c r="R9" s="268">
        <f t="shared" si="6"/>
        <v>2.5116802790957293</v>
      </c>
      <c r="S9" s="366">
        <f t="shared" si="7"/>
        <v>25352692569.13076</v>
      </c>
      <c r="T9" s="336">
        <f>-'OECD distillate subsidies'!C69</f>
        <v>-228335959</v>
      </c>
      <c r="U9" s="342">
        <f t="shared" si="8"/>
        <v>-270882483.24834704</v>
      </c>
      <c r="V9" s="111">
        <f t="shared" si="9"/>
        <v>25081810085.882412</v>
      </c>
      <c r="W9" s="281">
        <f t="shared" si="10"/>
        <v>5.4348486039156532</v>
      </c>
      <c r="X9" s="342">
        <f t="shared" si="11"/>
        <v>54588028884.423965</v>
      </c>
    </row>
    <row r="10" spans="1:24" x14ac:dyDescent="0.6">
      <c r="A10" s="46">
        <f t="shared" si="14"/>
        <v>6</v>
      </c>
      <c r="B10" s="44" t="s">
        <v>4</v>
      </c>
      <c r="C10" s="290">
        <v>504</v>
      </c>
      <c r="D10" s="345">
        <f>C10*Assumptions!$C$16</f>
        <v>157913280</v>
      </c>
      <c r="E10" s="391">
        <f>Assumptions!$H$3</f>
        <v>1.1863330000000001</v>
      </c>
      <c r="F10" s="297">
        <f>Assumptions!$C$115</f>
        <v>3.7854100000000002</v>
      </c>
      <c r="G10" s="422">
        <v>0.46700000000000003</v>
      </c>
      <c r="H10" s="301">
        <f t="shared" si="0"/>
        <v>2.0971834263145102</v>
      </c>
      <c r="I10" s="427">
        <v>0.39300000000000002</v>
      </c>
      <c r="J10" s="286">
        <f t="shared" si="12"/>
        <v>1.7648674230012902</v>
      </c>
      <c r="K10" s="322">
        <v>0.2</v>
      </c>
      <c r="L10" s="329">
        <f t="shared" si="1"/>
        <v>0.41943668526290206</v>
      </c>
      <c r="M10" s="281">
        <f t="shared" si="2"/>
        <v>0.35297348460025807</v>
      </c>
      <c r="N10" s="281">
        <f t="shared" si="13"/>
        <v>0.77241016986316013</v>
      </c>
      <c r="O10" s="314">
        <f t="shared" si="3"/>
        <v>66234622.722192526</v>
      </c>
      <c r="P10" s="1053">
        <f t="shared" si="4"/>
        <v>2.5372775928644504</v>
      </c>
      <c r="Q10" s="1047">
        <f t="shared" si="5"/>
        <v>400669826.95972997</v>
      </c>
      <c r="R10" s="268">
        <f t="shared" si="6"/>
        <v>2.1178409076015483</v>
      </c>
      <c r="S10" s="366">
        <f t="shared" si="7"/>
        <v>334435204.23753744</v>
      </c>
      <c r="T10" s="336">
        <f>-'OECD distillate subsidies'!C76</f>
        <v>-43970000</v>
      </c>
      <c r="U10" s="342">
        <f t="shared" si="8"/>
        <v>-52163062.010000005</v>
      </c>
      <c r="V10" s="111">
        <f t="shared" si="9"/>
        <v>282272142.22753745</v>
      </c>
      <c r="W10" s="281">
        <f t="shared" si="10"/>
        <v>4.6344610191789606</v>
      </c>
      <c r="X10" s="342">
        <f t="shared" si="11"/>
        <v>679679878.56069255</v>
      </c>
    </row>
    <row r="11" spans="1:24" x14ac:dyDescent="0.6">
      <c r="A11" s="46">
        <f t="shared" si="14"/>
        <v>7</v>
      </c>
      <c r="B11" s="44" t="s">
        <v>5</v>
      </c>
      <c r="C11" s="290">
        <v>2215</v>
      </c>
      <c r="D11" s="345">
        <f>C11*Assumptions!$C$16</f>
        <v>694003800</v>
      </c>
      <c r="E11" s="391">
        <f>Assumptions!$H$3</f>
        <v>1.1863330000000001</v>
      </c>
      <c r="F11" s="297">
        <f>Assumptions!$C$115</f>
        <v>3.7854100000000002</v>
      </c>
      <c r="G11" s="422">
        <v>0.56299999999999994</v>
      </c>
      <c r="H11" s="301">
        <f t="shared" si="0"/>
        <v>2.52829607926139</v>
      </c>
      <c r="I11" s="427">
        <v>0.33</v>
      </c>
      <c r="J11" s="286">
        <f t="shared" si="12"/>
        <v>1.4819497445049004</v>
      </c>
      <c r="K11" s="322">
        <v>0.23</v>
      </c>
      <c r="L11" s="329">
        <f t="shared" si="1"/>
        <v>0.58150809823011973</v>
      </c>
      <c r="M11" s="281">
        <f t="shared" si="2"/>
        <v>0.34084844123612712</v>
      </c>
      <c r="N11" s="281">
        <f t="shared" si="13"/>
        <v>0.92235653946624685</v>
      </c>
      <c r="O11" s="314">
        <f t="shared" si="3"/>
        <v>403568829.90247637</v>
      </c>
      <c r="P11" s="1053">
        <f t="shared" si="4"/>
        <v>2.4043062839711471</v>
      </c>
      <c r="Q11" s="1047">
        <f t="shared" si="5"/>
        <v>1668597697.4398551</v>
      </c>
      <c r="R11" s="268">
        <f t="shared" si="6"/>
        <v>1.8227981857410276</v>
      </c>
      <c r="S11" s="366">
        <f t="shared" si="7"/>
        <v>1265028867.537379</v>
      </c>
      <c r="T11" s="336">
        <f>-'OECD distillate subsidies'!C82</f>
        <v>0</v>
      </c>
      <c r="U11" s="342">
        <f t="shared" si="8"/>
        <v>0</v>
      </c>
      <c r="V11" s="111">
        <f t="shared" si="9"/>
        <v>1265028867.537379</v>
      </c>
      <c r="W11" s="281">
        <f t="shared" si="10"/>
        <v>4.9326023632325366</v>
      </c>
      <c r="X11" s="342">
        <f t="shared" si="11"/>
        <v>3423244783.9723606</v>
      </c>
    </row>
    <row r="12" spans="1:24" x14ac:dyDescent="0.6">
      <c r="A12" s="46">
        <f t="shared" si="14"/>
        <v>8</v>
      </c>
      <c r="B12" s="44" t="s">
        <v>6</v>
      </c>
      <c r="C12" s="290">
        <v>20869</v>
      </c>
      <c r="D12" s="345">
        <f>C12*Assumptions!$C$16</f>
        <v>6538675080</v>
      </c>
      <c r="E12" s="391">
        <f>Assumptions!$H$3</f>
        <v>1.1863330000000001</v>
      </c>
      <c r="F12" s="297">
        <f>Assumptions!$C$115</f>
        <v>3.7854100000000002</v>
      </c>
      <c r="G12" s="422">
        <v>0.49399999999999999</v>
      </c>
      <c r="H12" s="301">
        <f t="shared" si="0"/>
        <v>2.21843385995582</v>
      </c>
      <c r="I12" s="427">
        <v>0.36799999999999999</v>
      </c>
      <c r="J12" s="286">
        <f t="shared" si="12"/>
        <v>1.6525985029630401</v>
      </c>
      <c r="K12" s="322">
        <v>0.21</v>
      </c>
      <c r="L12" s="329">
        <f t="shared" si="1"/>
        <v>0.46587111059072217</v>
      </c>
      <c r="M12" s="281">
        <f t="shared" si="2"/>
        <v>0.34704568562223842</v>
      </c>
      <c r="N12" s="281">
        <f t="shared" si="13"/>
        <v>0.81291679621296065</v>
      </c>
      <c r="O12" s="314">
        <f t="shared" si="3"/>
        <v>3046179821.3114791</v>
      </c>
      <c r="P12" s="1053">
        <f t="shared" si="4"/>
        <v>2.4655152991760008</v>
      </c>
      <c r="Q12" s="1047">
        <f t="shared" si="5"/>
        <v>16121203446.08086</v>
      </c>
      <c r="R12" s="268">
        <f t="shared" si="6"/>
        <v>1.9996441885852785</v>
      </c>
      <c r="S12" s="366">
        <f t="shared" si="7"/>
        <v>13075023624.769381</v>
      </c>
      <c r="T12" s="336">
        <f>-'OECD distillate subsidies'!C91</f>
        <v>-122290000</v>
      </c>
      <c r="U12" s="342">
        <f t="shared" si="8"/>
        <v>-145076662.57000002</v>
      </c>
      <c r="V12" s="111">
        <f t="shared" si="9"/>
        <v>12929946962.199381</v>
      </c>
      <c r="W12" s="281">
        <f t="shared" si="10"/>
        <v>4.6839491591318207</v>
      </c>
      <c r="X12" s="342">
        <f t="shared" si="11"/>
        <v>30481744980.232189</v>
      </c>
    </row>
    <row r="13" spans="1:24" x14ac:dyDescent="0.6">
      <c r="A13" s="46">
        <f t="shared" si="14"/>
        <v>9</v>
      </c>
      <c r="B13" s="44" t="s">
        <v>7</v>
      </c>
      <c r="C13" s="290">
        <v>31604</v>
      </c>
      <c r="D13" s="345">
        <f>C13*Assumptions!$C$16</f>
        <v>9902165280</v>
      </c>
      <c r="E13" s="391">
        <f>Assumptions!$H$3</f>
        <v>1.1863330000000001</v>
      </c>
      <c r="F13" s="297">
        <f>Assumptions!$C$115</f>
        <v>3.7854100000000002</v>
      </c>
      <c r="G13" s="422">
        <v>0.42</v>
      </c>
      <c r="H13" s="301">
        <f t="shared" si="0"/>
        <v>1.8861178566426</v>
      </c>
      <c r="I13" s="427">
        <v>0.46800000000000003</v>
      </c>
      <c r="J13" s="286">
        <f t="shared" si="12"/>
        <v>2.1016741831160406</v>
      </c>
      <c r="K13" s="322">
        <v>0.2</v>
      </c>
      <c r="L13" s="329">
        <f t="shared" si="1"/>
        <v>0.37722357132852002</v>
      </c>
      <c r="M13" s="281">
        <f t="shared" si="2"/>
        <v>0.42033483662320814</v>
      </c>
      <c r="N13" s="281">
        <f t="shared" si="13"/>
        <v>0.79755840795172817</v>
      </c>
      <c r="O13" s="314">
        <f t="shared" si="3"/>
        <v>3735330150.8068743</v>
      </c>
      <c r="P13" s="1053">
        <f t="shared" si="4"/>
        <v>2.8992325910677685</v>
      </c>
      <c r="Q13" s="1047">
        <f t="shared" si="5"/>
        <v>28708680301.915695</v>
      </c>
      <c r="R13" s="268">
        <f t="shared" si="6"/>
        <v>2.5220090197392486</v>
      </c>
      <c r="S13" s="366">
        <f t="shared" si="7"/>
        <v>24973350151.108822</v>
      </c>
      <c r="T13" s="336">
        <f>-'OECD distillate subsidies'!C95</f>
        <v>-970409546</v>
      </c>
      <c r="U13" s="342">
        <f t="shared" si="8"/>
        <v>-1151228867.934818</v>
      </c>
      <c r="V13" s="111">
        <f t="shared" si="9"/>
        <v>23822121283.174004</v>
      </c>
      <c r="W13" s="281">
        <f t="shared" si="10"/>
        <v>4.7853504477103685</v>
      </c>
      <c r="X13" s="342">
        <f t="shared" si="11"/>
        <v>46234102188.015251</v>
      </c>
    </row>
    <row r="14" spans="1:24" x14ac:dyDescent="0.6">
      <c r="A14" s="46">
        <f t="shared" si="14"/>
        <v>10</v>
      </c>
      <c r="B14" s="44" t="s">
        <v>8</v>
      </c>
      <c r="C14" s="290">
        <v>2576</v>
      </c>
      <c r="D14" s="345">
        <f>C14*Assumptions!$C$16</f>
        <v>807112320</v>
      </c>
      <c r="E14" s="391">
        <f>Assumptions!$H$3</f>
        <v>1.1863330000000001</v>
      </c>
      <c r="F14" s="297">
        <f>Assumptions!$C$115</f>
        <v>3.7854100000000002</v>
      </c>
      <c r="G14" s="422">
        <v>0.496</v>
      </c>
      <c r="H14" s="301">
        <f t="shared" si="0"/>
        <v>2.22741537355888</v>
      </c>
      <c r="I14" s="427">
        <v>0.47899999999999998</v>
      </c>
      <c r="J14" s="286">
        <f t="shared" si="12"/>
        <v>2.1510725079328701</v>
      </c>
      <c r="K14" s="322">
        <v>0.23</v>
      </c>
      <c r="L14" s="329">
        <f t="shared" si="1"/>
        <v>0.51230553591854244</v>
      </c>
      <c r="M14" s="281">
        <f t="shared" si="2"/>
        <v>0.49474667682456014</v>
      </c>
      <c r="N14" s="281">
        <f t="shared" si="13"/>
        <v>1.0070522127431025</v>
      </c>
      <c r="O14" s="314">
        <f t="shared" si="3"/>
        <v>413488109.64405811</v>
      </c>
      <c r="P14" s="1053">
        <f t="shared" si="4"/>
        <v>3.1581247206759726</v>
      </c>
      <c r="Q14" s="1047">
        <f t="shared" si="5"/>
        <v>2548961370.1541362</v>
      </c>
      <c r="R14" s="268">
        <f t="shared" si="6"/>
        <v>2.6458191847574302</v>
      </c>
      <c r="S14" s="366">
        <f t="shared" si="7"/>
        <v>2135473260.5100782</v>
      </c>
      <c r="T14" s="336">
        <f>-'OECD distillate subsidies'!C112</f>
        <v>-13100000</v>
      </c>
      <c r="U14" s="342">
        <f t="shared" si="8"/>
        <v>-15540962.300000001</v>
      </c>
      <c r="V14" s="111">
        <f t="shared" si="9"/>
        <v>2119932298.2100782</v>
      </c>
      <c r="W14" s="281">
        <f t="shared" si="10"/>
        <v>5.3855400942348535</v>
      </c>
      <c r="X14" s="342">
        <f t="shared" si="11"/>
        <v>4331194797.6109114</v>
      </c>
    </row>
    <row r="15" spans="1:24" x14ac:dyDescent="0.6">
      <c r="A15" s="46">
        <f t="shared" si="14"/>
        <v>11</v>
      </c>
      <c r="B15" s="44" t="s">
        <v>9</v>
      </c>
      <c r="C15" s="290">
        <v>21710</v>
      </c>
      <c r="D15" s="345">
        <f>C15*Assumptions!$C$16</f>
        <v>6802177200</v>
      </c>
      <c r="E15" s="391">
        <f>Assumptions!$H$3</f>
        <v>1.1863330000000001</v>
      </c>
      <c r="F15" s="297">
        <f>Assumptions!$C$115</f>
        <v>3.7854100000000002</v>
      </c>
      <c r="G15" s="422">
        <v>0.47499999999999998</v>
      </c>
      <c r="H15" s="301">
        <f t="shared" si="0"/>
        <v>2.1331094807267501</v>
      </c>
      <c r="I15" s="427">
        <v>0.61699999999999999</v>
      </c>
      <c r="J15" s="286">
        <f t="shared" si="12"/>
        <v>2.7707969465440105</v>
      </c>
      <c r="K15" s="322">
        <v>0.22</v>
      </c>
      <c r="L15" s="329">
        <f t="shared" si="1"/>
        <v>0.46928408575988501</v>
      </c>
      <c r="M15" s="281">
        <f t="shared" si="2"/>
        <v>0.6095753282396823</v>
      </c>
      <c r="N15" s="281">
        <f t="shared" si="13"/>
        <v>1.0788594139995673</v>
      </c>
      <c r="O15" s="314">
        <f t="shared" si="3"/>
        <v>3192153508.4787345</v>
      </c>
      <c r="P15" s="1053">
        <f t="shared" si="4"/>
        <v>3.8496563605435776</v>
      </c>
      <c r="Q15" s="1047">
        <f t="shared" si="5"/>
        <v>26186044723.524502</v>
      </c>
      <c r="R15" s="268">
        <f t="shared" si="6"/>
        <v>3.3803722747836931</v>
      </c>
      <c r="S15" s="366">
        <f t="shared" si="7"/>
        <v>22993891215.045773</v>
      </c>
      <c r="T15" s="336">
        <f>-'OECD distillate subsidies'!C121</f>
        <v>-5176090199</v>
      </c>
      <c r="U15" s="342">
        <f t="shared" si="8"/>
        <v>-6140566614.0502672</v>
      </c>
      <c r="V15" s="111">
        <f t="shared" si="9"/>
        <v>16853324600.995506</v>
      </c>
      <c r="W15" s="281">
        <f t="shared" si="10"/>
        <v>5.9827658412703277</v>
      </c>
      <c r="X15" s="342">
        <f t="shared" si="11"/>
        <v>34555266784.377571</v>
      </c>
    </row>
    <row r="16" spans="1:24" x14ac:dyDescent="0.6">
      <c r="A16" s="46">
        <f t="shared" si="14"/>
        <v>12</v>
      </c>
      <c r="B16" s="44" t="s">
        <v>10</v>
      </c>
      <c r="C16" s="290">
        <v>1551</v>
      </c>
      <c r="D16" s="345">
        <f>C16*Assumptions!$C$16</f>
        <v>485959320</v>
      </c>
      <c r="E16" s="391">
        <f>Assumptions!$H$3</f>
        <v>1.1863330000000001</v>
      </c>
      <c r="F16" s="297">
        <f>Assumptions!$C$115</f>
        <v>3.7854100000000002</v>
      </c>
      <c r="G16" s="422">
        <v>0.42899999999999999</v>
      </c>
      <c r="H16" s="301">
        <f t="shared" si="0"/>
        <v>1.9265346678563702</v>
      </c>
      <c r="I16" s="427">
        <v>0.33500000000000002</v>
      </c>
      <c r="J16" s="286">
        <f t="shared" si="12"/>
        <v>1.5044035285125501</v>
      </c>
      <c r="K16" s="322">
        <v>0.17</v>
      </c>
      <c r="L16" s="329">
        <f t="shared" si="1"/>
        <v>0.32751089353558294</v>
      </c>
      <c r="M16" s="281">
        <f t="shared" si="2"/>
        <v>0.25574859984713355</v>
      </c>
      <c r="N16" s="281">
        <f t="shared" si="13"/>
        <v>0.58325949338271643</v>
      </c>
      <c r="O16" s="314">
        <f t="shared" si="3"/>
        <v>159156971.11514428</v>
      </c>
      <c r="P16" s="1053">
        <f t="shared" si="4"/>
        <v>2.0876630218952665</v>
      </c>
      <c r="Q16" s="1047">
        <f t="shared" si="5"/>
        <v>1014519302.5093688</v>
      </c>
      <c r="R16" s="268">
        <f t="shared" si="6"/>
        <v>1.7601521283596837</v>
      </c>
      <c r="S16" s="366">
        <f t="shared" si="7"/>
        <v>855362331.39422464</v>
      </c>
      <c r="T16" s="336">
        <f>-'OECD distillate subsidies'!C144</f>
        <v>0</v>
      </c>
      <c r="U16" s="342">
        <f t="shared" si="8"/>
        <v>0</v>
      </c>
      <c r="V16" s="111">
        <f t="shared" si="9"/>
        <v>855362331.39422464</v>
      </c>
      <c r="W16" s="281">
        <f t="shared" si="10"/>
        <v>4.0141976897516365</v>
      </c>
      <c r="X16" s="342">
        <f t="shared" si="11"/>
        <v>1950736779.6572762</v>
      </c>
    </row>
    <row r="17" spans="1:24" x14ac:dyDescent="0.6">
      <c r="A17" s="46">
        <f t="shared" si="14"/>
        <v>13</v>
      </c>
      <c r="B17" s="44" t="s">
        <v>11</v>
      </c>
      <c r="C17" s="290">
        <v>2551</v>
      </c>
      <c r="D17" s="345">
        <f>C17*Assumptions!$C$16</f>
        <v>799279320</v>
      </c>
      <c r="E17" s="391">
        <f>Assumptions!$H$17</f>
        <v>3.8049999999999998E-3</v>
      </c>
      <c r="F17" s="297">
        <f>Assumptions!$C$115</f>
        <v>3.7854100000000002</v>
      </c>
      <c r="G17" s="459">
        <v>155.07</v>
      </c>
      <c r="H17" s="301">
        <f t="shared" si="0"/>
        <v>2.2335484267035</v>
      </c>
      <c r="I17" s="468">
        <v>110.35</v>
      </c>
      <c r="J17" s="286">
        <f t="shared" si="12"/>
        <v>1.5894245752674998</v>
      </c>
      <c r="K17" s="322">
        <v>0.27</v>
      </c>
      <c r="L17" s="329">
        <f t="shared" si="1"/>
        <v>0.60305807520994503</v>
      </c>
      <c r="M17" s="281">
        <f t="shared" si="2"/>
        <v>0.42914463532222497</v>
      </c>
      <c r="N17" s="281">
        <f t="shared" si="13"/>
        <v>1.0322027105321701</v>
      </c>
      <c r="O17" s="314">
        <f t="shared" si="3"/>
        <v>482011848.27431375</v>
      </c>
      <c r="P17" s="1053">
        <f t="shared" si="4"/>
        <v>2.6216272857996699</v>
      </c>
      <c r="Q17" s="1047">
        <f t="shared" si="5"/>
        <v>2095412474.2874057</v>
      </c>
      <c r="R17" s="268">
        <f t="shared" si="6"/>
        <v>2.0185692105897246</v>
      </c>
      <c r="S17" s="366">
        <f t="shared" si="7"/>
        <v>1613400626.0130918</v>
      </c>
      <c r="T17" s="336">
        <f>-'OECD distillate subsidies'!C146</f>
        <v>-5900000000</v>
      </c>
      <c r="U17" s="342">
        <f t="shared" si="8"/>
        <v>-22449500</v>
      </c>
      <c r="V17" s="111">
        <f t="shared" si="9"/>
        <v>1590951126.0130918</v>
      </c>
      <c r="W17" s="281">
        <f t="shared" si="10"/>
        <v>4.8551757125031694</v>
      </c>
      <c r="X17" s="342">
        <f t="shared" si="11"/>
        <v>3858192041.9700489</v>
      </c>
    </row>
    <row r="18" spans="1:24" x14ac:dyDescent="0.6">
      <c r="A18" s="46">
        <f t="shared" si="14"/>
        <v>14</v>
      </c>
      <c r="B18" s="44" t="s">
        <v>12</v>
      </c>
      <c r="C18" s="290">
        <v>5778</v>
      </c>
      <c r="D18" s="345">
        <f>C18*Assumptions!$C$16</f>
        <v>1810362960</v>
      </c>
      <c r="E18" s="391">
        <f>Assumptions!$H$3</f>
        <v>1.1863330000000001</v>
      </c>
      <c r="F18" s="297">
        <f>Assumptions!$C$115</f>
        <v>3.7854100000000002</v>
      </c>
      <c r="G18" s="422">
        <v>0.47599999999999998</v>
      </c>
      <c r="H18" s="301">
        <f t="shared" si="0"/>
        <v>2.1376002375282801</v>
      </c>
      <c r="I18" s="427">
        <v>0.49</v>
      </c>
      <c r="J18" s="286">
        <f t="shared" si="12"/>
        <v>2.2004708327497</v>
      </c>
      <c r="K18" s="322">
        <v>0.21</v>
      </c>
      <c r="L18" s="329">
        <f t="shared" si="1"/>
        <v>0.44889604988093879</v>
      </c>
      <c r="M18" s="281">
        <f t="shared" si="2"/>
        <v>0.462098874877437</v>
      </c>
      <c r="N18" s="281">
        <f t="shared" si="13"/>
        <v>0.91099492475837573</v>
      </c>
      <c r="O18" s="314">
        <f t="shared" si="3"/>
        <v>812664781.59476399</v>
      </c>
      <c r="P18" s="1053">
        <f t="shared" si="4"/>
        <v>3.1114657575080757</v>
      </c>
      <c r="Q18" s="1047">
        <f t="shared" si="5"/>
        <v>5632882358.7009621</v>
      </c>
      <c r="R18" s="268">
        <f t="shared" si="6"/>
        <v>2.6625697076271369</v>
      </c>
      <c r="S18" s="366">
        <f t="shared" si="7"/>
        <v>4820217577.1061983</v>
      </c>
      <c r="T18" s="336">
        <f>-'OECD distillate subsidies'!C150</f>
        <v>0</v>
      </c>
      <c r="U18" s="342">
        <f t="shared" si="8"/>
        <v>0</v>
      </c>
      <c r="V18" s="111">
        <f t="shared" si="9"/>
        <v>4820217577.1061983</v>
      </c>
      <c r="W18" s="281">
        <f t="shared" si="10"/>
        <v>5.2490659950363554</v>
      </c>
      <c r="X18" s="342">
        <f t="shared" si="11"/>
        <v>9502714652.0093613</v>
      </c>
    </row>
    <row r="19" spans="1:24" x14ac:dyDescent="0.6">
      <c r="A19" s="46">
        <f t="shared" si="14"/>
        <v>15</v>
      </c>
      <c r="B19" s="44" t="s">
        <v>13</v>
      </c>
      <c r="C19" s="290">
        <v>5447</v>
      </c>
      <c r="D19" s="345">
        <f>C19*Assumptions!$C$16</f>
        <v>1706654040</v>
      </c>
      <c r="E19" s="391">
        <f>Assumptions!$H$3</f>
        <v>1.1863330000000001</v>
      </c>
      <c r="F19" s="297">
        <f>Assumptions!$C$115</f>
        <v>3.7854100000000002</v>
      </c>
      <c r="G19" s="422">
        <v>0.47599999999999998</v>
      </c>
      <c r="H19" s="301">
        <f t="shared" si="0"/>
        <v>2.1376002375282801</v>
      </c>
      <c r="I19" s="427">
        <v>0.39700000000000002</v>
      </c>
      <c r="J19" s="286">
        <f t="shared" si="12"/>
        <v>1.7828304502074102</v>
      </c>
      <c r="K19" s="322">
        <v>0.2</v>
      </c>
      <c r="L19" s="329">
        <f t="shared" si="1"/>
        <v>0.42752004750565603</v>
      </c>
      <c r="M19" s="281">
        <f t="shared" si="2"/>
        <v>0.35656609004148204</v>
      </c>
      <c r="N19" s="281">
        <f t="shared" si="13"/>
        <v>0.78408613754713807</v>
      </c>
      <c r="O19" s="314">
        <f t="shared" si="3"/>
        <v>729628816.25651979</v>
      </c>
      <c r="P19" s="1053">
        <f t="shared" si="4"/>
        <v>2.5669165877545481</v>
      </c>
      <c r="Q19" s="1047">
        <f t="shared" si="5"/>
        <v>4380838564.8343143</v>
      </c>
      <c r="R19" s="268">
        <f t="shared" si="6"/>
        <v>2.1393965402488924</v>
      </c>
      <c r="S19" s="366">
        <f t="shared" si="7"/>
        <v>3651209748.5777946</v>
      </c>
      <c r="T19" s="336">
        <f>-'OECD distillate subsidies'!C152</f>
        <v>0</v>
      </c>
      <c r="U19" s="342">
        <f t="shared" si="8"/>
        <v>0</v>
      </c>
      <c r="V19" s="111">
        <f t="shared" si="9"/>
        <v>3651209748.5777946</v>
      </c>
      <c r="W19" s="281">
        <f t="shared" si="10"/>
        <v>4.7045168252828278</v>
      </c>
      <c r="X19" s="342">
        <f t="shared" si="11"/>
        <v>8028982646.1169119</v>
      </c>
    </row>
    <row r="20" spans="1:24" x14ac:dyDescent="0.6">
      <c r="A20" s="46">
        <f t="shared" si="14"/>
        <v>16</v>
      </c>
      <c r="B20" s="44" t="s">
        <v>14</v>
      </c>
      <c r="C20" s="290">
        <v>9559</v>
      </c>
      <c r="D20" s="345">
        <f>C20*Assumptions!$C$16</f>
        <v>2995025880</v>
      </c>
      <c r="E20" s="391">
        <f>Assumptions!$H$18</f>
        <v>0.28262100000000001</v>
      </c>
      <c r="F20" s="297">
        <f>Assumptions!$C$115</f>
        <v>3.7854100000000002</v>
      </c>
      <c r="G20" s="424">
        <v>2.0019999999999998</v>
      </c>
      <c r="H20" s="301">
        <f t="shared" si="0"/>
        <v>2.14181239193922</v>
      </c>
      <c r="I20" s="431">
        <v>1.4590000000000001</v>
      </c>
      <c r="J20" s="286">
        <f t="shared" si="12"/>
        <v>1.5608912486709903</v>
      </c>
      <c r="K20" s="322">
        <v>0.23</v>
      </c>
      <c r="L20" s="329">
        <f t="shared" si="1"/>
        <v>0.49261685014602064</v>
      </c>
      <c r="M20" s="281">
        <f t="shared" si="2"/>
        <v>0.35900498719432777</v>
      </c>
      <c r="N20" s="281">
        <f t="shared" si="13"/>
        <v>0.85162183734034835</v>
      </c>
      <c r="O20" s="314">
        <f t="shared" si="3"/>
        <v>1475400215.1114135</v>
      </c>
      <c r="P20" s="1053">
        <f t="shared" si="4"/>
        <v>2.4125130860113386</v>
      </c>
      <c r="Q20" s="1047">
        <f t="shared" si="5"/>
        <v>7225539128.442625</v>
      </c>
      <c r="R20" s="268">
        <f t="shared" si="6"/>
        <v>1.919896235865318</v>
      </c>
      <c r="S20" s="366">
        <f t="shared" si="7"/>
        <v>5750138913.331212</v>
      </c>
      <c r="T20" s="336">
        <f>-'OECD distillate subsidies'!C159</f>
        <v>0</v>
      </c>
      <c r="U20" s="342">
        <f t="shared" si="8"/>
        <v>0</v>
      </c>
      <c r="V20" s="111">
        <f t="shared" si="9"/>
        <v>5750138913.331212</v>
      </c>
      <c r="W20" s="281">
        <f t="shared" si="10"/>
        <v>4.5543254779505586</v>
      </c>
      <c r="X20" s="342">
        <f t="shared" si="11"/>
        <v>13640322672.405293</v>
      </c>
    </row>
    <row r="21" spans="1:24" x14ac:dyDescent="0.6">
      <c r="A21" s="46">
        <f t="shared" si="14"/>
        <v>17</v>
      </c>
      <c r="B21" s="44" t="s">
        <v>15</v>
      </c>
      <c r="C21" s="290">
        <v>3773</v>
      </c>
      <c r="D21" s="345">
        <f>C21*Assumptions!$C$16</f>
        <v>1182156360</v>
      </c>
      <c r="E21" s="391">
        <f>Assumptions!$H$3</f>
        <v>1.1863330000000001</v>
      </c>
      <c r="F21" s="297">
        <f>Assumptions!$C$115</f>
        <v>3.7854100000000002</v>
      </c>
      <c r="G21" s="422">
        <v>0.51800000000000002</v>
      </c>
      <c r="H21" s="301">
        <f t="shared" si="0"/>
        <v>2.3262120231925403</v>
      </c>
      <c r="I21" s="427">
        <v>0.40200000000000002</v>
      </c>
      <c r="J21" s="286">
        <f t="shared" si="12"/>
        <v>1.8052842342150603</v>
      </c>
      <c r="K21" s="322">
        <v>0.23</v>
      </c>
      <c r="L21" s="329">
        <f t="shared" si="1"/>
        <v>0.53502876533428434</v>
      </c>
      <c r="M21" s="281">
        <f t="shared" si="2"/>
        <v>0.41521537386946389</v>
      </c>
      <c r="N21" s="281">
        <f t="shared" si="13"/>
        <v>0.95024413920374817</v>
      </c>
      <c r="O21" s="314">
        <f t="shared" si="3"/>
        <v>632487657.72287178</v>
      </c>
      <c r="P21" s="1053">
        <f t="shared" si="4"/>
        <v>2.7555283734188087</v>
      </c>
      <c r="Q21" s="1047">
        <f t="shared" si="5"/>
        <v>3257465391.7974997</v>
      </c>
      <c r="R21" s="268">
        <f t="shared" si="6"/>
        <v>2.2204996080845243</v>
      </c>
      <c r="S21" s="366">
        <f t="shared" si="7"/>
        <v>2624977734.0746279</v>
      </c>
      <c r="T21" s="336">
        <f>-'OECD distillate subsidies'!C162</f>
        <v>-7200000</v>
      </c>
      <c r="U21" s="342">
        <f t="shared" si="8"/>
        <v>-8541597.6000000015</v>
      </c>
      <c r="V21" s="111">
        <f t="shared" si="9"/>
        <v>2616436136.474628</v>
      </c>
      <c r="W21" s="281">
        <f t="shared" si="10"/>
        <v>5.0817403966113481</v>
      </c>
      <c r="X21" s="342">
        <f t="shared" si="11"/>
        <v>5998870132.1230268</v>
      </c>
    </row>
    <row r="22" spans="1:24" x14ac:dyDescent="0.6">
      <c r="A22" s="46">
        <f t="shared" si="14"/>
        <v>18</v>
      </c>
      <c r="B22" s="44" t="s">
        <v>16</v>
      </c>
      <c r="C22" s="290">
        <v>1254</v>
      </c>
      <c r="D22" s="345">
        <f>C22*Assumptions!$C$16</f>
        <v>392903280</v>
      </c>
      <c r="E22" s="391">
        <f>Assumptions!$H$3</f>
        <v>1.1863330000000001</v>
      </c>
      <c r="F22" s="297">
        <f>Assumptions!$C$115</f>
        <v>3.7854100000000002</v>
      </c>
      <c r="G22" s="422">
        <v>0.42799999999999999</v>
      </c>
      <c r="H22" s="301">
        <f t="shared" si="0"/>
        <v>1.92204391105484</v>
      </c>
      <c r="I22" s="427">
        <v>0.46200000000000002</v>
      </c>
      <c r="J22" s="286">
        <f t="shared" si="12"/>
        <v>2.0747296423068606</v>
      </c>
      <c r="K22" s="322">
        <v>0.22</v>
      </c>
      <c r="L22" s="329">
        <f t="shared" si="1"/>
        <v>0.42284966043206479</v>
      </c>
      <c r="M22" s="281">
        <f t="shared" si="2"/>
        <v>0.45644052130750934</v>
      </c>
      <c r="N22" s="281">
        <f t="shared" si="13"/>
        <v>0.87929018173957418</v>
      </c>
      <c r="O22" s="314">
        <f t="shared" si="3"/>
        <v>166139018.53064448</v>
      </c>
      <c r="P22" s="1053">
        <f t="shared" si="4"/>
        <v>2.9540198240464348</v>
      </c>
      <c r="Q22" s="1047">
        <f t="shared" si="5"/>
        <v>1160644078.0528672</v>
      </c>
      <c r="R22" s="268">
        <f t="shared" si="6"/>
        <v>2.53117016361437</v>
      </c>
      <c r="S22" s="366">
        <f t="shared" si="7"/>
        <v>994505059.52222264</v>
      </c>
      <c r="T22" s="336">
        <f>-'OECD distillate subsidies'!C171</f>
        <v>0</v>
      </c>
      <c r="U22" s="342">
        <f t="shared" si="8"/>
        <v>0</v>
      </c>
      <c r="V22" s="111">
        <f t="shared" si="9"/>
        <v>994505059.52222264</v>
      </c>
      <c r="W22" s="281">
        <f t="shared" si="10"/>
        <v>4.8760637351012743</v>
      </c>
      <c r="X22" s="342">
        <f t="shared" si="11"/>
        <v>1915821435.0103419</v>
      </c>
    </row>
    <row r="23" spans="1:24" x14ac:dyDescent="0.6">
      <c r="A23" s="46">
        <f t="shared" si="14"/>
        <v>19</v>
      </c>
      <c r="B23" s="44" t="s">
        <v>17</v>
      </c>
      <c r="C23" s="290">
        <v>1259</v>
      </c>
      <c r="D23" s="345">
        <f>C23*Assumptions!$C$16</f>
        <v>394469880</v>
      </c>
      <c r="E23" s="391">
        <f>Assumptions!$H$3</f>
        <v>1.1863330000000001</v>
      </c>
      <c r="F23" s="297">
        <f>Assumptions!$C$115</f>
        <v>3.7854100000000002</v>
      </c>
      <c r="G23" s="422">
        <v>0.53200000000000003</v>
      </c>
      <c r="H23" s="301">
        <f t="shared" si="0"/>
        <v>2.3890826184139602</v>
      </c>
      <c r="I23" s="427">
        <v>0.36799999999999999</v>
      </c>
      <c r="J23" s="286">
        <f t="shared" si="12"/>
        <v>1.6525985029630401</v>
      </c>
      <c r="K23" s="322">
        <v>0.2</v>
      </c>
      <c r="L23" s="329">
        <f t="shared" si="1"/>
        <v>0.47781652368279204</v>
      </c>
      <c r="M23" s="281">
        <f t="shared" si="2"/>
        <v>0.33051970059260805</v>
      </c>
      <c r="N23" s="281">
        <f t="shared" si="13"/>
        <v>0.80833622427540008</v>
      </c>
      <c r="O23" s="314">
        <f t="shared" si="3"/>
        <v>188484226.75916815</v>
      </c>
      <c r="P23" s="1053">
        <f t="shared" si="4"/>
        <v>2.4609347272384401</v>
      </c>
      <c r="Q23" s="1047">
        <f t="shared" si="5"/>
        <v>970764626.5415802</v>
      </c>
      <c r="R23" s="268">
        <f t="shared" si="6"/>
        <v>1.9831182035556481</v>
      </c>
      <c r="S23" s="366">
        <f t="shared" si="7"/>
        <v>782280399.78241205</v>
      </c>
      <c r="T23" s="336">
        <f>-'OECD distillate subsidies'!C178</f>
        <v>0</v>
      </c>
      <c r="U23" s="342">
        <f t="shared" si="8"/>
        <v>0</v>
      </c>
      <c r="V23" s="111">
        <f t="shared" si="9"/>
        <v>782280399.78241205</v>
      </c>
      <c r="W23" s="281">
        <f t="shared" si="10"/>
        <v>4.8500173456524003</v>
      </c>
      <c r="X23" s="342">
        <f t="shared" si="11"/>
        <v>1913185760.3374209</v>
      </c>
    </row>
    <row r="24" spans="1:24" x14ac:dyDescent="0.6">
      <c r="A24" s="46">
        <f t="shared" si="14"/>
        <v>20</v>
      </c>
      <c r="B24" s="44" t="s">
        <v>18</v>
      </c>
      <c r="C24" s="290">
        <v>2091</v>
      </c>
      <c r="D24" s="345">
        <f>C24*Assumptions!$C$16</f>
        <v>655152120</v>
      </c>
      <c r="E24" s="391">
        <f>Assumptions!$H$3</f>
        <v>1.1863330000000001</v>
      </c>
      <c r="F24" s="297">
        <f>Assumptions!$C$115</f>
        <v>3.7854100000000002</v>
      </c>
      <c r="G24" s="422">
        <v>0.49399999999999999</v>
      </c>
      <c r="H24" s="301">
        <f t="shared" si="0"/>
        <v>2.21843385995582</v>
      </c>
      <c r="I24" s="427">
        <v>0.50600000000000001</v>
      </c>
      <c r="J24" s="286">
        <f t="shared" si="12"/>
        <v>2.2723229415741804</v>
      </c>
      <c r="K24" s="322">
        <v>0.24</v>
      </c>
      <c r="L24" s="329">
        <f t="shared" si="1"/>
        <v>0.53242412638939673</v>
      </c>
      <c r="M24" s="281">
        <f t="shared" si="2"/>
        <v>0.5453575059778033</v>
      </c>
      <c r="N24" s="281">
        <f t="shared" si="13"/>
        <v>1.0777816323672</v>
      </c>
      <c r="O24" s="314">
        <f t="shared" si="3"/>
        <v>348818795.14316124</v>
      </c>
      <c r="P24" s="1053">
        <f t="shared" si="4"/>
        <v>3.3501045739413806</v>
      </c>
      <c r="Q24" s="1047">
        <f t="shared" si="5"/>
        <v>2194828113.8393922</v>
      </c>
      <c r="R24" s="268">
        <f t="shared" si="6"/>
        <v>2.8176804475519837</v>
      </c>
      <c r="S24" s="366">
        <f t="shared" si="7"/>
        <v>1846009318.6962309</v>
      </c>
      <c r="T24" s="336">
        <f>-'OECD distillate subsidies'!C180</f>
        <v>-737000000</v>
      </c>
      <c r="U24" s="342">
        <f t="shared" si="8"/>
        <v>-874327421.00000012</v>
      </c>
      <c r="V24" s="111">
        <f t="shared" si="9"/>
        <v>971681897.69623077</v>
      </c>
      <c r="W24" s="281">
        <f t="shared" si="10"/>
        <v>5.568538433897201</v>
      </c>
      <c r="X24" s="342">
        <f t="shared" si="11"/>
        <v>2773912339.2692313</v>
      </c>
    </row>
    <row r="25" spans="1:24" x14ac:dyDescent="0.6">
      <c r="A25" s="46">
        <f t="shared" si="14"/>
        <v>21</v>
      </c>
      <c r="B25" s="44" t="s">
        <v>19</v>
      </c>
      <c r="C25" s="290">
        <v>3755</v>
      </c>
      <c r="D25" s="345">
        <f>C25*Assumptions!$C$16</f>
        <v>1176516600</v>
      </c>
      <c r="E25" s="391">
        <f>Assumptions!$H$19</f>
        <v>0.119739</v>
      </c>
      <c r="F25" s="297">
        <f>Assumptions!$C$115</f>
        <v>3.7854100000000002</v>
      </c>
      <c r="G25" s="425">
        <v>5.266</v>
      </c>
      <c r="H25" s="301">
        <f t="shared" si="0"/>
        <v>2.3868735212753402</v>
      </c>
      <c r="I25" s="432">
        <v>5.0510000000000002</v>
      </c>
      <c r="J25" s="286">
        <f t="shared" si="12"/>
        <v>2.2894223615574898</v>
      </c>
      <c r="K25" s="322">
        <v>0.25</v>
      </c>
      <c r="L25" s="329">
        <f t="shared" si="1"/>
        <v>0.59671838031883506</v>
      </c>
      <c r="M25" s="281">
        <f t="shared" si="2"/>
        <v>0.57235559038937245</v>
      </c>
      <c r="N25" s="281">
        <f t="shared" si="13"/>
        <v>1.1690739707082076</v>
      </c>
      <c r="O25" s="314">
        <f t="shared" si="3"/>
        <v>702049079.97022271</v>
      </c>
      <c r="P25" s="1053">
        <f t="shared" si="4"/>
        <v>3.4584963322656974</v>
      </c>
      <c r="Q25" s="1047">
        <f t="shared" si="5"/>
        <v>4068978345.9497085</v>
      </c>
      <c r="R25" s="268">
        <f t="shared" si="6"/>
        <v>2.8617779519468622</v>
      </c>
      <c r="S25" s="366">
        <f t="shared" si="7"/>
        <v>3366929265.9794855</v>
      </c>
      <c r="T25" s="336">
        <f>-'OECD distillate subsidies'!C187</f>
        <v>-8100000000</v>
      </c>
      <c r="U25" s="342">
        <f t="shared" si="8"/>
        <v>-969885900</v>
      </c>
      <c r="V25" s="111">
        <f t="shared" si="9"/>
        <v>2397043365.9794855</v>
      </c>
      <c r="W25" s="281">
        <f t="shared" si="10"/>
        <v>5.8453698535410386</v>
      </c>
      <c r="X25" s="342">
        <f t="shared" si="11"/>
        <v>5907288765.8306007</v>
      </c>
    </row>
    <row r="26" spans="1:24" ht="15.9" thickBot="1" x14ac:dyDescent="0.65">
      <c r="A26" s="15">
        <f t="shared" si="14"/>
        <v>22</v>
      </c>
      <c r="B26" s="47" t="s">
        <v>20</v>
      </c>
      <c r="C26" s="291">
        <v>24881</v>
      </c>
      <c r="D26" s="347">
        <f>C26*Assumptions!$C$16</f>
        <v>7795714920</v>
      </c>
      <c r="E26" s="419">
        <f>Assumptions!$H$20</f>
        <v>1.337591</v>
      </c>
      <c r="F26" s="299">
        <f>Assumptions!$C$115</f>
        <v>3.7854100000000002</v>
      </c>
      <c r="G26" s="421">
        <v>0.33300000000000002</v>
      </c>
      <c r="H26" s="371">
        <f t="shared" si="0"/>
        <v>1.6860890056542301</v>
      </c>
      <c r="I26" s="440">
        <v>0.57999999999999996</v>
      </c>
      <c r="J26" s="308">
        <f t="shared" si="12"/>
        <v>2.9367316014397997</v>
      </c>
      <c r="K26" s="359">
        <v>0.2</v>
      </c>
      <c r="L26" s="334">
        <f t="shared" si="1"/>
        <v>0.33721780113084604</v>
      </c>
      <c r="M26" s="318">
        <f t="shared" si="2"/>
        <v>0.58734632028795997</v>
      </c>
      <c r="N26" s="318">
        <f t="shared" si="13"/>
        <v>0.92456412141880606</v>
      </c>
      <c r="O26" s="319">
        <f t="shared" si="3"/>
        <v>2628853843.5653296</v>
      </c>
      <c r="P26" s="1054">
        <f t="shared" si="4"/>
        <v>3.861295722858606</v>
      </c>
      <c r="Q26" s="1048">
        <f t="shared" si="5"/>
        <v>30101560677.22102</v>
      </c>
      <c r="R26" s="269">
        <f t="shared" si="6"/>
        <v>3.5240779217277596</v>
      </c>
      <c r="S26" s="368">
        <f t="shared" si="7"/>
        <v>27472706833.655689</v>
      </c>
      <c r="T26" s="340">
        <f>-'OECD distillate subsidies'!C202</f>
        <v>0</v>
      </c>
      <c r="U26" s="344">
        <f t="shared" si="8"/>
        <v>0</v>
      </c>
      <c r="V26" s="163">
        <f t="shared" si="9"/>
        <v>27472706833.655689</v>
      </c>
      <c r="W26" s="318">
        <f t="shared" si="10"/>
        <v>5.5473847285128359</v>
      </c>
      <c r="X26" s="344">
        <f t="shared" si="11"/>
        <v>43245829895.047661</v>
      </c>
    </row>
    <row r="27" spans="1:24" ht="15.9" thickTop="1" x14ac:dyDescent="0.6">
      <c r="A27" s="48" t="s">
        <v>392</v>
      </c>
      <c r="B27" s="44"/>
      <c r="C27" s="290"/>
      <c r="D27" s="345"/>
      <c r="E27" s="399"/>
      <c r="F27" s="297"/>
      <c r="G27" s="383"/>
      <c r="H27" s="301"/>
      <c r="I27" s="457"/>
      <c r="J27" s="306"/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</row>
    <row r="28" spans="1:24" x14ac:dyDescent="0.6">
      <c r="A28" s="61">
        <f>A26+1</f>
        <v>23</v>
      </c>
      <c r="B28" s="44" t="s">
        <v>38</v>
      </c>
      <c r="C28" s="290">
        <v>17338</v>
      </c>
      <c r="D28" s="345">
        <f>C28*Assumptions!$C$16</f>
        <v>5432342160</v>
      </c>
      <c r="E28" s="399">
        <f>Assumptions!$H$4</f>
        <v>0.78824099999999997</v>
      </c>
      <c r="F28" s="297">
        <f>Assumptions!$C$115</f>
        <v>3.7854100000000002</v>
      </c>
      <c r="G28" s="441">
        <v>0.72399999999999998</v>
      </c>
      <c r="H28" s="301">
        <f t="shared" ref="H28:H34" si="15">G28*E28*F28</f>
        <v>2.1602823233984401</v>
      </c>
      <c r="I28" s="447">
        <v>0.26500000000000001</v>
      </c>
      <c r="J28" s="306">
        <f t="shared" si="12"/>
        <v>0.79071107140965002</v>
      </c>
      <c r="K28" s="1072">
        <v>9.0499999999999997E-2</v>
      </c>
      <c r="L28" s="329">
        <f t="shared" ref="L28:L34" si="16">K28*H28</f>
        <v>0.19550555026755881</v>
      </c>
      <c r="M28" s="320">
        <f t="shared" ref="M28:M34" si="17">K28*J28</f>
        <v>7.155935196257332E-2</v>
      </c>
      <c r="N28" s="320">
        <f t="shared" si="13"/>
        <v>0.26706490223013213</v>
      </c>
      <c r="O28" s="314">
        <f t="shared" ref="O28:O34" si="18">L28*D28</f>
        <v>1062053043.2324589</v>
      </c>
      <c r="P28" s="1053">
        <f t="shared" si="4"/>
        <v>1.057775973639782</v>
      </c>
      <c r="Q28" s="1047">
        <f t="shared" si="5"/>
        <v>5746201017.4384365</v>
      </c>
      <c r="R28" s="310">
        <f t="shared" ref="R28:R34" si="19">M28+J28</f>
        <v>0.86227042337222337</v>
      </c>
      <c r="S28" s="366">
        <f t="shared" ref="S28:S34" si="20">D28*R28</f>
        <v>4684147974.2059784</v>
      </c>
      <c r="T28" s="336">
        <f>-'OECD distillate subsidies'!C208</f>
        <v>-428634615</v>
      </c>
      <c r="U28" s="342">
        <f t="shared" ref="U28:U34" si="21">T28*E28</f>
        <v>-337867377.56221497</v>
      </c>
      <c r="V28" s="111">
        <f t="shared" ref="V28:V34" si="22">S28+U28</f>
        <v>4346280596.6437635</v>
      </c>
      <c r="W28" s="320">
        <f t="shared" si="10"/>
        <v>3.2180582970382225</v>
      </c>
      <c r="X28" s="342">
        <f t="shared" ref="X28:X34" si="23">W28*D28+U28</f>
        <v>17143726382.776323</v>
      </c>
    </row>
    <row r="29" spans="1:24" x14ac:dyDescent="0.6">
      <c r="A29" s="61">
        <f t="shared" ref="A29:A34" si="24">A28+1</f>
        <v>24</v>
      </c>
      <c r="B29" s="44" t="s">
        <v>39</v>
      </c>
      <c r="C29" s="290">
        <v>3249</v>
      </c>
      <c r="D29" s="345">
        <f>C29*Assumptions!$C$16</f>
        <v>1017976680</v>
      </c>
      <c r="E29" s="399">
        <f>Assumptions!$H$5</f>
        <v>0.12035</v>
      </c>
      <c r="F29" s="297">
        <f>Assumptions!$C$115</f>
        <v>3.7854100000000002</v>
      </c>
      <c r="G29" s="425">
        <v>5.09</v>
      </c>
      <c r="H29" s="301">
        <f t="shared" si="15"/>
        <v>2.318872135915</v>
      </c>
      <c r="I29" s="432">
        <v>4.45</v>
      </c>
      <c r="J29" s="306">
        <f t="shared" si="12"/>
        <v>2.0273047160750002</v>
      </c>
      <c r="K29" s="322">
        <v>0.25</v>
      </c>
      <c r="L29" s="329">
        <f t="shared" si="16"/>
        <v>0.57971803397874999</v>
      </c>
      <c r="M29" s="320">
        <f t="shared" si="17"/>
        <v>0.50682617901875004</v>
      </c>
      <c r="N29" s="320">
        <f t="shared" si="13"/>
        <v>1.0865442129975</v>
      </c>
      <c r="O29" s="314">
        <f t="shared" si="18"/>
        <v>590139439.56581509</v>
      </c>
      <c r="P29" s="1053">
        <f t="shared" si="4"/>
        <v>3.1138489290725002</v>
      </c>
      <c r="Q29" s="1047">
        <f t="shared" si="5"/>
        <v>3169825594.8387794</v>
      </c>
      <c r="R29" s="310">
        <f t="shared" si="19"/>
        <v>2.5341308950937504</v>
      </c>
      <c r="S29" s="366">
        <f t="shared" si="20"/>
        <v>2579686155.2729645</v>
      </c>
      <c r="T29" s="336">
        <f>-'OECD distillate subsidies'!C243</f>
        <v>-3285805322</v>
      </c>
      <c r="U29" s="342">
        <f t="shared" si="21"/>
        <v>-395446670.50269997</v>
      </c>
      <c r="V29" s="111">
        <f t="shared" si="22"/>
        <v>2184239484.7702646</v>
      </c>
      <c r="W29" s="320">
        <f t="shared" si="10"/>
        <v>5.4327210649875006</v>
      </c>
      <c r="X29" s="342">
        <f t="shared" si="23"/>
        <v>5134936682.5993404</v>
      </c>
    </row>
    <row r="30" spans="1:24" x14ac:dyDescent="0.6">
      <c r="A30" s="61">
        <f t="shared" si="24"/>
        <v>25</v>
      </c>
      <c r="B30" s="44" t="s">
        <v>40</v>
      </c>
      <c r="C30" s="290">
        <v>2644</v>
      </c>
      <c r="D30" s="345">
        <f>C30*Assumptions!$C$16</f>
        <v>828418080</v>
      </c>
      <c r="E30" s="399">
        <f>Assumptions!$H$6</f>
        <v>1.010632</v>
      </c>
      <c r="F30" s="297">
        <f>Assumptions!$C$115</f>
        <v>3.7854100000000002</v>
      </c>
      <c r="G30" s="443">
        <v>0.63200000000000001</v>
      </c>
      <c r="H30" s="301">
        <f t="shared" si="15"/>
        <v>2.4178148948038403</v>
      </c>
      <c r="I30" s="449">
        <v>0.76300000000000001</v>
      </c>
      <c r="J30" s="306">
        <f t="shared" si="12"/>
        <v>2.9189758935685601</v>
      </c>
      <c r="K30" s="322">
        <v>0.08</v>
      </c>
      <c r="L30" s="329">
        <f t="shared" si="16"/>
        <v>0.19342519158430724</v>
      </c>
      <c r="M30" s="320">
        <f t="shared" si="17"/>
        <v>0.23351807148548481</v>
      </c>
      <c r="N30" s="320">
        <f t="shared" si="13"/>
        <v>0.42694326306979202</v>
      </c>
      <c r="O30" s="314">
        <f t="shared" si="18"/>
        <v>160236925.83590397</v>
      </c>
      <c r="P30" s="1053">
        <f t="shared" si="4"/>
        <v>3.3459191566383524</v>
      </c>
      <c r="Q30" s="1047">
        <f t="shared" si="5"/>
        <v>2771819923.5775633</v>
      </c>
      <c r="R30" s="310">
        <f t="shared" si="19"/>
        <v>3.1524939650540449</v>
      </c>
      <c r="S30" s="366">
        <f t="shared" si="20"/>
        <v>2611582997.7416592</v>
      </c>
      <c r="T30" s="336">
        <f>-'OECD distillate subsidies'!C254</f>
        <v>-331977823</v>
      </c>
      <c r="U30" s="342">
        <f t="shared" si="21"/>
        <v>-335507411.214136</v>
      </c>
      <c r="V30" s="111">
        <f t="shared" si="22"/>
        <v>2276075586.527523</v>
      </c>
      <c r="W30" s="320">
        <f t="shared" si="10"/>
        <v>5.7637340514421931</v>
      </c>
      <c r="X30" s="342">
        <f t="shared" si="23"/>
        <v>4439274085.3122263</v>
      </c>
    </row>
    <row r="31" spans="1:24" x14ac:dyDescent="0.6">
      <c r="A31" s="46">
        <f t="shared" si="24"/>
        <v>26</v>
      </c>
      <c r="B31" s="44" t="s">
        <v>31</v>
      </c>
      <c r="C31" s="290">
        <v>22287</v>
      </c>
      <c r="D31" s="345">
        <f>C31*Assumptions!$C$16</f>
        <v>6982962840</v>
      </c>
      <c r="E31" s="399">
        <f>Assumptions!$H$7</f>
        <v>8.829E-3</v>
      </c>
      <c r="F31" s="297">
        <f>Assumptions!$C$115</f>
        <v>3.7854100000000002</v>
      </c>
      <c r="G31" s="484">
        <v>70</v>
      </c>
      <c r="H31" s="301">
        <f t="shared" si="15"/>
        <v>2.3394969422999998</v>
      </c>
      <c r="I31" s="469">
        <v>34.6</v>
      </c>
      <c r="J31" s="306">
        <f t="shared" si="12"/>
        <v>1.1563799171940001</v>
      </c>
      <c r="K31" s="322">
        <v>0.08</v>
      </c>
      <c r="L31" s="329">
        <f t="shared" si="16"/>
        <v>0.18715975538399998</v>
      </c>
      <c r="M31" s="320">
        <f t="shared" si="17"/>
        <v>9.2510393375520014E-2</v>
      </c>
      <c r="N31" s="320">
        <f t="shared" si="13"/>
        <v>0.27967014875952001</v>
      </c>
      <c r="O31" s="314">
        <f t="shared" si="18"/>
        <v>1306929616.9899619</v>
      </c>
      <c r="P31" s="1053">
        <f t="shared" si="4"/>
        <v>1.4360500659535202</v>
      </c>
      <c r="Q31" s="1047">
        <f t="shared" si="5"/>
        <v>10027884246.932981</v>
      </c>
      <c r="R31" s="310">
        <f t="shared" si="19"/>
        <v>1.2488903105695202</v>
      </c>
      <c r="S31" s="366">
        <f t="shared" si="20"/>
        <v>8720954629.943018</v>
      </c>
      <c r="T31" s="336">
        <f>-'OECD distillate subsidies'!C263</f>
        <v>-3134001847</v>
      </c>
      <c r="U31" s="342">
        <f t="shared" si="21"/>
        <v>-27670102.307163</v>
      </c>
      <c r="V31" s="111">
        <f t="shared" si="22"/>
        <v>8693284527.6358547</v>
      </c>
      <c r="W31" s="320">
        <f t="shared" si="10"/>
        <v>3.7755470082535201</v>
      </c>
      <c r="X31" s="342">
        <f t="shared" si="23"/>
        <v>26336834357.00034</v>
      </c>
    </row>
    <row r="32" spans="1:24" x14ac:dyDescent="0.6">
      <c r="A32" s="46">
        <f t="shared" si="24"/>
        <v>27</v>
      </c>
      <c r="B32" s="44" t="s">
        <v>47</v>
      </c>
      <c r="C32" s="290">
        <v>16965</v>
      </c>
      <c r="D32" s="345">
        <f>C32*Assumptions!$C$16</f>
        <v>5315473800</v>
      </c>
      <c r="E32" s="399">
        <f>Assumptions!$H$8</f>
        <v>9.3000000000000005E-4</v>
      </c>
      <c r="F32" s="297">
        <f>Assumptions!$C$115</f>
        <v>3.7854100000000002</v>
      </c>
      <c r="G32" s="485">
        <v>591.82000000000005</v>
      </c>
      <c r="H32" s="301">
        <f t="shared" si="15"/>
        <v>2.0834616519660005</v>
      </c>
      <c r="I32" s="470">
        <v>528.75</v>
      </c>
      <c r="J32" s="306">
        <f t="shared" si="12"/>
        <v>1.8614280498750002</v>
      </c>
      <c r="K32" s="322">
        <v>0.1</v>
      </c>
      <c r="L32" s="329">
        <f t="shared" si="16"/>
        <v>0.20834616519660007</v>
      </c>
      <c r="M32" s="320">
        <f t="shared" si="17"/>
        <v>0.18614280498750002</v>
      </c>
      <c r="N32" s="320">
        <f t="shared" si="13"/>
        <v>0.39448897018410012</v>
      </c>
      <c r="O32" s="314">
        <f t="shared" si="18"/>
        <v>1107458582.4329996</v>
      </c>
      <c r="P32" s="1053">
        <f t="shared" si="4"/>
        <v>2.2559170200591003</v>
      </c>
      <c r="Q32" s="1047">
        <f t="shared" si="5"/>
        <v>11991267815.098223</v>
      </c>
      <c r="R32" s="310">
        <f t="shared" si="19"/>
        <v>2.0475708548625002</v>
      </c>
      <c r="S32" s="366">
        <f t="shared" si="20"/>
        <v>10883809232.665222</v>
      </c>
      <c r="T32" s="336">
        <f>-'OECD distillate subsidies'!C268</f>
        <v>0</v>
      </c>
      <c r="U32" s="342">
        <f t="shared" si="21"/>
        <v>0</v>
      </c>
      <c r="V32" s="111">
        <f t="shared" si="22"/>
        <v>10883809232.665222</v>
      </c>
      <c r="W32" s="320">
        <f t="shared" si="10"/>
        <v>4.3393786720251013</v>
      </c>
      <c r="X32" s="342">
        <f t="shared" si="23"/>
        <v>23065853639.428219</v>
      </c>
    </row>
    <row r="33" spans="1:25" x14ac:dyDescent="0.6">
      <c r="A33" s="46">
        <f t="shared" si="24"/>
        <v>28</v>
      </c>
      <c r="B33" s="44" t="s">
        <v>32</v>
      </c>
      <c r="C33" s="290">
        <v>12815</v>
      </c>
      <c r="D33" s="345">
        <f>C33*Assumptions!$C$16</f>
        <v>4015195800</v>
      </c>
      <c r="E33" s="399">
        <f>Assumptions!$H$9</f>
        <v>0.77382200000000001</v>
      </c>
      <c r="F33" s="297">
        <f>Assumptions!$C$115</f>
        <v>3.7854100000000002</v>
      </c>
      <c r="G33" s="389">
        <v>0.749</v>
      </c>
      <c r="H33" s="301">
        <f t="shared" si="15"/>
        <v>2.1939959192279801</v>
      </c>
      <c r="I33" s="447">
        <v>0.39200000000000002</v>
      </c>
      <c r="J33" s="306">
        <f t="shared" si="12"/>
        <v>1.1482595465118399</v>
      </c>
      <c r="K33" s="322">
        <v>0.1</v>
      </c>
      <c r="L33" s="329">
        <f t="shared" si="16"/>
        <v>0.21939959192279801</v>
      </c>
      <c r="M33" s="320">
        <f t="shared" si="17"/>
        <v>0.114825954651184</v>
      </c>
      <c r="N33" s="320">
        <f t="shared" si="13"/>
        <v>0.33422554657398201</v>
      </c>
      <c r="O33" s="314">
        <f t="shared" si="18"/>
        <v>880932320.01013255</v>
      </c>
      <c r="P33" s="1053">
        <f t="shared" si="4"/>
        <v>1.482485093085822</v>
      </c>
      <c r="Q33" s="1047">
        <f t="shared" si="5"/>
        <v>5952467919.3208017</v>
      </c>
      <c r="R33" s="310">
        <f t="shared" si="19"/>
        <v>1.263085501163024</v>
      </c>
      <c r="S33" s="366">
        <f t="shared" si="20"/>
        <v>5071535599.3106689</v>
      </c>
      <c r="T33" s="336">
        <f>-'OECD distillate subsidies'!C274</f>
        <v>-3058450000</v>
      </c>
      <c r="U33" s="342">
        <f t="shared" si="21"/>
        <v>-2366695895.9000001</v>
      </c>
      <c r="V33" s="111">
        <f t="shared" si="22"/>
        <v>2704839703.4106688</v>
      </c>
      <c r="W33" s="320">
        <f t="shared" si="10"/>
        <v>3.6764810123138019</v>
      </c>
      <c r="X33" s="342">
        <f t="shared" si="23"/>
        <v>12395095223.522125</v>
      </c>
    </row>
    <row r="34" spans="1:25" ht="15.9" thickBot="1" x14ac:dyDescent="0.65">
      <c r="A34" s="15">
        <f t="shared" si="24"/>
        <v>29</v>
      </c>
      <c r="B34" s="47" t="s">
        <v>33</v>
      </c>
      <c r="C34" s="291">
        <v>1979</v>
      </c>
      <c r="D34" s="347">
        <f>C34*Assumptions!$C$16</f>
        <v>620060280</v>
      </c>
      <c r="E34" s="417">
        <f>Assumptions!$H$10</f>
        <v>0.70460400000000001</v>
      </c>
      <c r="F34" s="299">
        <f>Assumptions!$C$115</f>
        <v>3.7854100000000002</v>
      </c>
      <c r="G34" s="445">
        <v>0.93700000000000006</v>
      </c>
      <c r="H34" s="303">
        <f t="shared" si="15"/>
        <v>2.4991804808986799</v>
      </c>
      <c r="I34" s="471">
        <v>4.0000000000000001E-3</v>
      </c>
      <c r="J34" s="309">
        <f t="shared" si="12"/>
        <v>1.0668860110560001E-2</v>
      </c>
      <c r="K34" s="359">
        <v>0.15</v>
      </c>
      <c r="L34" s="334">
        <f t="shared" si="16"/>
        <v>0.37487707213480198</v>
      </c>
      <c r="M34" s="321">
        <f t="shared" si="17"/>
        <v>1.6003290165840002E-3</v>
      </c>
      <c r="N34" s="321">
        <f t="shared" si="13"/>
        <v>0.376477401151386</v>
      </c>
      <c r="O34" s="319">
        <f t="shared" si="18"/>
        <v>232446382.3134855</v>
      </c>
      <c r="P34" s="1054">
        <f t="shared" si="4"/>
        <v>0.38714626126194601</v>
      </c>
      <c r="Q34" s="1048">
        <f t="shared" si="5"/>
        <v>240054019.15903538</v>
      </c>
      <c r="R34" s="312">
        <f t="shared" si="19"/>
        <v>1.2269189127144002E-2</v>
      </c>
      <c r="S34" s="368">
        <f t="shared" si="20"/>
        <v>7607636.8455498656</v>
      </c>
      <c r="T34" s="340">
        <f>-'OECD distillate subsidies'!C291</f>
        <v>0</v>
      </c>
      <c r="U34" s="344">
        <f t="shared" si="21"/>
        <v>0</v>
      </c>
      <c r="V34" s="163">
        <f t="shared" si="22"/>
        <v>7607636.8455498656</v>
      </c>
      <c r="W34" s="321">
        <f t="shared" si="10"/>
        <v>2.8863267421606258</v>
      </c>
      <c r="X34" s="344">
        <f t="shared" si="23"/>
        <v>1789696567.9156055</v>
      </c>
    </row>
    <row r="35" spans="1:25" ht="15.9" thickTop="1" x14ac:dyDescent="0.6">
      <c r="A35" s="49" t="s">
        <v>393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</row>
    <row r="36" spans="1:25" x14ac:dyDescent="0.6">
      <c r="A36" s="73">
        <f>A34+1</f>
        <v>30</v>
      </c>
      <c r="B36" s="50" t="s">
        <v>46</v>
      </c>
      <c r="C36" s="290">
        <v>121022</v>
      </c>
      <c r="D36" s="348">
        <f>C36*Assumptions!$C$16</f>
        <v>37918613040</v>
      </c>
      <c r="E36" s="399">
        <f>Assumptions!$H$11</f>
        <v>0.152529</v>
      </c>
      <c r="F36" s="297">
        <f>Assumptions!$C$115</f>
        <v>3.7854100000000002</v>
      </c>
      <c r="G36" s="295"/>
      <c r="H36" s="666">
        <v>1.63</v>
      </c>
      <c r="I36" s="1058">
        <v>1.2</v>
      </c>
      <c r="J36" s="306">
        <f t="shared" si="12"/>
        <v>0.692861762268</v>
      </c>
      <c r="K36" s="322">
        <v>0.17</v>
      </c>
      <c r="L36" s="329">
        <f>K36*H36</f>
        <v>0.27710000000000001</v>
      </c>
      <c r="M36" s="320">
        <f>K36*J36</f>
        <v>0.11778649958556001</v>
      </c>
      <c r="N36" s="320">
        <f t="shared" si="13"/>
        <v>0.39488649958555999</v>
      </c>
      <c r="O36" s="314">
        <f>L36*D36</f>
        <v>10507247673.384001</v>
      </c>
      <c r="P36" s="1053">
        <f t="shared" si="4"/>
        <v>1.0877482618535601</v>
      </c>
      <c r="Q36" s="1047">
        <f t="shared" si="5"/>
        <v>41245905426.157738</v>
      </c>
      <c r="R36" s="310">
        <f>M36+J36</f>
        <v>0.81064826185355998</v>
      </c>
      <c r="S36" s="366">
        <f>D36*R36</f>
        <v>30738657752.773735</v>
      </c>
      <c r="T36" s="336">
        <f>-'OECD distillate subsidies'!C293</f>
        <v>-147952000000</v>
      </c>
      <c r="U36" s="342">
        <f>T36*E36</f>
        <v>-22566970608</v>
      </c>
      <c r="V36" s="111">
        <f>S36+U36</f>
        <v>8171687144.773735</v>
      </c>
      <c r="W36" s="320">
        <f t="shared" ref="W36:W41" si="25">(H36+J36)*(1+K36)</f>
        <v>2.7177482618535596</v>
      </c>
      <c r="X36" s="342">
        <f>W36*D36+U36</f>
        <v>80486274073.357712</v>
      </c>
    </row>
    <row r="37" spans="1:25" x14ac:dyDescent="0.6">
      <c r="A37" s="46">
        <f>A36+1</f>
        <v>31</v>
      </c>
      <c r="B37" s="50" t="s">
        <v>49</v>
      </c>
      <c r="C37" s="290">
        <v>54106</v>
      </c>
      <c r="D37" s="348">
        <f>C37*Assumptions!$C$16</f>
        <v>16952491920</v>
      </c>
      <c r="E37" s="399">
        <f>Assumptions!$H$12</f>
        <v>1.5587E-2</v>
      </c>
      <c r="F37" s="297">
        <f>Assumptions!$C$115</f>
        <v>3.7854100000000002</v>
      </c>
      <c r="G37" s="1073">
        <v>27.05</v>
      </c>
      <c r="H37" s="301">
        <f t="shared" ref="H37" si="26">G37*E37*F37</f>
        <v>1.5960361723735002</v>
      </c>
      <c r="I37" s="1074">
        <v>10.66</v>
      </c>
      <c r="J37" s="306">
        <f t="shared" si="12"/>
        <v>0.62897395924220001</v>
      </c>
      <c r="K37" s="322">
        <v>0.25</v>
      </c>
      <c r="L37" s="329">
        <f>K37*H37</f>
        <v>0.39900904309337504</v>
      </c>
      <c r="M37" s="320">
        <f>K37*J37</f>
        <v>0.15724348981055</v>
      </c>
      <c r="N37" s="320">
        <f t="shared" si="13"/>
        <v>0.55625253290392507</v>
      </c>
      <c r="O37" s="314">
        <f>L37*D37</f>
        <v>6764197579.0473719</v>
      </c>
      <c r="P37" s="1053">
        <f t="shared" si="4"/>
        <v>1.1852264921461251</v>
      </c>
      <c r="Q37" s="1047">
        <f t="shared" si="5"/>
        <v>20092542531.477127</v>
      </c>
      <c r="R37" s="310">
        <f>M37+J37</f>
        <v>0.78621744905275004</v>
      </c>
      <c r="S37" s="366">
        <f>D37*R37</f>
        <v>13328344952.429756</v>
      </c>
      <c r="T37" s="336">
        <f>-'OECD distillate subsidies'!C298</f>
        <v>-41293900000</v>
      </c>
      <c r="U37" s="342">
        <f>T37*E37</f>
        <v>-643648019.29999995</v>
      </c>
      <c r="V37" s="111">
        <f>S37+U37</f>
        <v>12684696933.129757</v>
      </c>
      <c r="W37" s="320">
        <f t="shared" si="25"/>
        <v>2.7812626645196254</v>
      </c>
      <c r="X37" s="342">
        <f>W37*D37+U37</f>
        <v>46505684828.366615</v>
      </c>
    </row>
    <row r="38" spans="1:25" x14ac:dyDescent="0.6">
      <c r="A38" s="46">
        <f>A37+1</f>
        <v>32</v>
      </c>
      <c r="B38" s="44" t="s">
        <v>50</v>
      </c>
      <c r="C38" s="290">
        <v>35559</v>
      </c>
      <c r="D38" s="348">
        <f>C38*Assumptions!$C$16</f>
        <v>11141345880</v>
      </c>
      <c r="E38" s="399">
        <f>Assumptions!$H$13</f>
        <v>0.30204900000000001</v>
      </c>
      <c r="F38" s="297">
        <f>Assumptions!$C$115</f>
        <v>3.7854100000000002</v>
      </c>
      <c r="G38" s="293"/>
      <c r="H38" s="1077">
        <f>$I$67</f>
        <v>2.1704479357983284</v>
      </c>
      <c r="I38" s="1044">
        <f>0.5+0.07</f>
        <v>0.57000000000000006</v>
      </c>
      <c r="J38" s="306">
        <f t="shared" si="12"/>
        <v>0.65172620390130009</v>
      </c>
      <c r="K38" s="322">
        <v>0.19</v>
      </c>
      <c r="L38" s="329">
        <f>K38*H38</f>
        <v>0.41238510780168242</v>
      </c>
      <c r="M38" s="320">
        <f>K38*J38</f>
        <v>0.12382797874124701</v>
      </c>
      <c r="N38" s="320">
        <f t="shared" si="13"/>
        <v>0.53621308654292943</v>
      </c>
      <c r="O38" s="314">
        <f>L38*D38</f>
        <v>4594525121.7796307</v>
      </c>
      <c r="P38" s="1053">
        <f t="shared" si="4"/>
        <v>1.1879392904442296</v>
      </c>
      <c r="Q38" s="1047">
        <f t="shared" si="5"/>
        <v>13235242519.280941</v>
      </c>
      <c r="R38" s="310">
        <f>M38+J38</f>
        <v>0.77555418264254716</v>
      </c>
      <c r="S38" s="366">
        <f>D38*R38</f>
        <v>8640717397.5013103</v>
      </c>
      <c r="T38" s="336">
        <f>-'OECD distillate subsidies'!C300</f>
        <v>-17165781043</v>
      </c>
      <c r="U38" s="342">
        <f>T38*E38</f>
        <v>-5184906998.2571068</v>
      </c>
      <c r="V38" s="111">
        <f>S38+U38</f>
        <v>3455810399.2442036</v>
      </c>
      <c r="W38" s="320">
        <f t="shared" si="25"/>
        <v>3.3583872262425576</v>
      </c>
      <c r="X38" s="342">
        <f>W38*D38+U38</f>
        <v>32232046688.285038</v>
      </c>
    </row>
    <row r="39" spans="1:25" ht="15.9" thickBot="1" x14ac:dyDescent="0.65">
      <c r="A39" s="15">
        <f>A38+1</f>
        <v>33</v>
      </c>
      <c r="B39" s="47" t="s">
        <v>51</v>
      </c>
      <c r="C39" s="291">
        <v>16422</v>
      </c>
      <c r="D39" s="349">
        <f>C39*Assumptions!$C$16</f>
        <v>5145341040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$I$67</f>
        <v>2.1704479357983284</v>
      </c>
      <c r="I39" s="1076">
        <v>2.91</v>
      </c>
      <c r="J39" s="309">
        <f t="shared" si="12"/>
        <v>0.19106459506950002</v>
      </c>
      <c r="K39" s="359">
        <v>0.18</v>
      </c>
      <c r="L39" s="334">
        <f>K39*H39</f>
        <v>0.39068062844369911</v>
      </c>
      <c r="M39" s="321">
        <f>K39*J39</f>
        <v>3.4391627112510002E-2</v>
      </c>
      <c r="N39" s="321">
        <f t="shared" si="13"/>
        <v>0.42507225555620909</v>
      </c>
      <c r="O39" s="319">
        <f>L39*D39</f>
        <v>2010185071.0643563</v>
      </c>
      <c r="P39" s="1054">
        <f t="shared" si="4"/>
        <v>0.61613685062570911</v>
      </c>
      <c r="Q39" s="1048">
        <f t="shared" si="5"/>
        <v>3170234223.7808108</v>
      </c>
      <c r="R39" s="312">
        <f>M39+J39</f>
        <v>0.22545622218201003</v>
      </c>
      <c r="S39" s="368">
        <f>D39*R39</f>
        <v>1160049152.7164545</v>
      </c>
      <c r="T39" s="340">
        <f>-'OECD distillate subsidies'!C307</f>
        <v>0</v>
      </c>
      <c r="U39" s="344">
        <f>T39*E39</f>
        <v>0</v>
      </c>
      <c r="V39" s="163">
        <f>S39+U39</f>
        <v>1160049152.7164545</v>
      </c>
      <c r="W39" s="321">
        <f t="shared" si="25"/>
        <v>2.786584786424037</v>
      </c>
      <c r="X39" s="344">
        <f>W39*D39+U39</f>
        <v>14337929063.027233</v>
      </c>
    </row>
    <row r="40" spans="1:25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393"/>
      <c r="J40" s="394"/>
      <c r="K40" s="322"/>
      <c r="L40" s="329"/>
      <c r="M40" s="320"/>
      <c r="N40" s="320"/>
      <c r="O40" s="314"/>
      <c r="P40" s="1046"/>
      <c r="Q40" s="1047">
        <f t="shared" si="5"/>
        <v>0</v>
      </c>
      <c r="R40" s="395"/>
      <c r="S40" s="396"/>
      <c r="T40" s="542"/>
      <c r="U40" s="543"/>
      <c r="V40" s="573"/>
      <c r="W40" s="571"/>
      <c r="X40" s="548"/>
      <c r="Y40" s="55"/>
    </row>
    <row r="41" spans="1:25" s="85" customFormat="1" x14ac:dyDescent="0.6">
      <c r="A41" s="61">
        <f>A39+1</f>
        <v>34</v>
      </c>
      <c r="B41" s="86" t="s">
        <v>48</v>
      </c>
      <c r="C41" s="290">
        <v>14004</v>
      </c>
      <c r="D41" s="348">
        <f>C41*Assumptions!$C$16</f>
        <v>4387733280</v>
      </c>
      <c r="E41" s="1020">
        <f>Assumptions!H25</f>
        <v>5.0333999999999997E-2</v>
      </c>
      <c r="F41" s="1006">
        <f>Assumptions!$C$115</f>
        <v>3.7854100000000002</v>
      </c>
      <c r="G41" s="877">
        <f>12.173</f>
        <v>12.173</v>
      </c>
      <c r="H41" s="877">
        <f>G41*F41*E41</f>
        <v>2.31938044834062</v>
      </c>
      <c r="I41" s="393"/>
      <c r="J41" s="394"/>
      <c r="K41" s="322">
        <f>Gasoline!K41</f>
        <v>0.16</v>
      </c>
      <c r="L41" s="329">
        <f>K41*H41</f>
        <v>0.37110087173449918</v>
      </c>
      <c r="M41" s="320"/>
      <c r="N41" s="320">
        <f>M41+L41</f>
        <v>0.37110087173449918</v>
      </c>
      <c r="O41" s="314">
        <f t="shared" ref="O41:O65" si="27">L41*D41</f>
        <v>1628291645.1464734</v>
      </c>
      <c r="P41" s="1053">
        <f t="shared" si="4"/>
        <v>0.37110087173449918</v>
      </c>
      <c r="Q41" s="1047">
        <f t="shared" si="5"/>
        <v>1628291645.1464734</v>
      </c>
      <c r="R41" s="395"/>
      <c r="S41" s="396"/>
      <c r="T41" s="1007"/>
      <c r="U41" s="847"/>
      <c r="V41" s="1008"/>
      <c r="W41" s="320">
        <f t="shared" si="25"/>
        <v>2.690481320075119</v>
      </c>
      <c r="X41" s="847">
        <f t="shared" ref="X41:X65" si="28">W41*D41+U41</f>
        <v>11805114427.311932</v>
      </c>
    </row>
    <row r="42" spans="1:25" s="85" customFormat="1" x14ac:dyDescent="0.6">
      <c r="A42" s="61">
        <f>A41+1</f>
        <v>35</v>
      </c>
      <c r="B42" s="86" t="s">
        <v>53</v>
      </c>
      <c r="C42" s="290">
        <v>9284</v>
      </c>
      <c r="D42" s="348">
        <f>C42*Assumptions!$C$16</f>
        <v>2908862880</v>
      </c>
      <c r="E42" s="1005"/>
      <c r="F42" s="1006">
        <f>Assumptions!$C$115</f>
        <v>3.7854100000000002</v>
      </c>
      <c r="G42" s="1128"/>
      <c r="H42" s="1128">
        <f t="shared" ref="H42:H65" si="29">$I$67</f>
        <v>2.1704479357983284</v>
      </c>
      <c r="I42" s="393"/>
      <c r="J42" s="394"/>
      <c r="K42" s="322">
        <f>Gasoline!K42</f>
        <v>0</v>
      </c>
      <c r="L42" s="329">
        <f>K42*H42</f>
        <v>0</v>
      </c>
      <c r="M42" s="320"/>
      <c r="N42" s="320">
        <f>M42+L42</f>
        <v>0</v>
      </c>
      <c r="O42" s="314">
        <f t="shared" si="27"/>
        <v>0</v>
      </c>
      <c r="P42" s="1046"/>
      <c r="Q42" s="1047">
        <f t="shared" si="5"/>
        <v>0</v>
      </c>
      <c r="R42" s="395"/>
      <c r="S42" s="394"/>
      <c r="T42" s="1007"/>
      <c r="U42" s="847"/>
      <c r="V42" s="1008"/>
      <c r="W42" s="363">
        <f>0.15*F42</f>
        <v>0.56781150000000002</v>
      </c>
      <c r="X42" s="847">
        <f t="shared" si="28"/>
        <v>1651685795.18712</v>
      </c>
    </row>
    <row r="43" spans="1:25" s="85" customFormat="1" x14ac:dyDescent="0.6">
      <c r="A43" s="61">
        <f t="shared" ref="A43:A65" si="30">A42+1</f>
        <v>36</v>
      </c>
      <c r="B43" s="86" t="s">
        <v>54</v>
      </c>
      <c r="C43" s="290">
        <v>1587</v>
      </c>
      <c r="D43" s="348">
        <f>C43*Assumptions!$C$16</f>
        <v>497238840</v>
      </c>
      <c r="E43" s="1005"/>
      <c r="F43" s="1006">
        <f>Assumptions!$C$115</f>
        <v>3.7854100000000002</v>
      </c>
      <c r="G43" s="1128"/>
      <c r="H43" s="1128">
        <f t="shared" si="29"/>
        <v>2.1704479357983284</v>
      </c>
      <c r="I43" s="393"/>
      <c r="J43" s="394"/>
      <c r="K43" s="322">
        <f>Gasoline!K43</f>
        <v>0</v>
      </c>
      <c r="L43" s="329">
        <f t="shared" ref="L43:L65" si="31">K43*H43</f>
        <v>0</v>
      </c>
      <c r="M43" s="320"/>
      <c r="N43" s="320">
        <f t="shared" ref="N43:N65" si="32">M43+L43</f>
        <v>0</v>
      </c>
      <c r="O43" s="314">
        <f t="shared" si="27"/>
        <v>0</v>
      </c>
      <c r="P43" s="1046"/>
      <c r="Q43" s="1047">
        <f t="shared" si="5"/>
        <v>0</v>
      </c>
      <c r="R43" s="395"/>
      <c r="S43" s="396"/>
      <c r="T43" s="1007"/>
      <c r="U43" s="847"/>
      <c r="V43" s="1008"/>
      <c r="W43" s="363">
        <f>0.55*F43</f>
        <v>2.0819755000000004</v>
      </c>
      <c r="X43" s="847">
        <f t="shared" si="28"/>
        <v>1035239082.5284202</v>
      </c>
    </row>
    <row r="44" spans="1:25" s="85" customFormat="1" x14ac:dyDescent="0.6">
      <c r="A44" s="61">
        <f t="shared" si="30"/>
        <v>37</v>
      </c>
      <c r="B44" s="86" t="s">
        <v>55</v>
      </c>
      <c r="C44" s="290">
        <v>766</v>
      </c>
      <c r="D44" s="348">
        <f>C44*Assumptions!$C$16</f>
        <v>240003120</v>
      </c>
      <c r="E44" s="1005"/>
      <c r="F44" s="1006">
        <f>Assumptions!$C$115</f>
        <v>3.7854100000000002</v>
      </c>
      <c r="G44" s="1128"/>
      <c r="H44" s="1128">
        <f t="shared" si="29"/>
        <v>2.1704479357983284</v>
      </c>
      <c r="I44" s="393"/>
      <c r="J44" s="394"/>
      <c r="K44" s="322">
        <f>Gasoline!K44</f>
        <v>0</v>
      </c>
      <c r="L44" s="329">
        <f t="shared" si="31"/>
        <v>0</v>
      </c>
      <c r="M44" s="320"/>
      <c r="N44" s="320">
        <f t="shared" si="32"/>
        <v>0</v>
      </c>
      <c r="O44" s="314">
        <f t="shared" si="27"/>
        <v>0</v>
      </c>
      <c r="P44" s="1046"/>
      <c r="Q44" s="1047">
        <f t="shared" si="5"/>
        <v>0</v>
      </c>
      <c r="R44" s="395"/>
      <c r="S44" s="396"/>
      <c r="T44" s="1007"/>
      <c r="U44" s="847"/>
      <c r="V44" s="1008"/>
      <c r="W44" s="363">
        <f>0.35*F44</f>
        <v>1.3248934999999999</v>
      </c>
      <c r="X44" s="847">
        <f t="shared" si="28"/>
        <v>317978573.66771996</v>
      </c>
    </row>
    <row r="45" spans="1:25" s="85" customFormat="1" x14ac:dyDescent="0.6">
      <c r="A45" s="61">
        <f t="shared" si="30"/>
        <v>38</v>
      </c>
      <c r="B45" s="86" t="s">
        <v>56</v>
      </c>
      <c r="C45" s="290">
        <v>322</v>
      </c>
      <c r="D45" s="348">
        <f>C45*Assumptions!$C$16</f>
        <v>100889040</v>
      </c>
      <c r="E45" s="1005"/>
      <c r="F45" s="1006">
        <f>Assumptions!$C$115</f>
        <v>3.7854100000000002</v>
      </c>
      <c r="G45" s="1128"/>
      <c r="H45" s="1128">
        <f t="shared" si="29"/>
        <v>2.1704479357983284</v>
      </c>
      <c r="I45" s="393"/>
      <c r="J45" s="394"/>
      <c r="K45" s="322">
        <f>Gasoline!K45</f>
        <v>0</v>
      </c>
      <c r="L45" s="329">
        <f t="shared" si="31"/>
        <v>0</v>
      </c>
      <c r="M45" s="320"/>
      <c r="N45" s="320">
        <f t="shared" si="32"/>
        <v>0</v>
      </c>
      <c r="O45" s="314">
        <f t="shared" si="27"/>
        <v>0</v>
      </c>
      <c r="P45" s="1046"/>
      <c r="Q45" s="1047">
        <f t="shared" si="5"/>
        <v>0</v>
      </c>
      <c r="R45" s="395"/>
      <c r="S45" s="396"/>
      <c r="T45" s="1007"/>
      <c r="U45" s="847"/>
      <c r="V45" s="1008"/>
      <c r="W45" s="363">
        <f>0.37*F45</f>
        <v>1.4006016999999999</v>
      </c>
      <c r="X45" s="847">
        <f t="shared" si="28"/>
        <v>141305360.935368</v>
      </c>
    </row>
    <row r="46" spans="1:25" s="85" customFormat="1" x14ac:dyDescent="0.6">
      <c r="A46" s="61">
        <f t="shared" si="30"/>
        <v>39</v>
      </c>
      <c r="B46" s="86" t="s">
        <v>57</v>
      </c>
      <c r="C46" s="290">
        <v>152</v>
      </c>
      <c r="D46" s="348">
        <f>C46*Assumptions!$C$16</f>
        <v>47624640</v>
      </c>
      <c r="E46" s="1005"/>
      <c r="F46" s="1006">
        <f>Assumptions!$C$115</f>
        <v>3.7854100000000002</v>
      </c>
      <c r="G46" s="1128"/>
      <c r="H46" s="1128">
        <f t="shared" si="29"/>
        <v>2.1704479357983284</v>
      </c>
      <c r="I46" s="393"/>
      <c r="J46" s="394"/>
      <c r="K46" s="322">
        <f>Gasoline!K46</f>
        <v>0</v>
      </c>
      <c r="L46" s="329">
        <f t="shared" si="31"/>
        <v>0</v>
      </c>
      <c r="M46" s="320"/>
      <c r="N46" s="320">
        <f t="shared" si="32"/>
        <v>0</v>
      </c>
      <c r="O46" s="314">
        <f t="shared" si="27"/>
        <v>0</v>
      </c>
      <c r="P46" s="1046"/>
      <c r="Q46" s="1047">
        <f t="shared" si="5"/>
        <v>0</v>
      </c>
      <c r="R46" s="395"/>
      <c r="S46" s="396"/>
      <c r="T46" s="1007"/>
      <c r="U46" s="847"/>
      <c r="V46" s="1008"/>
      <c r="W46" s="363">
        <f>0.37*F46</f>
        <v>1.4006016999999999</v>
      </c>
      <c r="X46" s="847">
        <f t="shared" si="28"/>
        <v>66703151.745887995</v>
      </c>
    </row>
    <row r="47" spans="1:25" s="85" customFormat="1" x14ac:dyDescent="0.6">
      <c r="A47" s="61">
        <f t="shared" si="30"/>
        <v>40</v>
      </c>
      <c r="B47" s="86" t="s">
        <v>58</v>
      </c>
      <c r="C47" s="290">
        <v>2870</v>
      </c>
      <c r="D47" s="348">
        <f>C47*Assumptions!$C$16</f>
        <v>899228400</v>
      </c>
      <c r="E47" s="1005"/>
      <c r="F47" s="1006">
        <f>Assumptions!$C$115</f>
        <v>3.7854100000000002</v>
      </c>
      <c r="G47" s="1128"/>
      <c r="H47" s="1128">
        <f t="shared" si="29"/>
        <v>2.1704479357983284</v>
      </c>
      <c r="I47" s="393"/>
      <c r="J47" s="394"/>
      <c r="K47" s="322">
        <f>Gasoline!K47</f>
        <v>0</v>
      </c>
      <c r="L47" s="329">
        <f t="shared" si="31"/>
        <v>0</v>
      </c>
      <c r="M47" s="320"/>
      <c r="N47" s="320">
        <f t="shared" si="32"/>
        <v>0</v>
      </c>
      <c r="O47" s="314">
        <f t="shared" si="27"/>
        <v>0</v>
      </c>
      <c r="P47" s="1046"/>
      <c r="Q47" s="1047">
        <f t="shared" si="5"/>
        <v>0</v>
      </c>
      <c r="R47" s="395"/>
      <c r="S47" s="403"/>
      <c r="T47" s="1007"/>
      <c r="U47" s="847"/>
      <c r="V47" s="1008"/>
      <c r="W47" s="363">
        <f>0.26*F47</f>
        <v>0.98420660000000004</v>
      </c>
      <c r="X47" s="847">
        <f t="shared" si="28"/>
        <v>885026526.18744004</v>
      </c>
    </row>
    <row r="48" spans="1:25" s="85" customFormat="1" x14ac:dyDescent="0.6">
      <c r="A48" s="61">
        <f t="shared" si="30"/>
        <v>41</v>
      </c>
      <c r="B48" s="86" t="s">
        <v>59</v>
      </c>
      <c r="C48" s="290">
        <v>9140</v>
      </c>
      <c r="D48" s="348">
        <f>C48*Assumptions!$C$16</f>
        <v>2863744800</v>
      </c>
      <c r="E48" s="1005"/>
      <c r="F48" s="1006">
        <f>Assumptions!$C$115</f>
        <v>3.7854100000000002</v>
      </c>
      <c r="G48" s="1128"/>
      <c r="H48" s="1128">
        <f t="shared" si="29"/>
        <v>2.1704479357983284</v>
      </c>
      <c r="I48" s="393"/>
      <c r="J48" s="394"/>
      <c r="K48" s="322">
        <f>Gasoline!K48</f>
        <v>0</v>
      </c>
      <c r="L48" s="329">
        <f t="shared" si="31"/>
        <v>0</v>
      </c>
      <c r="M48" s="320"/>
      <c r="N48" s="320">
        <f t="shared" si="32"/>
        <v>0</v>
      </c>
      <c r="O48" s="314">
        <f t="shared" si="27"/>
        <v>0</v>
      </c>
      <c r="P48" s="1046"/>
      <c r="Q48" s="1047">
        <f t="shared" si="5"/>
        <v>0</v>
      </c>
      <c r="R48" s="395"/>
      <c r="S48" s="396"/>
      <c r="T48" s="1007"/>
      <c r="U48" s="847"/>
      <c r="V48" s="1008"/>
      <c r="W48" s="363">
        <f>0.23*F48</f>
        <v>0.87064430000000004</v>
      </c>
      <c r="X48" s="847">
        <f t="shared" si="28"/>
        <v>2493303086.7746401</v>
      </c>
    </row>
    <row r="49" spans="1:24" s="85" customFormat="1" x14ac:dyDescent="0.6">
      <c r="A49" s="61">
        <f t="shared" si="30"/>
        <v>42</v>
      </c>
      <c r="B49" s="86" t="s">
        <v>60</v>
      </c>
      <c r="C49" s="290">
        <v>173</v>
      </c>
      <c r="D49" s="348">
        <f>C49*Assumptions!$C$16</f>
        <v>54204360</v>
      </c>
      <c r="E49" s="1005"/>
      <c r="F49" s="1006">
        <f>Assumptions!$C$115</f>
        <v>3.7854100000000002</v>
      </c>
      <c r="G49" s="1128"/>
      <c r="H49" s="1128">
        <f t="shared" si="29"/>
        <v>2.1704479357983284</v>
      </c>
      <c r="I49" s="393"/>
      <c r="J49" s="394"/>
      <c r="K49" s="322">
        <f>Gasoline!K49</f>
        <v>0</v>
      </c>
      <c r="L49" s="329">
        <f t="shared" si="31"/>
        <v>0</v>
      </c>
      <c r="M49" s="320"/>
      <c r="N49" s="320">
        <f t="shared" si="32"/>
        <v>0</v>
      </c>
      <c r="O49" s="314">
        <f t="shared" si="27"/>
        <v>0</v>
      </c>
      <c r="P49" s="1046"/>
      <c r="Q49" s="1047">
        <f t="shared" si="5"/>
        <v>0</v>
      </c>
      <c r="R49" s="395"/>
      <c r="S49" s="396"/>
      <c r="T49" s="1007"/>
      <c r="U49" s="847"/>
      <c r="V49" s="1008"/>
      <c r="W49" s="363">
        <f>0.78*F49</f>
        <v>2.9526198000000003</v>
      </c>
      <c r="X49" s="847">
        <f t="shared" si="28"/>
        <v>160044866.58232802</v>
      </c>
    </row>
    <row r="50" spans="1:24" s="85" customFormat="1" x14ac:dyDescent="0.6">
      <c r="A50" s="61">
        <f t="shared" si="30"/>
        <v>43</v>
      </c>
      <c r="B50" s="86" t="s">
        <v>61</v>
      </c>
      <c r="C50" s="290">
        <v>14971</v>
      </c>
      <c r="D50" s="348">
        <f>C50*Assumptions!$C$16</f>
        <v>4690713720</v>
      </c>
      <c r="E50" s="1009"/>
      <c r="F50" s="1006">
        <f>Assumptions!$C$115</f>
        <v>3.7854100000000002</v>
      </c>
      <c r="G50" s="1128"/>
      <c r="H50" s="1128">
        <f t="shared" si="29"/>
        <v>2.1704479357983284</v>
      </c>
      <c r="I50" s="393"/>
      <c r="J50" s="394"/>
      <c r="K50" s="322">
        <f>Gasoline!K50</f>
        <v>0</v>
      </c>
      <c r="L50" s="329">
        <f t="shared" si="31"/>
        <v>0</v>
      </c>
      <c r="M50" s="320"/>
      <c r="N50" s="320">
        <f t="shared" si="32"/>
        <v>0</v>
      </c>
      <c r="O50" s="314">
        <f t="shared" si="27"/>
        <v>0</v>
      </c>
      <c r="P50" s="1046"/>
      <c r="Q50" s="1047">
        <f t="shared" si="5"/>
        <v>0</v>
      </c>
      <c r="R50" s="395"/>
      <c r="S50" s="396"/>
      <c r="T50" s="1007"/>
      <c r="U50" s="847"/>
      <c r="V50" s="1008"/>
      <c r="W50" s="363">
        <f>0.5*F50</f>
        <v>1.8927050000000001</v>
      </c>
      <c r="X50" s="847">
        <f t="shared" si="28"/>
        <v>8878137311.4125996</v>
      </c>
    </row>
    <row r="51" spans="1:24" s="85" customFormat="1" x14ac:dyDescent="0.6">
      <c r="A51" s="61">
        <f t="shared" si="30"/>
        <v>44</v>
      </c>
      <c r="B51" s="86" t="s">
        <v>62</v>
      </c>
      <c r="C51" s="290">
        <v>3543</v>
      </c>
      <c r="D51" s="348">
        <f>C51*Assumptions!$C$16</f>
        <v>1110092760</v>
      </c>
      <c r="E51" s="1005"/>
      <c r="F51" s="1006">
        <f>Assumptions!$C$115</f>
        <v>3.7854100000000002</v>
      </c>
      <c r="G51" s="1128"/>
      <c r="H51" s="1128">
        <f t="shared" si="29"/>
        <v>2.1704479357983284</v>
      </c>
      <c r="I51" s="393"/>
      <c r="J51" s="394"/>
      <c r="K51" s="322">
        <f>Gasoline!K51</f>
        <v>0</v>
      </c>
      <c r="L51" s="329">
        <f t="shared" si="31"/>
        <v>0</v>
      </c>
      <c r="M51" s="320"/>
      <c r="N51" s="320">
        <f t="shared" si="32"/>
        <v>0</v>
      </c>
      <c r="O51" s="314">
        <f t="shared" si="27"/>
        <v>0</v>
      </c>
      <c r="P51" s="1046"/>
      <c r="Q51" s="1047">
        <f t="shared" si="5"/>
        <v>0</v>
      </c>
      <c r="R51" s="395"/>
      <c r="S51" s="396"/>
      <c r="T51" s="1007"/>
      <c r="U51" s="847"/>
      <c r="V51" s="1008"/>
      <c r="W51" s="363">
        <f>0.56*F51</f>
        <v>2.1198296000000001</v>
      </c>
      <c r="X51" s="847">
        <f t="shared" si="28"/>
        <v>2353207491.3936963</v>
      </c>
    </row>
    <row r="52" spans="1:24" s="85" customFormat="1" x14ac:dyDescent="0.6">
      <c r="A52" s="61">
        <f t="shared" si="30"/>
        <v>45</v>
      </c>
      <c r="B52" s="86" t="s">
        <v>63</v>
      </c>
      <c r="C52" s="290">
        <v>15300</v>
      </c>
      <c r="D52" s="348">
        <f>C52*Assumptions!$C$16</f>
        <v>4793796000</v>
      </c>
      <c r="E52" s="1005"/>
      <c r="F52" s="1006">
        <f>Assumptions!$C$115</f>
        <v>3.7854100000000002</v>
      </c>
      <c r="G52" s="1128"/>
      <c r="H52" s="1128">
        <f t="shared" si="29"/>
        <v>2.1704479357983284</v>
      </c>
      <c r="I52" s="393"/>
      <c r="J52" s="394"/>
      <c r="K52" s="322">
        <f>Gasoline!K52</f>
        <v>0</v>
      </c>
      <c r="L52" s="329">
        <f t="shared" si="31"/>
        <v>0</v>
      </c>
      <c r="M52" s="320"/>
      <c r="N52" s="320">
        <f t="shared" si="32"/>
        <v>0</v>
      </c>
      <c r="O52" s="314">
        <f t="shared" si="27"/>
        <v>0</v>
      </c>
      <c r="P52" s="1046"/>
      <c r="Q52" s="1047">
        <f t="shared" si="5"/>
        <v>0</v>
      </c>
      <c r="R52" s="395"/>
      <c r="S52" s="396"/>
      <c r="T52" s="1007"/>
      <c r="U52" s="847"/>
      <c r="V52" s="1008"/>
      <c r="W52" s="363">
        <f>0.08*F52</f>
        <v>0.30283280000000001</v>
      </c>
      <c r="X52" s="847">
        <f t="shared" si="28"/>
        <v>1451718665.3088</v>
      </c>
    </row>
    <row r="53" spans="1:24" s="85" customFormat="1" x14ac:dyDescent="0.6">
      <c r="A53" s="61">
        <f t="shared" si="30"/>
        <v>46</v>
      </c>
      <c r="B53" s="86" t="s">
        <v>64</v>
      </c>
      <c r="C53" s="290">
        <v>198</v>
      </c>
      <c r="D53" s="348">
        <f>C53*Assumptions!$C$16</f>
        <v>62037360</v>
      </c>
      <c r="E53" s="1005"/>
      <c r="F53" s="1006">
        <f>Assumptions!$C$115</f>
        <v>3.7854100000000002</v>
      </c>
      <c r="G53" s="1128"/>
      <c r="H53" s="1128">
        <f t="shared" si="29"/>
        <v>2.1704479357983284</v>
      </c>
      <c r="I53" s="393"/>
      <c r="J53" s="394"/>
      <c r="K53" s="322">
        <f>Gasoline!K53</f>
        <v>0</v>
      </c>
      <c r="L53" s="329">
        <f t="shared" si="31"/>
        <v>0</v>
      </c>
      <c r="M53" s="320"/>
      <c r="N53" s="320">
        <f t="shared" si="32"/>
        <v>0</v>
      </c>
      <c r="O53" s="314">
        <f t="shared" si="27"/>
        <v>0</v>
      </c>
      <c r="P53" s="1046"/>
      <c r="Q53" s="1047">
        <f t="shared" si="5"/>
        <v>0</v>
      </c>
      <c r="R53" s="395"/>
      <c r="S53" s="396"/>
      <c r="T53" s="1007"/>
      <c r="U53" s="847"/>
      <c r="V53" s="1008"/>
      <c r="W53" s="363">
        <f>0.52*F53</f>
        <v>1.9684132000000001</v>
      </c>
      <c r="X53" s="847">
        <f t="shared" si="28"/>
        <v>122115158.31715201</v>
      </c>
    </row>
    <row r="54" spans="1:24" s="85" customFormat="1" x14ac:dyDescent="0.6">
      <c r="A54" s="61">
        <f t="shared" si="30"/>
        <v>47</v>
      </c>
      <c r="B54" s="86" t="s">
        <v>65</v>
      </c>
      <c r="C54" s="290">
        <v>1256</v>
      </c>
      <c r="D54" s="348">
        <f>C54*Assumptions!$C$16</f>
        <v>393529920</v>
      </c>
      <c r="E54" s="1005"/>
      <c r="F54" s="1006">
        <f>Assumptions!$C$115</f>
        <v>3.7854100000000002</v>
      </c>
      <c r="G54" s="1128"/>
      <c r="H54" s="1128">
        <f t="shared" si="29"/>
        <v>2.1704479357983284</v>
      </c>
      <c r="I54" s="393"/>
      <c r="J54" s="394"/>
      <c r="K54" s="322">
        <f>Gasoline!K54</f>
        <v>0</v>
      </c>
      <c r="L54" s="329">
        <f t="shared" si="31"/>
        <v>0</v>
      </c>
      <c r="M54" s="320"/>
      <c r="N54" s="320">
        <f t="shared" si="32"/>
        <v>0</v>
      </c>
      <c r="O54" s="314">
        <f t="shared" si="27"/>
        <v>0</v>
      </c>
      <c r="P54" s="1046"/>
      <c r="Q54" s="1047">
        <f t="shared" si="5"/>
        <v>0</v>
      </c>
      <c r="R54" s="395"/>
      <c r="S54" s="396"/>
      <c r="T54" s="1007"/>
      <c r="U54" s="1010"/>
      <c r="V54" s="1011"/>
      <c r="W54" s="363">
        <f>0.38*F54</f>
        <v>1.4384558000000001</v>
      </c>
      <c r="X54" s="847">
        <f t="shared" si="28"/>
        <v>566075395.89753604</v>
      </c>
    </row>
    <row r="55" spans="1:24" s="85" customFormat="1" x14ac:dyDescent="0.6">
      <c r="A55" s="61">
        <f t="shared" si="30"/>
        <v>48</v>
      </c>
      <c r="B55" s="86" t="s">
        <v>66</v>
      </c>
      <c r="C55" s="290">
        <v>1947</v>
      </c>
      <c r="D55" s="348">
        <f>C55*Assumptions!$C$16</f>
        <v>610034040</v>
      </c>
      <c r="E55" s="1005"/>
      <c r="F55" s="1006">
        <f>Assumptions!$C$115</f>
        <v>3.7854100000000002</v>
      </c>
      <c r="G55" s="1128"/>
      <c r="H55" s="1128">
        <f t="shared" si="29"/>
        <v>2.1704479357983284</v>
      </c>
      <c r="I55" s="393"/>
      <c r="J55" s="394"/>
      <c r="K55" s="322">
        <f>Gasoline!K55</f>
        <v>0</v>
      </c>
      <c r="L55" s="329">
        <f t="shared" si="31"/>
        <v>0</v>
      </c>
      <c r="M55" s="320"/>
      <c r="N55" s="320">
        <f t="shared" si="32"/>
        <v>0</v>
      </c>
      <c r="O55" s="314">
        <f t="shared" si="27"/>
        <v>0</v>
      </c>
      <c r="P55" s="1046"/>
      <c r="Q55" s="1047">
        <f t="shared" si="5"/>
        <v>0</v>
      </c>
      <c r="R55" s="395"/>
      <c r="S55" s="396"/>
      <c r="T55" s="1007"/>
      <c r="U55" s="1010"/>
      <c r="V55" s="1011"/>
      <c r="W55" s="363">
        <f>0.1*F55</f>
        <v>0.37854100000000002</v>
      </c>
      <c r="X55" s="847">
        <f t="shared" si="28"/>
        <v>230922895.53564</v>
      </c>
    </row>
    <row r="56" spans="1:24" s="85" customFormat="1" x14ac:dyDescent="0.6">
      <c r="A56" s="61">
        <f t="shared" si="30"/>
        <v>49</v>
      </c>
      <c r="B56" s="86" t="s">
        <v>67</v>
      </c>
      <c r="C56" s="290">
        <v>6964</v>
      </c>
      <c r="D56" s="348">
        <f>C56*Assumptions!$C$16</f>
        <v>2181960480</v>
      </c>
      <c r="E56" s="1005"/>
      <c r="F56" s="1006">
        <f>Assumptions!$C$115</f>
        <v>3.7854100000000002</v>
      </c>
      <c r="G56" s="1128"/>
      <c r="H56" s="1128">
        <f t="shared" si="29"/>
        <v>2.1704479357983284</v>
      </c>
      <c r="I56" s="393"/>
      <c r="J56" s="394"/>
      <c r="K56" s="322">
        <f>Gasoline!K56</f>
        <v>0</v>
      </c>
      <c r="L56" s="329">
        <f t="shared" si="31"/>
        <v>0</v>
      </c>
      <c r="M56" s="320"/>
      <c r="N56" s="320">
        <f t="shared" si="32"/>
        <v>0</v>
      </c>
      <c r="O56" s="314">
        <f t="shared" si="27"/>
        <v>0</v>
      </c>
      <c r="P56" s="1046"/>
      <c r="Q56" s="1047">
        <f t="shared" si="5"/>
        <v>0</v>
      </c>
      <c r="R56" s="395"/>
      <c r="S56" s="396"/>
      <c r="T56" s="1007"/>
      <c r="U56" s="1010"/>
      <c r="V56" s="1011"/>
      <c r="W56" s="363">
        <f>0.53*F56</f>
        <v>2.0062673000000002</v>
      </c>
      <c r="X56" s="847">
        <f t="shared" si="28"/>
        <v>4377595960.9163046</v>
      </c>
    </row>
    <row r="57" spans="1:24" s="85" customFormat="1" x14ac:dyDescent="0.6">
      <c r="A57" s="61">
        <f t="shared" si="30"/>
        <v>50</v>
      </c>
      <c r="B57" s="86" t="s">
        <v>68</v>
      </c>
      <c r="C57" s="290">
        <v>523</v>
      </c>
      <c r="D57" s="348">
        <f>C57*Assumptions!$C$16</f>
        <v>163866360</v>
      </c>
      <c r="E57" s="1005"/>
      <c r="F57" s="1006">
        <f>Assumptions!$C$115</f>
        <v>3.7854100000000002</v>
      </c>
      <c r="G57" s="1128"/>
      <c r="H57" s="1128">
        <f t="shared" si="29"/>
        <v>2.1704479357983284</v>
      </c>
      <c r="I57" s="393"/>
      <c r="J57" s="394"/>
      <c r="K57" s="322">
        <f>Gasoline!K57</f>
        <v>0</v>
      </c>
      <c r="L57" s="329">
        <f t="shared" si="31"/>
        <v>0</v>
      </c>
      <c r="M57" s="320"/>
      <c r="N57" s="320">
        <f t="shared" si="32"/>
        <v>0</v>
      </c>
      <c r="O57" s="314">
        <f t="shared" si="27"/>
        <v>0</v>
      </c>
      <c r="P57" s="1046"/>
      <c r="Q57" s="1047">
        <f t="shared" si="5"/>
        <v>0</v>
      </c>
      <c r="R57" s="395"/>
      <c r="S57" s="396"/>
      <c r="T57" s="1007"/>
      <c r="U57" s="1010"/>
      <c r="V57" s="1011"/>
      <c r="W57" s="363">
        <f>0.62*F57</f>
        <v>2.3469541999999999</v>
      </c>
      <c r="X57" s="847">
        <f t="shared" si="28"/>
        <v>384586841.84071195</v>
      </c>
    </row>
    <row r="58" spans="1:24" s="85" customFormat="1" x14ac:dyDescent="0.6">
      <c r="A58" s="61">
        <f t="shared" si="30"/>
        <v>51</v>
      </c>
      <c r="B58" s="86" t="s">
        <v>695</v>
      </c>
      <c r="C58" s="290">
        <v>1239</v>
      </c>
      <c r="D58" s="348">
        <f>C58*Assumptions!$C$16</f>
        <v>388203480</v>
      </c>
      <c r="E58" s="1005"/>
      <c r="F58" s="1006">
        <f>Assumptions!$C$115</f>
        <v>3.7854100000000002</v>
      </c>
      <c r="G58" s="1128"/>
      <c r="H58" s="1128">
        <f t="shared" si="29"/>
        <v>2.1704479357983284</v>
      </c>
      <c r="I58" s="393"/>
      <c r="J58" s="394"/>
      <c r="K58" s="322">
        <f>Gasoline!K58</f>
        <v>0</v>
      </c>
      <c r="L58" s="329">
        <f t="shared" si="31"/>
        <v>0</v>
      </c>
      <c r="M58" s="320"/>
      <c r="N58" s="320">
        <f t="shared" si="32"/>
        <v>0</v>
      </c>
      <c r="O58" s="314">
        <f t="shared" si="27"/>
        <v>0</v>
      </c>
      <c r="P58" s="1046"/>
      <c r="Q58" s="1047">
        <f t="shared" si="5"/>
        <v>0</v>
      </c>
      <c r="R58" s="395"/>
      <c r="S58" s="396"/>
      <c r="T58" s="1007"/>
      <c r="U58" s="1010"/>
      <c r="V58" s="1011"/>
      <c r="W58" s="363">
        <f>0.57*F58</f>
        <v>2.1576836999999998</v>
      </c>
      <c r="X58" s="847">
        <f t="shared" si="28"/>
        <v>837620321.07927597</v>
      </c>
    </row>
    <row r="59" spans="1:24" s="85" customFormat="1" x14ac:dyDescent="0.6">
      <c r="A59" s="61">
        <f t="shared" si="30"/>
        <v>52</v>
      </c>
      <c r="B59" s="86" t="s">
        <v>69</v>
      </c>
      <c r="C59" s="290">
        <v>3294</v>
      </c>
      <c r="D59" s="348">
        <f>C59*Assumptions!$C$16</f>
        <v>1032076080</v>
      </c>
      <c r="E59" s="1005"/>
      <c r="F59" s="1006">
        <f>Assumptions!$C$115</f>
        <v>3.7854100000000002</v>
      </c>
      <c r="G59" s="1128"/>
      <c r="H59" s="1128">
        <f t="shared" si="29"/>
        <v>2.1704479357983284</v>
      </c>
      <c r="I59" s="393"/>
      <c r="J59" s="394"/>
      <c r="K59" s="322">
        <f>Gasoline!K59</f>
        <v>0</v>
      </c>
      <c r="L59" s="329">
        <f t="shared" si="31"/>
        <v>0</v>
      </c>
      <c r="M59" s="320"/>
      <c r="N59" s="320">
        <f t="shared" si="32"/>
        <v>0</v>
      </c>
      <c r="O59" s="314">
        <f t="shared" si="27"/>
        <v>0</v>
      </c>
      <c r="P59" s="1046"/>
      <c r="Q59" s="1047">
        <f t="shared" si="5"/>
        <v>0</v>
      </c>
      <c r="R59" s="395"/>
      <c r="S59" s="396"/>
      <c r="T59" s="1007"/>
      <c r="U59" s="1010"/>
      <c r="V59" s="1011"/>
      <c r="W59" s="363">
        <f>0.47*F59</f>
        <v>1.7791427</v>
      </c>
      <c r="X59" s="847">
        <f t="shared" si="28"/>
        <v>1836210623.576616</v>
      </c>
    </row>
    <row r="60" spans="1:24" s="85" customFormat="1" x14ac:dyDescent="0.6">
      <c r="A60" s="61">
        <f t="shared" si="30"/>
        <v>53</v>
      </c>
      <c r="B60" s="86" t="s">
        <v>70</v>
      </c>
      <c r="C60" s="290">
        <v>20294</v>
      </c>
      <c r="D60" s="348">
        <f>C60*Assumptions!$C$16</f>
        <v>6358516080</v>
      </c>
      <c r="E60" s="1005"/>
      <c r="F60" s="1006">
        <f>Assumptions!$C$115</f>
        <v>3.7854100000000002</v>
      </c>
      <c r="G60" s="1128"/>
      <c r="H60" s="1128">
        <f t="shared" si="29"/>
        <v>2.1704479357983284</v>
      </c>
      <c r="I60" s="393"/>
      <c r="J60" s="394"/>
      <c r="K60" s="322">
        <f>Gasoline!K60</f>
        <v>0</v>
      </c>
      <c r="L60" s="329">
        <f t="shared" si="31"/>
        <v>0</v>
      </c>
      <c r="M60" s="320"/>
      <c r="N60" s="320">
        <f t="shared" si="32"/>
        <v>0</v>
      </c>
      <c r="O60" s="314">
        <f t="shared" si="27"/>
        <v>0</v>
      </c>
      <c r="P60" s="1046"/>
      <c r="Q60" s="1047">
        <f t="shared" si="5"/>
        <v>0</v>
      </c>
      <c r="R60" s="395"/>
      <c r="S60" s="396"/>
      <c r="T60" s="1007"/>
      <c r="U60" s="1010"/>
      <c r="V60" s="1011"/>
      <c r="W60" s="363">
        <f>0.12*F60</f>
        <v>0.45424920000000002</v>
      </c>
      <c r="X60" s="847">
        <f t="shared" si="28"/>
        <v>2888350842.5271363</v>
      </c>
    </row>
    <row r="61" spans="1:24" s="85" customFormat="1" x14ac:dyDescent="0.6">
      <c r="A61" s="61">
        <f t="shared" si="30"/>
        <v>54</v>
      </c>
      <c r="B61" s="86" t="s">
        <v>71</v>
      </c>
      <c r="C61" s="290">
        <v>414</v>
      </c>
      <c r="D61" s="348">
        <f>C61*Assumptions!$C$16</f>
        <v>129714480</v>
      </c>
      <c r="E61" s="1005"/>
      <c r="F61" s="1006">
        <f>Assumptions!$C$115</f>
        <v>3.7854100000000002</v>
      </c>
      <c r="G61" s="1128"/>
      <c r="H61" s="1128">
        <f t="shared" si="29"/>
        <v>2.1704479357983284</v>
      </c>
      <c r="I61" s="393"/>
      <c r="J61" s="394"/>
      <c r="K61" s="322">
        <f>Gasoline!K61</f>
        <v>0</v>
      </c>
      <c r="L61" s="329">
        <f t="shared" si="31"/>
        <v>0</v>
      </c>
      <c r="M61" s="320"/>
      <c r="N61" s="320">
        <f t="shared" si="32"/>
        <v>0</v>
      </c>
      <c r="O61" s="314">
        <f t="shared" si="27"/>
        <v>0</v>
      </c>
      <c r="P61" s="1046"/>
      <c r="Q61" s="1047">
        <f t="shared" si="5"/>
        <v>0</v>
      </c>
      <c r="R61" s="395"/>
      <c r="S61" s="396"/>
      <c r="T61" s="1007"/>
      <c r="U61" s="1010"/>
      <c r="V61" s="1011"/>
      <c r="W61" s="363">
        <f>0.36*F61</f>
        <v>1.3627476000000001</v>
      </c>
      <c r="X61" s="847">
        <f t="shared" si="28"/>
        <v>176768096.30524802</v>
      </c>
    </row>
    <row r="62" spans="1:24" s="85" customFormat="1" x14ac:dyDescent="0.6">
      <c r="A62" s="61">
        <f t="shared" si="30"/>
        <v>55</v>
      </c>
      <c r="B62" s="86" t="s">
        <v>72</v>
      </c>
      <c r="C62" s="290">
        <v>1040</v>
      </c>
      <c r="D62" s="348">
        <f>C62*Assumptions!$C$16</f>
        <v>325852800</v>
      </c>
      <c r="E62" s="1005"/>
      <c r="F62" s="1006">
        <f>Assumptions!$C$115</f>
        <v>3.7854100000000002</v>
      </c>
      <c r="G62" s="1128"/>
      <c r="H62" s="1128">
        <f t="shared" si="29"/>
        <v>2.1704479357983284</v>
      </c>
      <c r="I62" s="393"/>
      <c r="J62" s="394"/>
      <c r="K62" s="322">
        <f>Gasoline!K62</f>
        <v>0</v>
      </c>
      <c r="L62" s="329">
        <f t="shared" si="31"/>
        <v>0</v>
      </c>
      <c r="M62" s="320"/>
      <c r="N62" s="320">
        <f t="shared" si="32"/>
        <v>0</v>
      </c>
      <c r="O62" s="314">
        <f t="shared" si="27"/>
        <v>0</v>
      </c>
      <c r="P62" s="1046"/>
      <c r="Q62" s="1047">
        <f t="shared" si="5"/>
        <v>0</v>
      </c>
      <c r="R62" s="395"/>
      <c r="S62" s="396"/>
      <c r="T62" s="1007"/>
      <c r="U62" s="1010"/>
      <c r="V62" s="1011"/>
      <c r="W62" s="363">
        <f>0.24*F62</f>
        <v>0.90849840000000004</v>
      </c>
      <c r="X62" s="847">
        <f t="shared" si="28"/>
        <v>296036747.43551999</v>
      </c>
    </row>
    <row r="63" spans="1:24" s="85" customFormat="1" x14ac:dyDescent="0.6">
      <c r="A63" s="61">
        <f t="shared" si="30"/>
        <v>56</v>
      </c>
      <c r="B63" s="86" t="s">
        <v>73</v>
      </c>
      <c r="C63" s="290">
        <v>2783</v>
      </c>
      <c r="D63" s="348">
        <f>C63*Assumptions!$C$16</f>
        <v>871969560</v>
      </c>
      <c r="E63" s="1005"/>
      <c r="F63" s="1006">
        <f>Assumptions!$C$115</f>
        <v>3.7854100000000002</v>
      </c>
      <c r="G63" s="1128"/>
      <c r="H63" s="1128">
        <f t="shared" si="29"/>
        <v>2.1704479357983284</v>
      </c>
      <c r="I63" s="393"/>
      <c r="J63" s="394"/>
      <c r="K63" s="322">
        <f>Gasoline!K63</f>
        <v>0</v>
      </c>
      <c r="L63" s="329">
        <f t="shared" si="31"/>
        <v>0</v>
      </c>
      <c r="M63" s="320"/>
      <c r="N63" s="320">
        <f t="shared" si="32"/>
        <v>0</v>
      </c>
      <c r="O63" s="314">
        <f t="shared" si="27"/>
        <v>0</v>
      </c>
      <c r="P63" s="1046"/>
      <c r="Q63" s="1047">
        <f t="shared" si="5"/>
        <v>0</v>
      </c>
      <c r="R63" s="395"/>
      <c r="S63" s="396"/>
      <c r="T63" s="1007"/>
      <c r="U63" s="1010"/>
      <c r="V63" s="1011"/>
      <c r="W63" s="363">
        <f>0.62*F56</f>
        <v>2.3469541999999999</v>
      </c>
      <c r="X63" s="847">
        <f t="shared" si="28"/>
        <v>2046472621.114152</v>
      </c>
    </row>
    <row r="64" spans="1:24" s="85" customFormat="1" x14ac:dyDescent="0.6">
      <c r="A64" s="61">
        <f t="shared" si="30"/>
        <v>57</v>
      </c>
      <c r="B64" s="86" t="s">
        <v>74</v>
      </c>
      <c r="C64" s="290">
        <v>251</v>
      </c>
      <c r="D64" s="348">
        <f>C64*Assumptions!$C$16</f>
        <v>78643320</v>
      </c>
      <c r="E64" s="1005"/>
      <c r="F64" s="1006">
        <f>Assumptions!$C$115</f>
        <v>3.7854100000000002</v>
      </c>
      <c r="G64" s="1128"/>
      <c r="H64" s="1128">
        <f t="shared" si="29"/>
        <v>2.1704479357983284</v>
      </c>
      <c r="I64" s="393"/>
      <c r="J64" s="394"/>
      <c r="K64" s="322">
        <f>Gasoline!K64</f>
        <v>0</v>
      </c>
      <c r="L64" s="329">
        <f t="shared" si="31"/>
        <v>0</v>
      </c>
      <c r="M64" s="320"/>
      <c r="N64" s="320">
        <f t="shared" si="32"/>
        <v>0</v>
      </c>
      <c r="O64" s="314">
        <f t="shared" si="27"/>
        <v>0</v>
      </c>
      <c r="P64" s="1046"/>
      <c r="Q64" s="1047">
        <f t="shared" si="5"/>
        <v>0</v>
      </c>
      <c r="R64" s="395"/>
      <c r="S64" s="396"/>
      <c r="T64" s="1007"/>
      <c r="U64" s="1010"/>
      <c r="V64" s="1011"/>
      <c r="W64" s="363">
        <f>0.49*F64</f>
        <v>1.8548509</v>
      </c>
      <c r="X64" s="847">
        <f t="shared" si="28"/>
        <v>145871632.880988</v>
      </c>
    </row>
    <row r="65" spans="1:24" s="85" customFormat="1" x14ac:dyDescent="0.6">
      <c r="A65" s="63">
        <f t="shared" si="30"/>
        <v>58</v>
      </c>
      <c r="B65" s="90" t="s">
        <v>75</v>
      </c>
      <c r="C65" s="292">
        <v>2735</v>
      </c>
      <c r="D65" s="350">
        <f>C65*Assumptions!$C$16</f>
        <v>856930200</v>
      </c>
      <c r="E65" s="1012"/>
      <c r="F65" s="1013">
        <f>Assumptions!$C$115</f>
        <v>3.7854100000000002</v>
      </c>
      <c r="G65" s="1131"/>
      <c r="H65" s="1131">
        <f t="shared" si="29"/>
        <v>2.1704479357983284</v>
      </c>
      <c r="I65" s="819"/>
      <c r="J65" s="858"/>
      <c r="K65" s="967">
        <f>Gasoline!K65</f>
        <v>0</v>
      </c>
      <c r="L65" s="335">
        <f t="shared" si="31"/>
        <v>0</v>
      </c>
      <c r="M65" s="1014"/>
      <c r="N65" s="1014">
        <f t="shared" si="32"/>
        <v>0</v>
      </c>
      <c r="O65" s="328">
        <f t="shared" si="27"/>
        <v>0</v>
      </c>
      <c r="P65" s="1049"/>
      <c r="Q65" s="1050">
        <f t="shared" si="5"/>
        <v>0</v>
      </c>
      <c r="R65" s="1015"/>
      <c r="S65" s="409"/>
      <c r="T65" s="1016"/>
      <c r="U65" s="1017"/>
      <c r="V65" s="1018"/>
      <c r="W65" s="572">
        <f>0.02*F65</f>
        <v>7.5708200000000003E-2</v>
      </c>
      <c r="X65" s="1019">
        <f t="shared" si="28"/>
        <v>64876642.967640005</v>
      </c>
    </row>
    <row r="66" spans="1:24" x14ac:dyDescent="0.6">
      <c r="B66" s="1" t="s">
        <v>42</v>
      </c>
      <c r="D66" s="13">
        <f>SUM(D4:D65)</f>
        <v>235711889280</v>
      </c>
      <c r="E66" s="398"/>
      <c r="P66" s="414"/>
      <c r="Q66" s="414"/>
      <c r="U66" s="1"/>
      <c r="V66" s="1"/>
      <c r="W66" s="1"/>
      <c r="X66" s="1"/>
    </row>
    <row r="67" spans="1:24" x14ac:dyDescent="0.6">
      <c r="B67" s="1" t="s">
        <v>357</v>
      </c>
      <c r="C67" s="13">
        <v>934997</v>
      </c>
      <c r="D67" s="13">
        <f>C67*Assumptions!C16</f>
        <v>292953260040</v>
      </c>
      <c r="E67" s="398"/>
      <c r="F67" s="83" t="s">
        <v>1757</v>
      </c>
      <c r="G67" s="83"/>
      <c r="I67" s="278">
        <f>SUMPRODUCT(D4:D34,H4:H34)/SUM(D4:D34)</f>
        <v>2.1704479357983284</v>
      </c>
      <c r="P67" s="414"/>
      <c r="Q67" s="414"/>
      <c r="U67" s="1"/>
      <c r="V67" s="1"/>
      <c r="W67" s="1"/>
      <c r="X67" s="1"/>
    </row>
    <row r="68" spans="1:24" x14ac:dyDescent="0.6">
      <c r="C68" s="28"/>
      <c r="D68" s="28">
        <f>D66/D67</f>
        <v>0.80460579017900591</v>
      </c>
      <c r="E68" s="398"/>
      <c r="M68" s="278"/>
      <c r="P68" s="414"/>
      <c r="Q68" s="414"/>
      <c r="U68" s="1"/>
      <c r="V68" s="1"/>
      <c r="X68" s="1"/>
    </row>
    <row r="69" spans="1:24" x14ac:dyDescent="0.6">
      <c r="D69" s="1"/>
      <c r="E69" s="398"/>
      <c r="I69" s="83"/>
      <c r="J69" s="1"/>
      <c r="M69" s="1"/>
      <c r="N69" s="1"/>
      <c r="P69" s="414"/>
      <c r="Q69" s="414"/>
      <c r="R69" s="1"/>
      <c r="S69" s="85"/>
      <c r="U69" s="1"/>
      <c r="V69" s="1"/>
      <c r="W69" s="1"/>
      <c r="X69" s="1"/>
    </row>
    <row r="70" spans="1:24" x14ac:dyDescent="0.6">
      <c r="E70" s="398"/>
      <c r="P70" s="414"/>
      <c r="Q70" s="414"/>
    </row>
    <row r="71" spans="1:24" x14ac:dyDescent="0.6">
      <c r="E71" s="398"/>
      <c r="P71" s="414"/>
      <c r="Q71" s="414"/>
    </row>
    <row r="72" spans="1:24" x14ac:dyDescent="0.6">
      <c r="E72" s="398"/>
      <c r="P72" s="414"/>
      <c r="Q72" s="414"/>
    </row>
    <row r="73" spans="1:24" x14ac:dyDescent="0.6">
      <c r="E73" s="398"/>
      <c r="P73" s="414"/>
      <c r="Q73" s="414"/>
    </row>
    <row r="74" spans="1:24" x14ac:dyDescent="0.6">
      <c r="E74" s="398"/>
      <c r="P74" s="414"/>
      <c r="Q74" s="414"/>
    </row>
    <row r="75" spans="1:24" x14ac:dyDescent="0.6">
      <c r="E75" s="398"/>
      <c r="P75" s="414"/>
      <c r="Q75" s="414"/>
    </row>
    <row r="76" spans="1:24" x14ac:dyDescent="0.6">
      <c r="E76" s="398"/>
      <c r="P76" s="414"/>
      <c r="Q76" s="414"/>
    </row>
    <row r="77" spans="1:24" x14ac:dyDescent="0.6">
      <c r="E77" s="398"/>
      <c r="P77" s="414"/>
      <c r="Q77" s="414"/>
    </row>
    <row r="78" spans="1:24" x14ac:dyDescent="0.6">
      <c r="E78" s="398"/>
      <c r="P78" s="414"/>
      <c r="Q78" s="414"/>
    </row>
    <row r="79" spans="1:24" x14ac:dyDescent="0.6">
      <c r="E79" s="398"/>
      <c r="P79" s="414"/>
      <c r="Q79" s="414"/>
    </row>
  </sheetData>
  <phoneticPr fontId="7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86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6.5" style="85" customWidth="1"/>
    <col min="3" max="3" width="7.84765625" style="55" customWidth="1"/>
    <col min="4" max="4" width="11.34765625" style="55" customWidth="1"/>
    <col min="5" max="5" width="9.84765625" style="55" customWidth="1"/>
    <col min="6" max="6" width="8.84765625" style="96" bestFit="1" customWidth="1"/>
    <col min="7" max="7" width="16.09765625" style="1" bestFit="1" customWidth="1"/>
    <col min="8" max="8" width="6.84765625" style="54" bestFit="1" customWidth="1"/>
    <col min="9" max="9" width="8.59765625" style="54" customWidth="1"/>
    <col min="10" max="10" width="11.09765625" style="54" bestFit="1" customWidth="1"/>
    <col min="11" max="11" width="9.09765625" style="54" customWidth="1"/>
    <col min="12" max="12" width="16" style="17" bestFit="1" customWidth="1"/>
    <col min="13" max="13" width="17.5" style="70" bestFit="1" customWidth="1"/>
    <col min="14" max="14" width="17.5" style="17" bestFit="1" customWidth="1"/>
    <col min="15" max="15" width="17.5" style="1" bestFit="1" customWidth="1"/>
    <col min="16" max="16" width="5.09765625" style="1" bestFit="1" customWidth="1"/>
    <col min="17" max="16384" width="10.84765625" style="1"/>
  </cols>
  <sheetData>
    <row r="1" spans="1:15" x14ac:dyDescent="0.6">
      <c r="A1" s="78" t="s">
        <v>952</v>
      </c>
      <c r="D1" s="89"/>
      <c r="E1" s="879"/>
      <c r="G1" s="13"/>
      <c r="J1" s="17"/>
      <c r="K1" s="17"/>
      <c r="L1" s="98"/>
      <c r="N1" s="98"/>
      <c r="O1" s="880"/>
    </row>
    <row r="2" spans="1:15" s="2" customFormat="1" x14ac:dyDescent="0.6">
      <c r="A2" s="24" t="s">
        <v>879</v>
      </c>
      <c r="B2" s="60"/>
      <c r="C2" s="56"/>
      <c r="D2" s="56"/>
      <c r="E2" s="56"/>
      <c r="F2" s="97" t="s">
        <v>189</v>
      </c>
      <c r="G2" s="60" t="s">
        <v>24</v>
      </c>
      <c r="H2" s="95" t="s">
        <v>190</v>
      </c>
      <c r="I2" s="95" t="s">
        <v>396</v>
      </c>
      <c r="J2" s="95" t="s">
        <v>397</v>
      </c>
      <c r="K2" s="95" t="s">
        <v>42</v>
      </c>
      <c r="L2" s="18" t="s">
        <v>193</v>
      </c>
      <c r="M2" s="114" t="s">
        <v>396</v>
      </c>
      <c r="N2" s="18" t="s">
        <v>397</v>
      </c>
      <c r="O2" s="2" t="s">
        <v>398</v>
      </c>
    </row>
    <row r="3" spans="1:15" s="2" customFormat="1" x14ac:dyDescent="0.6">
      <c r="A3" s="24" t="s">
        <v>1088</v>
      </c>
      <c r="B3" s="60"/>
      <c r="C3" s="56" t="s">
        <v>136</v>
      </c>
      <c r="D3" s="56" t="s">
        <v>137</v>
      </c>
      <c r="E3" s="56" t="s">
        <v>42</v>
      </c>
      <c r="F3" s="97" t="s">
        <v>79</v>
      </c>
      <c r="G3" s="2" t="s">
        <v>400</v>
      </c>
      <c r="H3" s="95" t="s">
        <v>191</v>
      </c>
      <c r="I3" s="95" t="s">
        <v>190</v>
      </c>
      <c r="J3" s="95" t="s">
        <v>190</v>
      </c>
      <c r="K3" s="95" t="s">
        <v>79</v>
      </c>
      <c r="L3" s="18" t="s">
        <v>192</v>
      </c>
      <c r="M3" s="114" t="s">
        <v>192</v>
      </c>
      <c r="N3" s="18" t="s">
        <v>192</v>
      </c>
      <c r="O3" s="2" t="s">
        <v>198</v>
      </c>
    </row>
    <row r="4" spans="1:15" s="85" customFormat="1" x14ac:dyDescent="0.6">
      <c r="A4" s="60">
        <v>1</v>
      </c>
      <c r="B4" s="85" t="s">
        <v>178</v>
      </c>
      <c r="C4" s="89">
        <v>0.24399999999999999</v>
      </c>
      <c r="D4" s="89">
        <v>0.19</v>
      </c>
      <c r="E4" s="89">
        <f t="shared" ref="E4:E35" si="0">D4+C4</f>
        <v>0.434</v>
      </c>
      <c r="F4" s="959">
        <f>'State gasoline'!K4</f>
        <v>8.9099999999999999E-2</v>
      </c>
      <c r="G4" s="897">
        <v>809647000</v>
      </c>
      <c r="H4" s="156">
        <v>2.5760000000000001</v>
      </c>
      <c r="I4" s="156">
        <f t="shared" ref="I4:I35" si="1">H4-E4</f>
        <v>2.1419999999999999</v>
      </c>
      <c r="J4" s="156">
        <f t="shared" ref="J4:J35" si="2">I4*(1+F4)</f>
        <v>2.3328521999999996</v>
      </c>
      <c r="K4" s="952">
        <f>H4-I4</f>
        <v>0.43400000000000016</v>
      </c>
      <c r="L4" s="70">
        <f t="shared" ref="L4:L35" si="3">H4*G4</f>
        <v>2085650672</v>
      </c>
      <c r="M4" s="70">
        <f t="shared" ref="M4:M35" si="4">I4*G4</f>
        <v>1734263874</v>
      </c>
      <c r="N4" s="70">
        <f t="shared" ref="N4:N35" si="5">J4*G4</f>
        <v>1888786785.1733997</v>
      </c>
      <c r="O4" s="70">
        <f t="shared" ref="O4:O54" si="6">L4-N4</f>
        <v>196863886.82660031</v>
      </c>
    </row>
    <row r="5" spans="1:15" s="85" customFormat="1" x14ac:dyDescent="0.6">
      <c r="A5" s="60">
        <f t="shared" ref="A5:A54" si="7">A4+1</f>
        <v>2</v>
      </c>
      <c r="B5" s="85" t="s">
        <v>188</v>
      </c>
      <c r="C5" s="89">
        <f t="shared" ref="C5:C54" si="8">C4</f>
        <v>0.24399999999999999</v>
      </c>
      <c r="D5" s="89">
        <v>0.08</v>
      </c>
      <c r="E5" s="89">
        <f t="shared" si="0"/>
        <v>0.32400000000000001</v>
      </c>
      <c r="F5" s="959">
        <f>'State gasoline'!K5</f>
        <v>1.7600000000000001E-2</v>
      </c>
      <c r="G5" s="897">
        <v>103786000</v>
      </c>
      <c r="H5" s="156">
        <v>2.7549999999999999</v>
      </c>
      <c r="I5" s="156">
        <f t="shared" si="1"/>
        <v>2.431</v>
      </c>
      <c r="J5" s="156">
        <f t="shared" si="2"/>
        <v>2.4737856000000003</v>
      </c>
      <c r="K5" s="952">
        <f t="shared" ref="K5:K54" si="9">H5-I5</f>
        <v>0.32399999999999984</v>
      </c>
      <c r="L5" s="70">
        <f t="shared" si="3"/>
        <v>285930430</v>
      </c>
      <c r="M5" s="70">
        <f t="shared" si="4"/>
        <v>252303766</v>
      </c>
      <c r="N5" s="70">
        <f t="shared" si="5"/>
        <v>256744312.28160003</v>
      </c>
      <c r="O5" s="70">
        <f t="shared" si="6"/>
        <v>29186117.718399972</v>
      </c>
    </row>
    <row r="6" spans="1:15" s="85" customFormat="1" x14ac:dyDescent="0.6">
      <c r="A6" s="60">
        <f t="shared" si="7"/>
        <v>3</v>
      </c>
      <c r="B6" s="85" t="s">
        <v>181</v>
      </c>
      <c r="C6" s="89">
        <f t="shared" si="8"/>
        <v>0.24399999999999999</v>
      </c>
      <c r="D6" s="89">
        <v>0.27</v>
      </c>
      <c r="E6" s="89">
        <f t="shared" si="0"/>
        <v>0.51400000000000001</v>
      </c>
      <c r="F6" s="959">
        <f>'State gasoline'!K6</f>
        <v>8.1699999999999995E-2</v>
      </c>
      <c r="G6" s="897">
        <v>777889000</v>
      </c>
      <c r="H6" s="156">
        <v>2.7549999999999999</v>
      </c>
      <c r="I6" s="156">
        <f t="shared" si="1"/>
        <v>2.2409999999999997</v>
      </c>
      <c r="J6" s="156">
        <f t="shared" si="2"/>
        <v>2.4240896999999997</v>
      </c>
      <c r="K6" s="952">
        <f t="shared" si="9"/>
        <v>0.51400000000000023</v>
      </c>
      <c r="L6" s="70">
        <f t="shared" si="3"/>
        <v>2143084195</v>
      </c>
      <c r="M6" s="70">
        <f t="shared" si="4"/>
        <v>1743249248.9999998</v>
      </c>
      <c r="N6" s="70">
        <f t="shared" si="5"/>
        <v>1885672712.6432998</v>
      </c>
      <c r="O6" s="70">
        <f t="shared" si="6"/>
        <v>257411482.35670018</v>
      </c>
    </row>
    <row r="7" spans="1:15" s="85" customFormat="1" x14ac:dyDescent="0.6">
      <c r="A7" s="60">
        <f t="shared" si="7"/>
        <v>4</v>
      </c>
      <c r="B7" s="85" t="s">
        <v>176</v>
      </c>
      <c r="C7" s="89">
        <f t="shared" si="8"/>
        <v>0.24399999999999999</v>
      </c>
      <c r="D7" s="89">
        <v>0.22800000000000001</v>
      </c>
      <c r="E7" s="89">
        <f t="shared" si="0"/>
        <v>0.47199999999999998</v>
      </c>
      <c r="F7" s="959">
        <f>'State gasoline'!K7</f>
        <v>9.2600000000000002E-2</v>
      </c>
      <c r="G7" s="897">
        <v>615094000</v>
      </c>
      <c r="H7" s="156">
        <v>2.5760000000000001</v>
      </c>
      <c r="I7" s="156">
        <f t="shared" si="1"/>
        <v>2.1040000000000001</v>
      </c>
      <c r="J7" s="156">
        <f t="shared" si="2"/>
        <v>2.2988303999999999</v>
      </c>
      <c r="K7" s="952">
        <f t="shared" si="9"/>
        <v>0.47199999999999998</v>
      </c>
      <c r="L7" s="70">
        <f t="shared" si="3"/>
        <v>1584482144</v>
      </c>
      <c r="M7" s="70">
        <f t="shared" si="4"/>
        <v>1294157776</v>
      </c>
      <c r="N7" s="70">
        <f t="shared" si="5"/>
        <v>1413996786.0576</v>
      </c>
      <c r="O7" s="70">
        <f t="shared" ref="O7" si="10">L7-N7</f>
        <v>170485357.94239998</v>
      </c>
    </row>
    <row r="8" spans="1:15" s="85" customFormat="1" x14ac:dyDescent="0.6">
      <c r="A8" s="60">
        <f t="shared" si="7"/>
        <v>5</v>
      </c>
      <c r="B8" s="85" t="s">
        <v>142</v>
      </c>
      <c r="C8" s="89">
        <f t="shared" si="8"/>
        <v>0.24399999999999999</v>
      </c>
      <c r="D8" s="89">
        <v>0.38</v>
      </c>
      <c r="E8" s="89">
        <f t="shared" si="0"/>
        <v>0.624</v>
      </c>
      <c r="F8" s="959">
        <f>'State gasoline'!K8</f>
        <v>8.4400000000000003E-2</v>
      </c>
      <c r="G8" s="897">
        <v>2834081000</v>
      </c>
      <c r="H8" s="156">
        <v>3.0150000000000001</v>
      </c>
      <c r="I8" s="156">
        <f t="shared" si="1"/>
        <v>2.391</v>
      </c>
      <c r="J8" s="156">
        <f t="shared" si="2"/>
        <v>2.5928004000000002</v>
      </c>
      <c r="K8" s="952">
        <f t="shared" si="9"/>
        <v>0.62400000000000011</v>
      </c>
      <c r="L8" s="70">
        <f t="shared" si="3"/>
        <v>8544754215</v>
      </c>
      <c r="M8" s="70">
        <f t="shared" si="4"/>
        <v>6776287671</v>
      </c>
      <c r="N8" s="70">
        <f t="shared" si="5"/>
        <v>7348206350.4324007</v>
      </c>
      <c r="O8" s="70">
        <f t="shared" si="6"/>
        <v>1196547864.5675993</v>
      </c>
    </row>
    <row r="9" spans="1:15" s="85" customFormat="1" x14ac:dyDescent="0.6">
      <c r="A9" s="60">
        <f t="shared" si="7"/>
        <v>6</v>
      </c>
      <c r="B9" s="85" t="s">
        <v>175</v>
      </c>
      <c r="C9" s="89">
        <f t="shared" si="8"/>
        <v>0.24399999999999999</v>
      </c>
      <c r="D9" s="89">
        <v>0.20499999999999999</v>
      </c>
      <c r="E9" s="89">
        <f t="shared" si="0"/>
        <v>0.44899999999999995</v>
      </c>
      <c r="F9" s="959">
        <f>'State gasoline'!K9</f>
        <v>7.4399999999999994E-2</v>
      </c>
      <c r="G9" s="897">
        <v>536367000</v>
      </c>
      <c r="H9" s="156">
        <v>2.6739999999999999</v>
      </c>
      <c r="I9" s="156">
        <f t="shared" si="1"/>
        <v>2.2250000000000001</v>
      </c>
      <c r="J9" s="156">
        <f t="shared" si="2"/>
        <v>2.3905400000000001</v>
      </c>
      <c r="K9" s="952">
        <f t="shared" si="9"/>
        <v>0.44899999999999984</v>
      </c>
      <c r="L9" s="70">
        <f t="shared" si="3"/>
        <v>1434245358</v>
      </c>
      <c r="M9" s="70">
        <f t="shared" si="4"/>
        <v>1193416575</v>
      </c>
      <c r="N9" s="70">
        <f t="shared" si="5"/>
        <v>1282206768.1800001</v>
      </c>
      <c r="O9" s="70">
        <f t="shared" si="6"/>
        <v>152038589.81999993</v>
      </c>
    </row>
    <row r="10" spans="1:15" s="85" customFormat="1" x14ac:dyDescent="0.6">
      <c r="A10" s="60">
        <f t="shared" si="7"/>
        <v>7</v>
      </c>
      <c r="B10" s="85" t="s">
        <v>143</v>
      </c>
      <c r="C10" s="89">
        <f t="shared" si="8"/>
        <v>0.24399999999999999</v>
      </c>
      <c r="D10" s="89">
        <v>0.54500000000000004</v>
      </c>
      <c r="E10" s="89">
        <f t="shared" si="0"/>
        <v>0.78900000000000003</v>
      </c>
      <c r="F10" s="959">
        <f>'State gasoline'!K10</f>
        <v>6.3500000000000001E-2</v>
      </c>
      <c r="G10" s="897">
        <v>267791000</v>
      </c>
      <c r="H10" s="156">
        <v>2.8919999999999999</v>
      </c>
      <c r="I10" s="156">
        <f t="shared" si="1"/>
        <v>2.1029999999999998</v>
      </c>
      <c r="J10" s="156">
        <f t="shared" si="2"/>
        <v>2.2365404999999994</v>
      </c>
      <c r="K10" s="952">
        <f t="shared" si="9"/>
        <v>0.78900000000000015</v>
      </c>
      <c r="L10" s="70">
        <f t="shared" si="3"/>
        <v>774451572</v>
      </c>
      <c r="M10" s="70">
        <f t="shared" si="4"/>
        <v>563164472.99999988</v>
      </c>
      <c r="N10" s="70">
        <f t="shared" si="5"/>
        <v>598925417.03549981</v>
      </c>
      <c r="O10" s="70">
        <f t="shared" si="6"/>
        <v>175526154.96450019</v>
      </c>
    </row>
    <row r="11" spans="1:15" s="85" customFormat="1" x14ac:dyDescent="0.6">
      <c r="A11" s="60">
        <f t="shared" si="7"/>
        <v>8</v>
      </c>
      <c r="B11" s="85" t="s">
        <v>172</v>
      </c>
      <c r="C11" s="89">
        <f t="shared" si="8"/>
        <v>0.24399999999999999</v>
      </c>
      <c r="D11" s="89">
        <v>0.22</v>
      </c>
      <c r="E11" s="89">
        <f t="shared" si="0"/>
        <v>0.46399999999999997</v>
      </c>
      <c r="F11" s="959">
        <f>'State gasoline'!K11</f>
        <v>0</v>
      </c>
      <c r="G11" s="897">
        <v>60439000</v>
      </c>
      <c r="H11" s="156">
        <v>2.927</v>
      </c>
      <c r="I11" s="156">
        <f t="shared" si="1"/>
        <v>2.4630000000000001</v>
      </c>
      <c r="J11" s="156">
        <f t="shared" si="2"/>
        <v>2.4630000000000001</v>
      </c>
      <c r="K11" s="952">
        <f t="shared" si="9"/>
        <v>0.46399999999999997</v>
      </c>
      <c r="L11" s="70">
        <f t="shared" si="3"/>
        <v>176904953</v>
      </c>
      <c r="M11" s="70">
        <f t="shared" si="4"/>
        <v>148861257</v>
      </c>
      <c r="N11" s="70">
        <f t="shared" si="5"/>
        <v>148861257</v>
      </c>
      <c r="O11" s="70">
        <f t="shared" si="6"/>
        <v>28043696</v>
      </c>
    </row>
    <row r="12" spans="1:15" s="85" customFormat="1" x14ac:dyDescent="0.6">
      <c r="A12" s="60">
        <f t="shared" si="7"/>
        <v>9</v>
      </c>
      <c r="B12" s="85" t="s">
        <v>171</v>
      </c>
      <c r="C12" s="89">
        <f t="shared" si="8"/>
        <v>0.24399999999999999</v>
      </c>
      <c r="D12" s="89">
        <v>0.23499999999999999</v>
      </c>
      <c r="E12" s="89">
        <f t="shared" si="0"/>
        <v>0.47899999999999998</v>
      </c>
      <c r="F12" s="959">
        <f>'State gasoline'!K12</f>
        <v>5.7500000000000002E-2</v>
      </c>
      <c r="G12" s="897">
        <v>6778000</v>
      </c>
      <c r="H12" s="156">
        <v>2.927</v>
      </c>
      <c r="I12" s="156">
        <f t="shared" si="1"/>
        <v>2.448</v>
      </c>
      <c r="J12" s="156">
        <f t="shared" si="2"/>
        <v>2.5887600000000002</v>
      </c>
      <c r="K12" s="952">
        <f t="shared" si="9"/>
        <v>0.47900000000000009</v>
      </c>
      <c r="L12" s="70">
        <f t="shared" si="3"/>
        <v>19839206</v>
      </c>
      <c r="M12" s="70">
        <f t="shared" si="4"/>
        <v>16592544</v>
      </c>
      <c r="N12" s="70">
        <f t="shared" si="5"/>
        <v>17546615.280000001</v>
      </c>
      <c r="O12" s="70">
        <f t="shared" si="6"/>
        <v>2292590.7199999988</v>
      </c>
    </row>
    <row r="13" spans="1:15" s="85" customFormat="1" x14ac:dyDescent="0.6">
      <c r="A13" s="60">
        <f t="shared" si="7"/>
        <v>10</v>
      </c>
      <c r="B13" s="85" t="s">
        <v>144</v>
      </c>
      <c r="C13" s="89">
        <f t="shared" si="8"/>
        <v>0.24399999999999999</v>
      </c>
      <c r="D13" s="89">
        <v>0.316</v>
      </c>
      <c r="E13" s="89">
        <f t="shared" si="0"/>
        <v>0.56000000000000005</v>
      </c>
      <c r="F13" s="959">
        <f>'State gasoline'!K13</f>
        <v>6.6500000000000004E-2</v>
      </c>
      <c r="G13" s="897">
        <v>1517983000</v>
      </c>
      <c r="H13" s="156">
        <v>2.6680000000000001</v>
      </c>
      <c r="I13" s="156">
        <f t="shared" si="1"/>
        <v>2.1080000000000001</v>
      </c>
      <c r="J13" s="156">
        <f t="shared" si="2"/>
        <v>2.2481819999999999</v>
      </c>
      <c r="K13" s="952">
        <f t="shared" si="9"/>
        <v>0.56000000000000005</v>
      </c>
      <c r="L13" s="70">
        <f t="shared" si="3"/>
        <v>4049978644</v>
      </c>
      <c r="M13" s="70">
        <f t="shared" si="4"/>
        <v>3199908164</v>
      </c>
      <c r="N13" s="70">
        <f t="shared" si="5"/>
        <v>3412702056.9059997</v>
      </c>
      <c r="O13" s="70">
        <f t="shared" si="6"/>
        <v>637276587.09400034</v>
      </c>
    </row>
    <row r="14" spans="1:15" s="85" customFormat="1" x14ac:dyDescent="0.6">
      <c r="A14" s="60">
        <f t="shared" si="7"/>
        <v>11</v>
      </c>
      <c r="B14" s="85" t="s">
        <v>154</v>
      </c>
      <c r="C14" s="89">
        <f t="shared" si="8"/>
        <v>0.24399999999999999</v>
      </c>
      <c r="D14" s="89">
        <v>0.21299999999999999</v>
      </c>
      <c r="E14" s="89">
        <f t="shared" si="0"/>
        <v>0.45699999999999996</v>
      </c>
      <c r="F14" s="959">
        <f>'State gasoline'!K14</f>
        <v>6.9599999999999995E-2</v>
      </c>
      <c r="G14" s="897">
        <v>1381921000</v>
      </c>
      <c r="H14" s="156">
        <v>2.6680000000000001</v>
      </c>
      <c r="I14" s="156">
        <f t="shared" si="1"/>
        <v>2.2110000000000003</v>
      </c>
      <c r="J14" s="156">
        <f t="shared" si="2"/>
        <v>2.3648856</v>
      </c>
      <c r="K14" s="952">
        <f t="shared" si="9"/>
        <v>0.45699999999999985</v>
      </c>
      <c r="L14" s="70">
        <f t="shared" si="3"/>
        <v>3686965228</v>
      </c>
      <c r="M14" s="70">
        <f t="shared" si="4"/>
        <v>3055427331.0000005</v>
      </c>
      <c r="N14" s="70">
        <f t="shared" si="5"/>
        <v>3268085073.2375998</v>
      </c>
      <c r="O14" s="70">
        <f t="shared" si="6"/>
        <v>418880154.76240015</v>
      </c>
    </row>
    <row r="15" spans="1:15" s="85" customFormat="1" x14ac:dyDescent="0.6">
      <c r="A15" s="60">
        <f t="shared" si="7"/>
        <v>12</v>
      </c>
      <c r="B15" s="85" t="s">
        <v>141</v>
      </c>
      <c r="C15" s="89">
        <f t="shared" si="8"/>
        <v>0.24399999999999999</v>
      </c>
      <c r="D15" s="89">
        <v>0.17</v>
      </c>
      <c r="E15" s="89">
        <f t="shared" si="0"/>
        <v>0.41400000000000003</v>
      </c>
      <c r="F15" s="959">
        <f>'State gasoline'!K15</f>
        <v>4.3499999999999997E-2</v>
      </c>
      <c r="G15" s="897">
        <v>47464000</v>
      </c>
      <c r="H15" s="156">
        <v>2.7549999999999999</v>
      </c>
      <c r="I15" s="156">
        <f t="shared" si="1"/>
        <v>2.3409999999999997</v>
      </c>
      <c r="J15" s="156">
        <f t="shared" si="2"/>
        <v>2.4428334999999999</v>
      </c>
      <c r="K15" s="952">
        <f t="shared" si="9"/>
        <v>0.41400000000000015</v>
      </c>
      <c r="L15" s="70">
        <f t="shared" si="3"/>
        <v>130763320</v>
      </c>
      <c r="M15" s="70">
        <f t="shared" si="4"/>
        <v>111113223.99999999</v>
      </c>
      <c r="N15" s="70">
        <f t="shared" si="5"/>
        <v>115946649.24399999</v>
      </c>
      <c r="O15" s="70">
        <f t="shared" si="6"/>
        <v>14816670.756000012</v>
      </c>
    </row>
    <row r="16" spans="1:15" s="85" customFormat="1" x14ac:dyDescent="0.6">
      <c r="A16" s="60">
        <f t="shared" si="7"/>
        <v>13</v>
      </c>
      <c r="B16" s="85" t="s">
        <v>152</v>
      </c>
      <c r="C16" s="89">
        <f t="shared" si="8"/>
        <v>0.24399999999999999</v>
      </c>
      <c r="D16" s="89">
        <v>0.26</v>
      </c>
      <c r="E16" s="89">
        <f t="shared" si="0"/>
        <v>0.504</v>
      </c>
      <c r="F16" s="959">
        <f>'State gasoline'!K16</f>
        <v>6.0100000000000001E-2</v>
      </c>
      <c r="G16" s="897">
        <v>280499000</v>
      </c>
      <c r="H16" s="156">
        <v>2.6739999999999999</v>
      </c>
      <c r="I16" s="156">
        <f t="shared" si="1"/>
        <v>2.17</v>
      </c>
      <c r="J16" s="156">
        <f t="shared" si="2"/>
        <v>2.3004169999999999</v>
      </c>
      <c r="K16" s="952">
        <f t="shared" si="9"/>
        <v>0.504</v>
      </c>
      <c r="L16" s="70">
        <f t="shared" si="3"/>
        <v>750054326</v>
      </c>
      <c r="M16" s="70">
        <f t="shared" si="4"/>
        <v>608682830</v>
      </c>
      <c r="N16" s="70">
        <f t="shared" si="5"/>
        <v>645264668.08299994</v>
      </c>
      <c r="O16" s="70">
        <f t="shared" si="6"/>
        <v>104789657.91700006</v>
      </c>
    </row>
    <row r="17" spans="1:15" s="85" customFormat="1" x14ac:dyDescent="0.6">
      <c r="A17" s="60">
        <f t="shared" si="7"/>
        <v>14</v>
      </c>
      <c r="B17" s="85" t="s">
        <v>157</v>
      </c>
      <c r="C17" s="89">
        <f t="shared" si="8"/>
        <v>0.24399999999999999</v>
      </c>
      <c r="D17" s="89">
        <v>0.22600000000000001</v>
      </c>
      <c r="E17" s="89">
        <f t="shared" si="0"/>
        <v>0.47</v>
      </c>
      <c r="F17" s="959">
        <f>'State gasoline'!K17</f>
        <v>8.1900000000000001E-2</v>
      </c>
      <c r="G17" s="897">
        <v>1637081000</v>
      </c>
      <c r="H17" s="156">
        <v>2.64</v>
      </c>
      <c r="I17" s="156">
        <f t="shared" si="1"/>
        <v>2.17</v>
      </c>
      <c r="J17" s="156">
        <f t="shared" si="2"/>
        <v>2.3477230000000002</v>
      </c>
      <c r="K17" s="952">
        <f t="shared" si="9"/>
        <v>0.4700000000000002</v>
      </c>
      <c r="L17" s="70">
        <f t="shared" si="3"/>
        <v>4321893840</v>
      </c>
      <c r="M17" s="70">
        <f t="shared" si="4"/>
        <v>3552465770</v>
      </c>
      <c r="N17" s="70">
        <f t="shared" si="5"/>
        <v>3843412716.5630002</v>
      </c>
      <c r="O17" s="70">
        <f t="shared" si="6"/>
        <v>478481123.4369998</v>
      </c>
    </row>
    <row r="18" spans="1:15" s="85" customFormat="1" x14ac:dyDescent="0.6">
      <c r="A18" s="60">
        <f t="shared" si="7"/>
        <v>15</v>
      </c>
      <c r="B18" s="85" t="s">
        <v>160</v>
      </c>
      <c r="C18" s="89">
        <f t="shared" si="8"/>
        <v>0.24399999999999999</v>
      </c>
      <c r="D18" s="89">
        <v>0.16</v>
      </c>
      <c r="E18" s="89">
        <f t="shared" si="0"/>
        <v>0.40400000000000003</v>
      </c>
      <c r="F18" s="959">
        <f>'State gasoline'!K18</f>
        <v>7.0000000000000007E-2</v>
      </c>
      <c r="G18" s="897">
        <v>1253765000</v>
      </c>
      <c r="H18" s="156">
        <v>2.64</v>
      </c>
      <c r="I18" s="156">
        <f t="shared" si="1"/>
        <v>2.2360000000000002</v>
      </c>
      <c r="J18" s="156">
        <f t="shared" si="2"/>
        <v>2.3925200000000002</v>
      </c>
      <c r="K18" s="952">
        <f t="shared" si="9"/>
        <v>0.40399999999999991</v>
      </c>
      <c r="L18" s="70">
        <f t="shared" si="3"/>
        <v>3309939600</v>
      </c>
      <c r="M18" s="70">
        <f t="shared" si="4"/>
        <v>2803418540.0000005</v>
      </c>
      <c r="N18" s="70">
        <f t="shared" si="5"/>
        <v>2999657837.8000002</v>
      </c>
      <c r="O18" s="70">
        <f t="shared" si="6"/>
        <v>310281762.19999981</v>
      </c>
    </row>
    <row r="19" spans="1:15" s="85" customFormat="1" x14ac:dyDescent="0.6">
      <c r="A19" s="60">
        <f t="shared" si="7"/>
        <v>16</v>
      </c>
      <c r="B19" s="85" t="s">
        <v>151</v>
      </c>
      <c r="C19" s="89">
        <f t="shared" si="8"/>
        <v>0.24399999999999999</v>
      </c>
      <c r="D19" s="89">
        <v>0.23499999999999999</v>
      </c>
      <c r="E19" s="89">
        <f t="shared" si="0"/>
        <v>0.47899999999999998</v>
      </c>
      <c r="F19" s="959">
        <f>'State gasoline'!K19</f>
        <v>6.7799999999999999E-2</v>
      </c>
      <c r="G19" s="897">
        <v>661288000</v>
      </c>
      <c r="H19" s="156">
        <v>2.64</v>
      </c>
      <c r="I19" s="156">
        <f t="shared" si="1"/>
        <v>2.161</v>
      </c>
      <c r="J19" s="156">
        <f t="shared" si="2"/>
        <v>2.3075158</v>
      </c>
      <c r="K19" s="952">
        <f t="shared" si="9"/>
        <v>0.47900000000000009</v>
      </c>
      <c r="L19" s="70">
        <f t="shared" si="3"/>
        <v>1745800320</v>
      </c>
      <c r="M19" s="70">
        <f t="shared" si="4"/>
        <v>1429043368</v>
      </c>
      <c r="N19" s="70">
        <f t="shared" si="5"/>
        <v>1525932508.3504</v>
      </c>
      <c r="O19" s="70">
        <f t="shared" si="6"/>
        <v>219867811.64960003</v>
      </c>
    </row>
    <row r="20" spans="1:15" s="85" customFormat="1" x14ac:dyDescent="0.6">
      <c r="A20" s="60">
        <f t="shared" si="7"/>
        <v>17</v>
      </c>
      <c r="B20" s="85" t="s">
        <v>168</v>
      </c>
      <c r="C20" s="89">
        <f t="shared" si="8"/>
        <v>0.24399999999999999</v>
      </c>
      <c r="D20" s="89">
        <v>0.27029999999999998</v>
      </c>
      <c r="E20" s="89">
        <f t="shared" si="0"/>
        <v>0.51429999999999998</v>
      </c>
      <c r="F20" s="959">
        <f>'State gasoline'!K20</f>
        <v>8.2000000000000003E-2</v>
      </c>
      <c r="G20" s="897">
        <v>511491000</v>
      </c>
      <c r="H20" s="156">
        <v>2.64</v>
      </c>
      <c r="I20" s="156">
        <f t="shared" si="1"/>
        <v>2.1257000000000001</v>
      </c>
      <c r="J20" s="156">
        <f t="shared" si="2"/>
        <v>2.3000074000000001</v>
      </c>
      <c r="K20" s="952">
        <f t="shared" si="9"/>
        <v>0.51429999999999998</v>
      </c>
      <c r="L20" s="70">
        <f t="shared" si="3"/>
        <v>1350336240</v>
      </c>
      <c r="M20" s="70">
        <f t="shared" si="4"/>
        <v>1087276418.7</v>
      </c>
      <c r="N20" s="70">
        <f t="shared" si="5"/>
        <v>1176433085.0334001</v>
      </c>
      <c r="O20" s="70">
        <f t="shared" si="6"/>
        <v>173903154.96659994</v>
      </c>
    </row>
    <row r="21" spans="1:15" s="85" customFormat="1" x14ac:dyDescent="0.6">
      <c r="A21" s="60">
        <f t="shared" si="7"/>
        <v>18</v>
      </c>
      <c r="B21" s="85" t="s">
        <v>167</v>
      </c>
      <c r="C21" s="89">
        <f t="shared" si="8"/>
        <v>0.24399999999999999</v>
      </c>
      <c r="D21" s="89">
        <v>0.24599999999999997</v>
      </c>
      <c r="E21" s="89">
        <f t="shared" si="0"/>
        <v>0.49</v>
      </c>
      <c r="F21" s="959">
        <f>'State gasoline'!K21</f>
        <v>0.06</v>
      </c>
      <c r="G21" s="897">
        <v>772109000</v>
      </c>
      <c r="H21" s="156">
        <v>2.64</v>
      </c>
      <c r="I21" s="156">
        <f t="shared" si="1"/>
        <v>2.1500000000000004</v>
      </c>
      <c r="J21" s="156">
        <f t="shared" si="2"/>
        <v>2.2790000000000004</v>
      </c>
      <c r="K21" s="952">
        <f t="shared" si="9"/>
        <v>0.48999999999999977</v>
      </c>
      <c r="L21" s="70">
        <f t="shared" si="3"/>
        <v>2038367760</v>
      </c>
      <c r="M21" s="70">
        <f t="shared" si="4"/>
        <v>1660034350.0000002</v>
      </c>
      <c r="N21" s="70">
        <f t="shared" si="5"/>
        <v>1759636411.0000002</v>
      </c>
      <c r="O21" s="70">
        <f t="shared" si="6"/>
        <v>278731348.99999976</v>
      </c>
    </row>
    <row r="22" spans="1:15" s="85" customFormat="1" x14ac:dyDescent="0.6">
      <c r="A22" s="60">
        <f t="shared" si="7"/>
        <v>19</v>
      </c>
      <c r="B22" s="85" t="s">
        <v>179</v>
      </c>
      <c r="C22" s="89">
        <f t="shared" si="8"/>
        <v>0.24399999999999999</v>
      </c>
      <c r="D22" s="89">
        <v>0.20125000000000001</v>
      </c>
      <c r="E22" s="89">
        <f t="shared" si="0"/>
        <v>0.44525000000000003</v>
      </c>
      <c r="F22" s="959">
        <f>'State gasoline'!K22</f>
        <v>8.9099999999999999E-2</v>
      </c>
      <c r="G22" s="897">
        <v>709932000</v>
      </c>
      <c r="H22" s="156">
        <v>2.5760000000000001</v>
      </c>
      <c r="I22" s="156">
        <f t="shared" si="1"/>
        <v>2.1307499999999999</v>
      </c>
      <c r="J22" s="156">
        <f t="shared" si="2"/>
        <v>2.3205998249999999</v>
      </c>
      <c r="K22" s="952">
        <f t="shared" si="9"/>
        <v>0.44525000000000015</v>
      </c>
      <c r="L22" s="70">
        <f t="shared" si="3"/>
        <v>1828784832</v>
      </c>
      <c r="M22" s="70">
        <f t="shared" si="4"/>
        <v>1512687609</v>
      </c>
      <c r="N22" s="70">
        <f t="shared" si="5"/>
        <v>1647468074.9619</v>
      </c>
      <c r="O22" s="70">
        <f t="shared" si="6"/>
        <v>181316757.0381</v>
      </c>
    </row>
    <row r="23" spans="1:15" s="85" customFormat="1" x14ac:dyDescent="0.6">
      <c r="A23" s="60">
        <f t="shared" si="7"/>
        <v>20</v>
      </c>
      <c r="B23" s="85" t="s">
        <v>158</v>
      </c>
      <c r="C23" s="89">
        <f t="shared" si="8"/>
        <v>0.24399999999999999</v>
      </c>
      <c r="D23" s="89">
        <v>0.312</v>
      </c>
      <c r="E23" s="89">
        <f t="shared" si="0"/>
        <v>0.55600000000000005</v>
      </c>
      <c r="F23" s="959">
        <f>'State gasoline'!K23</f>
        <v>5.5E-2</v>
      </c>
      <c r="G23" s="897">
        <v>192224000</v>
      </c>
      <c r="H23" s="156">
        <v>2.8919999999999999</v>
      </c>
      <c r="I23" s="156">
        <f t="shared" si="1"/>
        <v>2.3359999999999999</v>
      </c>
      <c r="J23" s="156">
        <f t="shared" si="2"/>
        <v>2.4644799999999996</v>
      </c>
      <c r="K23" s="952">
        <f t="shared" si="9"/>
        <v>0.55600000000000005</v>
      </c>
      <c r="L23" s="70">
        <f t="shared" si="3"/>
        <v>555911808</v>
      </c>
      <c r="M23" s="70">
        <f t="shared" si="4"/>
        <v>449035264</v>
      </c>
      <c r="N23" s="70">
        <f t="shared" si="5"/>
        <v>473732203.51999992</v>
      </c>
      <c r="O23" s="70">
        <f t="shared" si="6"/>
        <v>82179604.480000079</v>
      </c>
    </row>
    <row r="24" spans="1:15" s="85" customFormat="1" x14ac:dyDescent="0.6">
      <c r="A24" s="60">
        <f t="shared" si="7"/>
        <v>21</v>
      </c>
      <c r="B24" s="85" t="s">
        <v>150</v>
      </c>
      <c r="C24" s="89">
        <f t="shared" si="8"/>
        <v>0.24399999999999999</v>
      </c>
      <c r="D24" s="89">
        <v>0.315</v>
      </c>
      <c r="E24" s="89">
        <f t="shared" si="0"/>
        <v>0.55899999999999994</v>
      </c>
      <c r="F24" s="959">
        <f>'State gasoline'!K24</f>
        <v>0.06</v>
      </c>
      <c r="G24" s="897">
        <v>523960000</v>
      </c>
      <c r="H24" s="156">
        <v>2.927</v>
      </c>
      <c r="I24" s="156">
        <f t="shared" si="1"/>
        <v>2.3680000000000003</v>
      </c>
      <c r="J24" s="156">
        <f t="shared" si="2"/>
        <v>2.5100800000000003</v>
      </c>
      <c r="K24" s="952">
        <f t="shared" si="9"/>
        <v>0.55899999999999972</v>
      </c>
      <c r="L24" s="70">
        <f t="shared" si="3"/>
        <v>1533630920</v>
      </c>
      <c r="M24" s="70">
        <f t="shared" si="4"/>
        <v>1240737280.0000002</v>
      </c>
      <c r="N24" s="70">
        <f t="shared" si="5"/>
        <v>1315181516.8000002</v>
      </c>
      <c r="O24" s="70">
        <f t="shared" si="6"/>
        <v>218449403.19999981</v>
      </c>
    </row>
    <row r="25" spans="1:15" s="85" customFormat="1" x14ac:dyDescent="0.6">
      <c r="A25" s="60">
        <f t="shared" si="7"/>
        <v>22</v>
      </c>
      <c r="B25" s="85" t="s">
        <v>166</v>
      </c>
      <c r="C25" s="89">
        <f t="shared" si="8"/>
        <v>0.24399999999999999</v>
      </c>
      <c r="D25" s="89">
        <v>0.24</v>
      </c>
      <c r="E25" s="89">
        <f t="shared" si="0"/>
        <v>0.48399999999999999</v>
      </c>
      <c r="F25" s="959">
        <f>'State gasoline'!K25</f>
        <v>6.25E-2</v>
      </c>
      <c r="G25" s="897">
        <v>432096000</v>
      </c>
      <c r="H25" s="156">
        <v>2.8919999999999999</v>
      </c>
      <c r="I25" s="156">
        <f t="shared" si="1"/>
        <v>2.4079999999999999</v>
      </c>
      <c r="J25" s="156">
        <f t="shared" si="2"/>
        <v>2.5585</v>
      </c>
      <c r="K25" s="952">
        <f t="shared" si="9"/>
        <v>0.48399999999999999</v>
      </c>
      <c r="L25" s="70">
        <f t="shared" si="3"/>
        <v>1249621632</v>
      </c>
      <c r="M25" s="70">
        <f t="shared" si="4"/>
        <v>1040487168</v>
      </c>
      <c r="N25" s="70">
        <f t="shared" si="5"/>
        <v>1105517616</v>
      </c>
      <c r="O25" s="70">
        <f t="shared" si="6"/>
        <v>144104016</v>
      </c>
    </row>
    <row r="26" spans="1:15" s="85" customFormat="1" x14ac:dyDescent="0.6">
      <c r="A26" s="60">
        <f t="shared" si="7"/>
        <v>23</v>
      </c>
      <c r="B26" s="85" t="s">
        <v>155</v>
      </c>
      <c r="C26" s="89">
        <f t="shared" si="8"/>
        <v>0.24399999999999999</v>
      </c>
      <c r="D26" s="89">
        <v>0.15</v>
      </c>
      <c r="E26" s="89">
        <f t="shared" si="0"/>
        <v>0.39400000000000002</v>
      </c>
      <c r="F26" s="959">
        <f>'State gasoline'!K26</f>
        <v>0.06</v>
      </c>
      <c r="G26" s="897">
        <v>952527000</v>
      </c>
      <c r="H26" s="156">
        <v>2.64</v>
      </c>
      <c r="I26" s="156">
        <f t="shared" si="1"/>
        <v>2.246</v>
      </c>
      <c r="J26" s="156">
        <f t="shared" si="2"/>
        <v>2.38076</v>
      </c>
      <c r="K26" s="952">
        <f t="shared" si="9"/>
        <v>0.39400000000000013</v>
      </c>
      <c r="L26" s="70">
        <f t="shared" si="3"/>
        <v>2514671280</v>
      </c>
      <c r="M26" s="70">
        <f t="shared" si="4"/>
        <v>2139375642</v>
      </c>
      <c r="N26" s="70">
        <f t="shared" si="5"/>
        <v>2267738180.52</v>
      </c>
      <c r="O26" s="70">
        <f t="shared" si="6"/>
        <v>246933099.48000002</v>
      </c>
    </row>
    <row r="27" spans="1:15" s="85" customFormat="1" x14ac:dyDescent="0.6">
      <c r="A27" s="60">
        <f t="shared" si="7"/>
        <v>24</v>
      </c>
      <c r="B27" s="85" t="s">
        <v>162</v>
      </c>
      <c r="C27" s="89">
        <f t="shared" si="8"/>
        <v>0.24399999999999999</v>
      </c>
      <c r="D27" s="89">
        <v>0.28600000000000003</v>
      </c>
      <c r="E27" s="89">
        <f t="shared" si="0"/>
        <v>0.53</v>
      </c>
      <c r="F27" s="959">
        <f>'State gasoline'!K27</f>
        <v>7.1999999999999995E-2</v>
      </c>
      <c r="G27" s="897">
        <v>652164000</v>
      </c>
      <c r="H27" s="156">
        <v>2.64</v>
      </c>
      <c r="I27" s="156">
        <f t="shared" si="1"/>
        <v>2.1100000000000003</v>
      </c>
      <c r="J27" s="156">
        <f t="shared" si="2"/>
        <v>2.2619200000000004</v>
      </c>
      <c r="K27" s="952">
        <f t="shared" si="9"/>
        <v>0.5299999999999998</v>
      </c>
      <c r="L27" s="70">
        <f t="shared" si="3"/>
        <v>1721712960</v>
      </c>
      <c r="M27" s="70">
        <f t="shared" si="4"/>
        <v>1376066040.0000002</v>
      </c>
      <c r="N27" s="70">
        <f t="shared" si="5"/>
        <v>1475142794.8800004</v>
      </c>
      <c r="O27" s="70">
        <f t="shared" si="6"/>
        <v>246570165.11999965</v>
      </c>
    </row>
    <row r="28" spans="1:15" s="85" customFormat="1" x14ac:dyDescent="0.6">
      <c r="A28" s="60">
        <f t="shared" si="7"/>
        <v>25</v>
      </c>
      <c r="B28" s="85" t="s">
        <v>183</v>
      </c>
      <c r="C28" s="89">
        <f t="shared" si="8"/>
        <v>0.24399999999999999</v>
      </c>
      <c r="D28" s="89">
        <v>0.184</v>
      </c>
      <c r="E28" s="89">
        <f t="shared" si="0"/>
        <v>0.42799999999999999</v>
      </c>
      <c r="F28" s="959">
        <f>'State gasoline'!K28</f>
        <v>7.0699999999999999E-2</v>
      </c>
      <c r="G28" s="897">
        <v>629465000</v>
      </c>
      <c r="H28" s="156">
        <v>2.5760000000000001</v>
      </c>
      <c r="I28" s="156">
        <f t="shared" si="1"/>
        <v>2.1480000000000001</v>
      </c>
      <c r="J28" s="156">
        <f t="shared" si="2"/>
        <v>2.2998636000000001</v>
      </c>
      <c r="K28" s="952">
        <f t="shared" si="9"/>
        <v>0.42799999999999994</v>
      </c>
      <c r="L28" s="70">
        <f t="shared" si="3"/>
        <v>1621501840</v>
      </c>
      <c r="M28" s="70">
        <f t="shared" si="4"/>
        <v>1352090820</v>
      </c>
      <c r="N28" s="70">
        <f t="shared" si="5"/>
        <v>1447683640.974</v>
      </c>
      <c r="O28" s="70">
        <f t="shared" si="6"/>
        <v>173818199.02600002</v>
      </c>
    </row>
    <row r="29" spans="1:15" s="85" customFormat="1" x14ac:dyDescent="0.6">
      <c r="A29" s="60">
        <f t="shared" si="7"/>
        <v>26</v>
      </c>
      <c r="B29" s="85" t="s">
        <v>184</v>
      </c>
      <c r="C29" s="89">
        <f t="shared" si="8"/>
        <v>0.24399999999999999</v>
      </c>
      <c r="D29" s="89">
        <v>0.17300000000000001</v>
      </c>
      <c r="E29" s="89">
        <f t="shared" si="0"/>
        <v>0.41700000000000004</v>
      </c>
      <c r="F29" s="959">
        <f>'State gasoline'!K29</f>
        <v>7.8100000000000003E-2</v>
      </c>
      <c r="G29" s="897">
        <v>998826000</v>
      </c>
      <c r="H29" s="156">
        <v>2.64</v>
      </c>
      <c r="I29" s="156">
        <f t="shared" si="1"/>
        <v>2.2229999999999999</v>
      </c>
      <c r="J29" s="156">
        <f t="shared" si="2"/>
        <v>2.3966162999999998</v>
      </c>
      <c r="K29" s="952">
        <f t="shared" si="9"/>
        <v>0.41700000000000026</v>
      </c>
      <c r="L29" s="70">
        <f t="shared" si="3"/>
        <v>2636900640</v>
      </c>
      <c r="M29" s="70">
        <f t="shared" si="4"/>
        <v>2220390198</v>
      </c>
      <c r="N29" s="70">
        <f t="shared" si="5"/>
        <v>2393802672.4638</v>
      </c>
      <c r="O29" s="70">
        <f t="shared" si="6"/>
        <v>243097967.53620005</v>
      </c>
    </row>
    <row r="30" spans="1:15" s="85" customFormat="1" x14ac:dyDescent="0.6">
      <c r="A30" s="60">
        <f t="shared" si="7"/>
        <v>27</v>
      </c>
      <c r="B30" s="85" t="s">
        <v>164</v>
      </c>
      <c r="C30" s="89">
        <f t="shared" si="8"/>
        <v>0.24399999999999999</v>
      </c>
      <c r="D30" s="89">
        <v>0.27750000000000002</v>
      </c>
      <c r="E30" s="89">
        <f t="shared" si="0"/>
        <v>0.52150000000000007</v>
      </c>
      <c r="F30" s="959">
        <f>'State gasoline'!K30</f>
        <v>0</v>
      </c>
      <c r="G30" s="897">
        <v>264414000</v>
      </c>
      <c r="H30" s="156">
        <v>2.6739999999999999</v>
      </c>
      <c r="I30" s="156">
        <f t="shared" si="1"/>
        <v>2.1524999999999999</v>
      </c>
      <c r="J30" s="156">
        <f t="shared" si="2"/>
        <v>2.1524999999999999</v>
      </c>
      <c r="K30" s="952">
        <f t="shared" si="9"/>
        <v>0.52150000000000007</v>
      </c>
      <c r="L30" s="70">
        <f t="shared" si="3"/>
        <v>707043036</v>
      </c>
      <c r="M30" s="70">
        <f t="shared" si="4"/>
        <v>569151135</v>
      </c>
      <c r="N30" s="70">
        <f t="shared" si="5"/>
        <v>569151135</v>
      </c>
      <c r="O30" s="70">
        <f t="shared" si="6"/>
        <v>137891901</v>
      </c>
    </row>
    <row r="31" spans="1:15" s="85" customFormat="1" x14ac:dyDescent="0.6">
      <c r="A31" s="60">
        <f t="shared" si="7"/>
        <v>28</v>
      </c>
      <c r="B31" s="85" t="s">
        <v>165</v>
      </c>
      <c r="C31" s="89">
        <f t="shared" si="8"/>
        <v>0.24399999999999999</v>
      </c>
      <c r="D31" s="89">
        <v>0.25900000000000001</v>
      </c>
      <c r="E31" s="89">
        <f t="shared" si="0"/>
        <v>0.503</v>
      </c>
      <c r="F31" s="959">
        <f>'State gasoline'!K31</f>
        <v>6.8000000000000005E-2</v>
      </c>
      <c r="G31" s="897">
        <v>439070000</v>
      </c>
      <c r="H31" s="156">
        <v>2.64</v>
      </c>
      <c r="I31" s="156">
        <f t="shared" si="1"/>
        <v>2.137</v>
      </c>
      <c r="J31" s="156">
        <f t="shared" si="2"/>
        <v>2.2823160000000002</v>
      </c>
      <c r="K31" s="952">
        <f t="shared" si="9"/>
        <v>0.50300000000000011</v>
      </c>
      <c r="L31" s="70">
        <f t="shared" si="3"/>
        <v>1159144800</v>
      </c>
      <c r="M31" s="70">
        <f t="shared" si="4"/>
        <v>938292590</v>
      </c>
      <c r="N31" s="70">
        <f t="shared" si="5"/>
        <v>1002096486.1200001</v>
      </c>
      <c r="O31" s="70">
        <f t="shared" si="6"/>
        <v>157048313.87999988</v>
      </c>
    </row>
    <row r="32" spans="1:15" s="85" customFormat="1" x14ac:dyDescent="0.6">
      <c r="A32" s="60">
        <f t="shared" si="7"/>
        <v>29</v>
      </c>
      <c r="B32" s="85" t="s">
        <v>147</v>
      </c>
      <c r="C32" s="89">
        <f t="shared" si="8"/>
        <v>0.24399999999999999</v>
      </c>
      <c r="D32" s="89">
        <v>0.27750000000000002</v>
      </c>
      <c r="E32" s="89">
        <f t="shared" si="0"/>
        <v>0.52150000000000007</v>
      </c>
      <c r="F32" s="959">
        <f>'State gasoline'!K32</f>
        <v>7.9399999999999998E-2</v>
      </c>
      <c r="G32" s="897">
        <v>297240000</v>
      </c>
      <c r="H32" s="156">
        <v>2.7549999999999999</v>
      </c>
      <c r="I32" s="156">
        <f t="shared" si="1"/>
        <v>2.2334999999999998</v>
      </c>
      <c r="J32" s="156">
        <f t="shared" si="2"/>
        <v>2.4108398999999996</v>
      </c>
      <c r="K32" s="952">
        <f t="shared" si="9"/>
        <v>0.52150000000000007</v>
      </c>
      <c r="L32" s="70">
        <f t="shared" si="3"/>
        <v>818896200</v>
      </c>
      <c r="M32" s="70">
        <f t="shared" si="4"/>
        <v>663885540</v>
      </c>
      <c r="N32" s="70">
        <f t="shared" si="5"/>
        <v>716598051.87599993</v>
      </c>
      <c r="O32" s="70">
        <f t="shared" si="6"/>
        <v>102298148.12400007</v>
      </c>
    </row>
    <row r="33" spans="1:15" s="85" customFormat="1" x14ac:dyDescent="0.6">
      <c r="A33" s="60">
        <f t="shared" si="7"/>
        <v>30</v>
      </c>
      <c r="B33" s="85" t="s">
        <v>170</v>
      </c>
      <c r="C33" s="89">
        <f t="shared" si="8"/>
        <v>0.24399999999999999</v>
      </c>
      <c r="D33" s="89">
        <v>0.23824999999999999</v>
      </c>
      <c r="E33" s="89">
        <f t="shared" si="0"/>
        <v>0.48224999999999996</v>
      </c>
      <c r="F33" s="959">
        <f>'State gasoline'!K33</f>
        <v>0</v>
      </c>
      <c r="G33" s="897">
        <v>99217000</v>
      </c>
      <c r="H33" s="156">
        <v>2.8919999999999999</v>
      </c>
      <c r="I33" s="156">
        <f t="shared" si="1"/>
        <v>2.4097499999999998</v>
      </c>
      <c r="J33" s="156">
        <f t="shared" si="2"/>
        <v>2.4097499999999998</v>
      </c>
      <c r="K33" s="952">
        <f t="shared" si="9"/>
        <v>0.48225000000000007</v>
      </c>
      <c r="L33" s="70">
        <f t="shared" si="3"/>
        <v>286935564</v>
      </c>
      <c r="M33" s="70">
        <f t="shared" si="4"/>
        <v>239088165.74999997</v>
      </c>
      <c r="N33" s="70">
        <f t="shared" si="5"/>
        <v>239088165.74999997</v>
      </c>
      <c r="O33" s="70">
        <f t="shared" si="6"/>
        <v>47847398.25000003</v>
      </c>
    </row>
    <row r="34" spans="1:15" s="85" customFormat="1" x14ac:dyDescent="0.6">
      <c r="A34" s="60">
        <f t="shared" si="7"/>
        <v>31</v>
      </c>
      <c r="B34" s="85" t="s">
        <v>187</v>
      </c>
      <c r="C34" s="89">
        <f t="shared" si="8"/>
        <v>0.24399999999999999</v>
      </c>
      <c r="D34" s="89">
        <v>0.17499999999999999</v>
      </c>
      <c r="E34" s="89">
        <f t="shared" si="0"/>
        <v>0.41899999999999998</v>
      </c>
      <c r="F34" s="959">
        <f>'State gasoline'!K34</f>
        <v>6.9699999999999998E-2</v>
      </c>
      <c r="G34" s="897">
        <v>757832000</v>
      </c>
      <c r="H34" s="156">
        <v>2.927</v>
      </c>
      <c r="I34" s="156">
        <f t="shared" si="1"/>
        <v>2.508</v>
      </c>
      <c r="J34" s="156">
        <f t="shared" si="2"/>
        <v>2.6828076000000003</v>
      </c>
      <c r="K34" s="952">
        <f t="shared" si="9"/>
        <v>0.41900000000000004</v>
      </c>
      <c r="L34" s="70">
        <f t="shared" si="3"/>
        <v>2218174264</v>
      </c>
      <c r="M34" s="70">
        <f t="shared" si="4"/>
        <v>1900642656</v>
      </c>
      <c r="N34" s="70">
        <f t="shared" si="5"/>
        <v>2033117449.1232002</v>
      </c>
      <c r="O34" s="70">
        <f t="shared" si="6"/>
        <v>185056814.87679982</v>
      </c>
    </row>
    <row r="35" spans="1:15" s="85" customFormat="1" x14ac:dyDescent="0.6">
      <c r="A35" s="60">
        <f t="shared" si="7"/>
        <v>32</v>
      </c>
      <c r="B35" s="85" t="s">
        <v>182</v>
      </c>
      <c r="C35" s="89">
        <f t="shared" si="8"/>
        <v>0.24399999999999999</v>
      </c>
      <c r="D35" s="89">
        <v>0.22875000000000001</v>
      </c>
      <c r="E35" s="89">
        <f t="shared" si="0"/>
        <v>0.47275</v>
      </c>
      <c r="F35" s="959">
        <f>'State gasoline'!K35</f>
        <v>7.3499999999999996E-2</v>
      </c>
      <c r="G35" s="897">
        <v>509619000</v>
      </c>
      <c r="H35" s="156">
        <v>2.5760000000000001</v>
      </c>
      <c r="I35" s="156">
        <f t="shared" si="1"/>
        <v>2.1032500000000001</v>
      </c>
      <c r="J35" s="156">
        <f t="shared" si="2"/>
        <v>2.257838875</v>
      </c>
      <c r="K35" s="952">
        <f t="shared" si="9"/>
        <v>0.47275</v>
      </c>
      <c r="L35" s="70">
        <f t="shared" si="3"/>
        <v>1312778544</v>
      </c>
      <c r="M35" s="70">
        <f t="shared" si="4"/>
        <v>1071856161.75</v>
      </c>
      <c r="N35" s="70">
        <f t="shared" si="5"/>
        <v>1150637589.6386249</v>
      </c>
      <c r="O35" s="70">
        <f t="shared" si="6"/>
        <v>162140954.36137509</v>
      </c>
    </row>
    <row r="36" spans="1:15" s="85" customFormat="1" x14ac:dyDescent="0.6">
      <c r="A36" s="60">
        <f t="shared" si="7"/>
        <v>33</v>
      </c>
      <c r="B36" s="85" t="s">
        <v>140</v>
      </c>
      <c r="C36" s="89">
        <f t="shared" si="8"/>
        <v>0.24399999999999999</v>
      </c>
      <c r="D36" s="89">
        <v>0.24050000000000002</v>
      </c>
      <c r="E36" s="89">
        <f t="shared" ref="E36:E54" si="11">D36+C36</f>
        <v>0.48450000000000004</v>
      </c>
      <c r="F36" s="959">
        <f>'State gasoline'!K36</f>
        <v>8.48E-2</v>
      </c>
      <c r="G36" s="897">
        <v>1111015000</v>
      </c>
      <c r="H36" s="156">
        <v>2.927</v>
      </c>
      <c r="I36" s="156">
        <f t="shared" ref="I36:I54" si="12">H36-E36</f>
        <v>2.4424999999999999</v>
      </c>
      <c r="J36" s="156">
        <f t="shared" ref="J36:J54" si="13">I36*(1+F36)</f>
        <v>2.6496239999999998</v>
      </c>
      <c r="K36" s="952">
        <f t="shared" si="9"/>
        <v>0.48450000000000015</v>
      </c>
      <c r="L36" s="70">
        <f t="shared" ref="L36:L54" si="14">H36*G36</f>
        <v>3251940905</v>
      </c>
      <c r="M36" s="70">
        <f t="shared" ref="M36:M54" si="15">I36*G36</f>
        <v>2713654137.5</v>
      </c>
      <c r="N36" s="70">
        <f t="shared" ref="N36:N54" si="16">J36*G36</f>
        <v>2943772008.3599997</v>
      </c>
      <c r="O36" s="70">
        <f t="shared" si="6"/>
        <v>308168896.64000034</v>
      </c>
    </row>
    <row r="37" spans="1:15" s="85" customFormat="1" x14ac:dyDescent="0.6">
      <c r="A37" s="60">
        <f t="shared" si="7"/>
        <v>34</v>
      </c>
      <c r="B37" s="85" t="s">
        <v>145</v>
      </c>
      <c r="C37" s="89">
        <f t="shared" si="8"/>
        <v>0.24399999999999999</v>
      </c>
      <c r="D37" s="89">
        <v>0.3775</v>
      </c>
      <c r="E37" s="89">
        <f t="shared" si="11"/>
        <v>0.62149999999999994</v>
      </c>
      <c r="F37" s="959">
        <f>'State gasoline'!K37</f>
        <v>6.9000000000000006E-2</v>
      </c>
      <c r="G37" s="897">
        <v>1018863000</v>
      </c>
      <c r="H37" s="156">
        <v>2.6680000000000001</v>
      </c>
      <c r="I37" s="156">
        <f t="shared" si="12"/>
        <v>2.0465</v>
      </c>
      <c r="J37" s="156">
        <f t="shared" si="13"/>
        <v>2.1877084999999998</v>
      </c>
      <c r="K37" s="952">
        <f t="shared" si="9"/>
        <v>0.62150000000000016</v>
      </c>
      <c r="L37" s="70">
        <f t="shared" si="14"/>
        <v>2718326484</v>
      </c>
      <c r="M37" s="70">
        <f t="shared" si="15"/>
        <v>2085103129.5</v>
      </c>
      <c r="N37" s="70">
        <f t="shared" si="16"/>
        <v>2228975245.4354997</v>
      </c>
      <c r="O37" s="70">
        <f t="shared" si="6"/>
        <v>489351238.56450033</v>
      </c>
    </row>
    <row r="38" spans="1:15" s="85" customFormat="1" x14ac:dyDescent="0.6">
      <c r="A38" s="60">
        <f t="shared" si="7"/>
        <v>35</v>
      </c>
      <c r="B38" s="85" t="s">
        <v>173</v>
      </c>
      <c r="C38" s="89">
        <f t="shared" si="8"/>
        <v>0.24399999999999999</v>
      </c>
      <c r="D38" s="89">
        <v>0.23</v>
      </c>
      <c r="E38" s="89">
        <f t="shared" si="11"/>
        <v>0.47399999999999998</v>
      </c>
      <c r="F38" s="959">
        <f>'State gasoline'!K38</f>
        <v>6.5600000000000006E-2</v>
      </c>
      <c r="G38" s="897">
        <v>352884000</v>
      </c>
      <c r="H38" s="156">
        <v>2.64</v>
      </c>
      <c r="I38" s="156">
        <f t="shared" si="12"/>
        <v>2.1660000000000004</v>
      </c>
      <c r="J38" s="156">
        <f t="shared" si="13"/>
        <v>2.3080896000000006</v>
      </c>
      <c r="K38" s="952">
        <f t="shared" si="9"/>
        <v>0.47399999999999975</v>
      </c>
      <c r="L38" s="70">
        <f t="shared" si="14"/>
        <v>931613760</v>
      </c>
      <c r="M38" s="70">
        <f t="shared" si="15"/>
        <v>764346744.00000012</v>
      </c>
      <c r="N38" s="70">
        <f t="shared" si="16"/>
        <v>814487890.4064002</v>
      </c>
      <c r="O38" s="70">
        <f t="shared" si="6"/>
        <v>117125869.5935998</v>
      </c>
    </row>
    <row r="39" spans="1:15" s="85" customFormat="1" x14ac:dyDescent="0.6">
      <c r="A39" s="60">
        <f t="shared" si="7"/>
        <v>36</v>
      </c>
      <c r="B39" s="85" t="s">
        <v>163</v>
      </c>
      <c r="C39" s="89">
        <f t="shared" si="8"/>
        <v>0.24399999999999999</v>
      </c>
      <c r="D39" s="89">
        <v>0.28000000000000003</v>
      </c>
      <c r="E39" s="89">
        <f t="shared" si="11"/>
        <v>0.52400000000000002</v>
      </c>
      <c r="F39" s="959">
        <f>'State gasoline'!K39</f>
        <v>7.0999999999999994E-2</v>
      </c>
      <c r="G39" s="897">
        <v>1548377000</v>
      </c>
      <c r="H39" s="156">
        <v>2.64</v>
      </c>
      <c r="I39" s="156">
        <f t="shared" si="12"/>
        <v>2.1160000000000001</v>
      </c>
      <c r="J39" s="156">
        <f t="shared" si="13"/>
        <v>2.2662360000000001</v>
      </c>
      <c r="K39" s="952">
        <f t="shared" si="9"/>
        <v>0.52400000000000002</v>
      </c>
      <c r="L39" s="70">
        <f t="shared" si="14"/>
        <v>4087715280</v>
      </c>
      <c r="M39" s="70">
        <f t="shared" si="15"/>
        <v>3276365732</v>
      </c>
      <c r="N39" s="70">
        <f t="shared" si="16"/>
        <v>3508987698.9720001</v>
      </c>
      <c r="O39" s="70">
        <f t="shared" si="6"/>
        <v>578727581.02799988</v>
      </c>
    </row>
    <row r="40" spans="1:15" s="85" customFormat="1" x14ac:dyDescent="0.6">
      <c r="A40" s="60">
        <f t="shared" si="7"/>
        <v>37</v>
      </c>
      <c r="B40" s="85" t="s">
        <v>185</v>
      </c>
      <c r="C40" s="89">
        <f t="shared" si="8"/>
        <v>0.24399999999999999</v>
      </c>
      <c r="D40" s="89">
        <v>0.14000000000000001</v>
      </c>
      <c r="E40" s="89">
        <f t="shared" si="11"/>
        <v>0.38400000000000001</v>
      </c>
      <c r="F40" s="959">
        <f>'State gasoline'!K40</f>
        <v>8.77E-2</v>
      </c>
      <c r="G40" s="897">
        <v>849598000</v>
      </c>
      <c r="H40" s="156">
        <v>2.64</v>
      </c>
      <c r="I40" s="156">
        <f t="shared" si="12"/>
        <v>2.2560000000000002</v>
      </c>
      <c r="J40" s="156">
        <f t="shared" si="13"/>
        <v>2.4538511999999999</v>
      </c>
      <c r="K40" s="952">
        <f t="shared" si="9"/>
        <v>0.3839999999999999</v>
      </c>
      <c r="L40" s="70">
        <f t="shared" si="14"/>
        <v>2242938720</v>
      </c>
      <c r="M40" s="70">
        <f t="shared" si="15"/>
        <v>1916693088.0000002</v>
      </c>
      <c r="N40" s="70">
        <f t="shared" si="16"/>
        <v>2084787071.8176</v>
      </c>
      <c r="O40" s="70">
        <f t="shared" si="6"/>
        <v>158151648.18239999</v>
      </c>
    </row>
    <row r="41" spans="1:15" s="85" customFormat="1" x14ac:dyDescent="0.6">
      <c r="A41" s="60">
        <f t="shared" si="7"/>
        <v>38</v>
      </c>
      <c r="B41" s="85" t="s">
        <v>153</v>
      </c>
      <c r="C41" s="89">
        <f t="shared" si="8"/>
        <v>0.24399999999999999</v>
      </c>
      <c r="D41" s="89">
        <v>0.3</v>
      </c>
      <c r="E41" s="89">
        <f t="shared" si="11"/>
        <v>0.54400000000000004</v>
      </c>
      <c r="F41" s="959">
        <f>'State gasoline'!K41</f>
        <v>0</v>
      </c>
      <c r="G41" s="897">
        <v>536058000</v>
      </c>
      <c r="H41" s="156">
        <v>2.7549999999999999</v>
      </c>
      <c r="I41" s="156">
        <f t="shared" si="12"/>
        <v>2.2109999999999999</v>
      </c>
      <c r="J41" s="156">
        <f t="shared" si="13"/>
        <v>2.2109999999999999</v>
      </c>
      <c r="K41" s="952">
        <f t="shared" si="9"/>
        <v>0.54400000000000004</v>
      </c>
      <c r="L41" s="70">
        <f t="shared" si="14"/>
        <v>1476839790</v>
      </c>
      <c r="M41" s="70">
        <f t="shared" si="15"/>
        <v>1185224238</v>
      </c>
      <c r="N41" s="70">
        <f t="shared" si="16"/>
        <v>1185224238</v>
      </c>
      <c r="O41" s="70">
        <f t="shared" si="6"/>
        <v>291615552</v>
      </c>
    </row>
    <row r="42" spans="1:15" s="85" customFormat="1" x14ac:dyDescent="0.6">
      <c r="A42" s="60">
        <f t="shared" si="7"/>
        <v>39</v>
      </c>
      <c r="B42" s="85" t="s">
        <v>138</v>
      </c>
      <c r="C42" s="89">
        <f t="shared" si="8"/>
        <v>0.24399999999999999</v>
      </c>
      <c r="D42" s="89">
        <v>0.64200000000000002</v>
      </c>
      <c r="E42" s="89">
        <f t="shared" si="11"/>
        <v>0.88600000000000001</v>
      </c>
      <c r="F42" s="959">
        <f>'State gasoline'!K42</f>
        <v>6.3399999999999998E-2</v>
      </c>
      <c r="G42" s="897">
        <v>1449893000</v>
      </c>
      <c r="H42" s="156">
        <v>2.927</v>
      </c>
      <c r="I42" s="156">
        <f t="shared" si="12"/>
        <v>2.0409999999999999</v>
      </c>
      <c r="J42" s="156">
        <f t="shared" si="13"/>
        <v>2.1703993999999995</v>
      </c>
      <c r="K42" s="952">
        <f t="shared" si="9"/>
        <v>0.88600000000000012</v>
      </c>
      <c r="L42" s="70">
        <f t="shared" si="14"/>
        <v>4243836811</v>
      </c>
      <c r="M42" s="70">
        <f t="shared" si="15"/>
        <v>2959231613</v>
      </c>
      <c r="N42" s="70">
        <f t="shared" si="16"/>
        <v>3146846897.2641993</v>
      </c>
      <c r="O42" s="70">
        <f t="shared" si="6"/>
        <v>1096989913.7358007</v>
      </c>
    </row>
    <row r="43" spans="1:15" s="85" customFormat="1" x14ac:dyDescent="0.6">
      <c r="A43" s="60">
        <f t="shared" si="7"/>
        <v>40</v>
      </c>
      <c r="B43" s="85" t="s">
        <v>146</v>
      </c>
      <c r="C43" s="89">
        <f t="shared" si="8"/>
        <v>0.24399999999999999</v>
      </c>
      <c r="D43" s="89">
        <v>0.33</v>
      </c>
      <c r="E43" s="89">
        <f t="shared" si="11"/>
        <v>0.57400000000000007</v>
      </c>
      <c r="F43" s="959">
        <f>'State gasoline'!K43</f>
        <v>7.0000000000000007E-2</v>
      </c>
      <c r="G43" s="897">
        <v>64064000</v>
      </c>
      <c r="H43" s="156">
        <v>2.8919999999999999</v>
      </c>
      <c r="I43" s="156">
        <f t="shared" si="12"/>
        <v>2.3179999999999996</v>
      </c>
      <c r="J43" s="156">
        <f t="shared" si="13"/>
        <v>2.4802599999999999</v>
      </c>
      <c r="K43" s="952">
        <f t="shared" si="9"/>
        <v>0.57400000000000029</v>
      </c>
      <c r="L43" s="70">
        <f t="shared" si="14"/>
        <v>185273088</v>
      </c>
      <c r="M43" s="70">
        <f t="shared" si="15"/>
        <v>148500351.99999997</v>
      </c>
      <c r="N43" s="70">
        <f t="shared" si="16"/>
        <v>158895376.63999999</v>
      </c>
      <c r="O43" s="70">
        <f t="shared" si="6"/>
        <v>26377711.360000014</v>
      </c>
    </row>
    <row r="44" spans="1:15" s="85" customFormat="1" x14ac:dyDescent="0.6">
      <c r="A44" s="60">
        <f t="shared" si="7"/>
        <v>41</v>
      </c>
      <c r="B44" s="85" t="s">
        <v>186</v>
      </c>
      <c r="C44" s="89">
        <f t="shared" si="8"/>
        <v>0.24399999999999999</v>
      </c>
      <c r="D44" s="89">
        <v>0.16750000000000001</v>
      </c>
      <c r="E44" s="89">
        <f t="shared" si="11"/>
        <v>0.41149999999999998</v>
      </c>
      <c r="F44" s="959">
        <f>'State gasoline'!K44</f>
        <v>7.1300000000000002E-2</v>
      </c>
      <c r="G44" s="897">
        <v>751304000</v>
      </c>
      <c r="H44" s="156">
        <v>2.6680000000000001</v>
      </c>
      <c r="I44" s="156">
        <f t="shared" si="12"/>
        <v>2.2565</v>
      </c>
      <c r="J44" s="156">
        <f t="shared" si="13"/>
        <v>2.4173884499999998</v>
      </c>
      <c r="K44" s="952">
        <f t="shared" si="9"/>
        <v>0.4115000000000002</v>
      </c>
      <c r="L44" s="70">
        <f t="shared" si="14"/>
        <v>2004479072</v>
      </c>
      <c r="M44" s="70">
        <f t="shared" si="15"/>
        <v>1695317476</v>
      </c>
      <c r="N44" s="70">
        <f t="shared" si="16"/>
        <v>1816193612.0387998</v>
      </c>
      <c r="O44" s="70">
        <f t="shared" si="6"/>
        <v>188285459.96120024</v>
      </c>
    </row>
    <row r="45" spans="1:15" s="85" customFormat="1" x14ac:dyDescent="0.6">
      <c r="A45" s="60">
        <f t="shared" si="7"/>
        <v>42</v>
      </c>
      <c r="B45" s="85" t="s">
        <v>159</v>
      </c>
      <c r="C45" s="89">
        <f t="shared" si="8"/>
        <v>0.24399999999999999</v>
      </c>
      <c r="D45" s="89">
        <v>0.24</v>
      </c>
      <c r="E45" s="89">
        <f t="shared" si="11"/>
        <v>0.48399999999999999</v>
      </c>
      <c r="F45" s="959">
        <f>'State gasoline'!K45</f>
        <v>5.8299999999999998E-2</v>
      </c>
      <c r="G45" s="897">
        <v>230712000</v>
      </c>
      <c r="H45" s="156">
        <v>2.64</v>
      </c>
      <c r="I45" s="156">
        <f t="shared" si="12"/>
        <v>2.1560000000000001</v>
      </c>
      <c r="J45" s="156">
        <f t="shared" si="13"/>
        <v>2.2816948000000004</v>
      </c>
      <c r="K45" s="952">
        <f t="shared" si="9"/>
        <v>0.48399999999999999</v>
      </c>
      <c r="L45" s="70">
        <f t="shared" si="14"/>
        <v>609079680</v>
      </c>
      <c r="M45" s="70">
        <f t="shared" si="15"/>
        <v>497415072.00000006</v>
      </c>
      <c r="N45" s="70">
        <f t="shared" si="16"/>
        <v>526414370.69760007</v>
      </c>
      <c r="O45" s="70">
        <f t="shared" si="6"/>
        <v>82665309.302399933</v>
      </c>
    </row>
    <row r="46" spans="1:15" s="85" customFormat="1" x14ac:dyDescent="0.6">
      <c r="A46" s="60">
        <f t="shared" si="7"/>
        <v>43</v>
      </c>
      <c r="B46" s="85" t="s">
        <v>177</v>
      </c>
      <c r="C46" s="89">
        <f t="shared" si="8"/>
        <v>0.24399999999999999</v>
      </c>
      <c r="D46" s="89">
        <v>0.184</v>
      </c>
      <c r="E46" s="89">
        <f t="shared" si="11"/>
        <v>0.42799999999999999</v>
      </c>
      <c r="F46" s="959">
        <f>'State gasoline'!K46</f>
        <v>9.4500000000000001E-2</v>
      </c>
      <c r="G46" s="897">
        <v>970369000</v>
      </c>
      <c r="H46" s="156">
        <v>2.64</v>
      </c>
      <c r="I46" s="156">
        <f t="shared" si="12"/>
        <v>2.2120000000000002</v>
      </c>
      <c r="J46" s="156">
        <f t="shared" si="13"/>
        <v>2.4210340000000001</v>
      </c>
      <c r="K46" s="952">
        <f t="shared" si="9"/>
        <v>0.42799999999999994</v>
      </c>
      <c r="L46" s="70">
        <f t="shared" si="14"/>
        <v>2561774160</v>
      </c>
      <c r="M46" s="70">
        <f t="shared" si="15"/>
        <v>2146456228.0000002</v>
      </c>
      <c r="N46" s="70">
        <f t="shared" si="16"/>
        <v>2349296341.546</v>
      </c>
      <c r="O46" s="70">
        <f t="shared" si="6"/>
        <v>212477818.454</v>
      </c>
    </row>
    <row r="47" spans="1:15" s="85" customFormat="1" x14ac:dyDescent="0.6">
      <c r="A47" s="60">
        <f t="shared" si="7"/>
        <v>44</v>
      </c>
      <c r="B47" s="85" t="s">
        <v>180</v>
      </c>
      <c r="C47" s="89">
        <f t="shared" si="8"/>
        <v>0.24399999999999999</v>
      </c>
      <c r="D47" s="89">
        <v>0.2</v>
      </c>
      <c r="E47" s="89">
        <f t="shared" si="11"/>
        <v>0.44400000000000001</v>
      </c>
      <c r="F47" s="959">
        <f>'State gasoline'!K47</f>
        <v>8.0500000000000002E-2</v>
      </c>
      <c r="G47" s="897">
        <v>5042186000</v>
      </c>
      <c r="H47" s="156">
        <v>2.5760000000000001</v>
      </c>
      <c r="I47" s="156">
        <f t="shared" si="12"/>
        <v>2.1320000000000001</v>
      </c>
      <c r="J47" s="156">
        <f t="shared" si="13"/>
        <v>2.303626</v>
      </c>
      <c r="K47" s="952">
        <f t="shared" si="9"/>
        <v>0.44399999999999995</v>
      </c>
      <c r="L47" s="70">
        <f t="shared" si="14"/>
        <v>12988671136</v>
      </c>
      <c r="M47" s="70">
        <f t="shared" si="15"/>
        <v>10749940552</v>
      </c>
      <c r="N47" s="70">
        <f t="shared" si="16"/>
        <v>11615310766.435999</v>
      </c>
      <c r="O47" s="70">
        <f t="shared" si="6"/>
        <v>1373360369.5640011</v>
      </c>
    </row>
    <row r="48" spans="1:15" s="85" customFormat="1" x14ac:dyDescent="0.6">
      <c r="A48" s="60">
        <f t="shared" si="7"/>
        <v>45</v>
      </c>
      <c r="B48" s="85" t="s">
        <v>161</v>
      </c>
      <c r="C48" s="89">
        <f t="shared" si="8"/>
        <v>0.24399999999999999</v>
      </c>
      <c r="D48" s="89">
        <v>0.245</v>
      </c>
      <c r="E48" s="89">
        <f t="shared" si="11"/>
        <v>0.48899999999999999</v>
      </c>
      <c r="F48" s="959">
        <f>'State gasoline'!K48</f>
        <v>6.6799999999999998E-2</v>
      </c>
      <c r="G48" s="897">
        <v>451072000</v>
      </c>
      <c r="H48" s="156">
        <v>2.6739999999999999</v>
      </c>
      <c r="I48" s="156">
        <f t="shared" si="12"/>
        <v>2.1850000000000001</v>
      </c>
      <c r="J48" s="156">
        <f t="shared" si="13"/>
        <v>2.3309579999999999</v>
      </c>
      <c r="K48" s="952">
        <f t="shared" si="9"/>
        <v>0.48899999999999988</v>
      </c>
      <c r="L48" s="70">
        <f t="shared" si="14"/>
        <v>1206166528</v>
      </c>
      <c r="M48" s="70">
        <f t="shared" si="15"/>
        <v>985592320</v>
      </c>
      <c r="N48" s="70">
        <f t="shared" si="16"/>
        <v>1051429886.976</v>
      </c>
      <c r="O48" s="70">
        <f t="shared" si="6"/>
        <v>154736641.02400005</v>
      </c>
    </row>
    <row r="49" spans="1:16" s="85" customFormat="1" x14ac:dyDescent="0.6">
      <c r="A49" s="60">
        <f t="shared" si="7"/>
        <v>46</v>
      </c>
      <c r="B49" s="85" t="s">
        <v>156</v>
      </c>
      <c r="C49" s="89">
        <f t="shared" si="8"/>
        <v>0.24399999999999999</v>
      </c>
      <c r="D49" s="89">
        <v>0.32</v>
      </c>
      <c r="E49" s="89">
        <f t="shared" si="11"/>
        <v>0.56400000000000006</v>
      </c>
      <c r="F49" s="959">
        <f>'State gasoline'!K49</f>
        <v>6.1400000000000003E-2</v>
      </c>
      <c r="G49" s="897">
        <v>64609000</v>
      </c>
      <c r="H49" s="156">
        <v>2.8919999999999999</v>
      </c>
      <c r="I49" s="156">
        <f t="shared" si="12"/>
        <v>2.3279999999999998</v>
      </c>
      <c r="J49" s="156">
        <f t="shared" si="13"/>
        <v>2.4709391999999997</v>
      </c>
      <c r="K49" s="952">
        <f t="shared" si="9"/>
        <v>0.56400000000000006</v>
      </c>
      <c r="L49" s="70">
        <f t="shared" si="14"/>
        <v>186849228</v>
      </c>
      <c r="M49" s="70">
        <f t="shared" si="15"/>
        <v>150409752</v>
      </c>
      <c r="N49" s="70">
        <f t="shared" si="16"/>
        <v>159644910.77279997</v>
      </c>
      <c r="O49" s="70">
        <f t="shared" si="6"/>
        <v>27204317.227200031</v>
      </c>
    </row>
    <row r="50" spans="1:16" s="85" customFormat="1" x14ac:dyDescent="0.6">
      <c r="A50" s="60">
        <f t="shared" si="7"/>
        <v>47</v>
      </c>
      <c r="B50" s="85" t="s">
        <v>174</v>
      </c>
      <c r="C50" s="89">
        <f t="shared" si="8"/>
        <v>0.24399999999999999</v>
      </c>
      <c r="D50" s="89">
        <v>0.20199999999999999</v>
      </c>
      <c r="E50" s="89">
        <f t="shared" si="11"/>
        <v>0.44599999999999995</v>
      </c>
      <c r="F50" s="959">
        <f>'State gasoline'!K50</f>
        <v>5.6300000000000003E-2</v>
      </c>
      <c r="G50" s="897">
        <v>979623000</v>
      </c>
      <c r="H50" s="156">
        <v>2.6680000000000001</v>
      </c>
      <c r="I50" s="156">
        <f t="shared" si="12"/>
        <v>2.2220000000000004</v>
      </c>
      <c r="J50" s="156">
        <f t="shared" si="13"/>
        <v>2.3470986000000007</v>
      </c>
      <c r="K50" s="952">
        <f t="shared" si="9"/>
        <v>0.44599999999999973</v>
      </c>
      <c r="L50" s="70">
        <f t="shared" si="14"/>
        <v>2613634164</v>
      </c>
      <c r="M50" s="70">
        <f t="shared" si="15"/>
        <v>2176722306.0000005</v>
      </c>
      <c r="N50" s="70">
        <f t="shared" si="16"/>
        <v>2299271771.8278008</v>
      </c>
      <c r="O50" s="70">
        <f t="shared" si="6"/>
        <v>314362392.17219925</v>
      </c>
    </row>
    <row r="51" spans="1:16" s="85" customFormat="1" x14ac:dyDescent="0.6">
      <c r="A51" s="60">
        <f t="shared" si="7"/>
        <v>48</v>
      </c>
      <c r="B51" s="85" t="s">
        <v>139</v>
      </c>
      <c r="C51" s="89">
        <f t="shared" si="8"/>
        <v>0.24399999999999999</v>
      </c>
      <c r="D51" s="89">
        <v>0.375</v>
      </c>
      <c r="E51" s="89">
        <f t="shared" si="11"/>
        <v>0.61899999999999999</v>
      </c>
      <c r="F51" s="959">
        <f>'State gasoline'!K51</f>
        <v>8.8900000000000007E-2</v>
      </c>
      <c r="G51" s="897">
        <v>675752000</v>
      </c>
      <c r="H51" s="156">
        <v>2.7549999999999999</v>
      </c>
      <c r="I51" s="156">
        <f t="shared" si="12"/>
        <v>2.1360000000000001</v>
      </c>
      <c r="J51" s="156">
        <f t="shared" si="13"/>
        <v>2.3258904</v>
      </c>
      <c r="K51" s="952">
        <f t="shared" si="9"/>
        <v>0.61899999999999977</v>
      </c>
      <c r="L51" s="70">
        <f t="shared" si="14"/>
        <v>1861696760</v>
      </c>
      <c r="M51" s="70">
        <f t="shared" si="15"/>
        <v>1443406272</v>
      </c>
      <c r="N51" s="70">
        <f t="shared" si="16"/>
        <v>1571725089.5808001</v>
      </c>
      <c r="O51" s="70">
        <f t="shared" si="6"/>
        <v>289971670.41919994</v>
      </c>
    </row>
    <row r="52" spans="1:16" s="85" customFormat="1" x14ac:dyDescent="0.6">
      <c r="A52" s="60">
        <f t="shared" si="7"/>
        <v>49</v>
      </c>
      <c r="B52" s="85" t="s">
        <v>148</v>
      </c>
      <c r="C52" s="89">
        <f t="shared" si="8"/>
        <v>0.24399999999999999</v>
      </c>
      <c r="D52" s="89">
        <v>0.34600000000000003</v>
      </c>
      <c r="E52" s="89">
        <f t="shared" si="11"/>
        <v>0.59000000000000008</v>
      </c>
      <c r="F52" s="959">
        <f>'State gasoline'!K52</f>
        <v>6.0699999999999997E-2</v>
      </c>
      <c r="G52" s="897">
        <v>318704000</v>
      </c>
      <c r="H52" s="156">
        <v>2.6680000000000001</v>
      </c>
      <c r="I52" s="156">
        <f t="shared" si="12"/>
        <v>2.0780000000000003</v>
      </c>
      <c r="J52" s="156">
        <f t="shared" si="13"/>
        <v>2.2041346000000002</v>
      </c>
      <c r="K52" s="952">
        <f t="shared" si="9"/>
        <v>0.58999999999999986</v>
      </c>
      <c r="L52" s="70">
        <f t="shared" si="14"/>
        <v>850302272</v>
      </c>
      <c r="M52" s="70">
        <f t="shared" si="15"/>
        <v>662266912.00000012</v>
      </c>
      <c r="N52" s="70">
        <f t="shared" si="16"/>
        <v>702466513.55840003</v>
      </c>
      <c r="O52" s="70">
        <f t="shared" si="6"/>
        <v>147835758.44159997</v>
      </c>
    </row>
    <row r="53" spans="1:16" s="85" customFormat="1" x14ac:dyDescent="0.6">
      <c r="A53" s="60">
        <f t="shared" si="7"/>
        <v>50</v>
      </c>
      <c r="B53" s="85" t="s">
        <v>149</v>
      </c>
      <c r="C53" s="89">
        <f t="shared" si="8"/>
        <v>0.24399999999999999</v>
      </c>
      <c r="D53" s="89">
        <v>0.32899999999999996</v>
      </c>
      <c r="E53" s="89">
        <f t="shared" si="11"/>
        <v>0.57299999999999995</v>
      </c>
      <c r="F53" s="959">
        <f>'State gasoline'!K53</f>
        <v>5.4300000000000001E-2</v>
      </c>
      <c r="G53" s="897">
        <v>790900000</v>
      </c>
      <c r="H53" s="156">
        <v>2.64</v>
      </c>
      <c r="I53" s="156">
        <f t="shared" si="12"/>
        <v>2.0670000000000002</v>
      </c>
      <c r="J53" s="156">
        <f t="shared" si="13"/>
        <v>2.1792381000000001</v>
      </c>
      <c r="K53" s="952">
        <f t="shared" si="9"/>
        <v>0.57299999999999995</v>
      </c>
      <c r="L53" s="70">
        <f t="shared" si="14"/>
        <v>2087976000</v>
      </c>
      <c r="M53" s="70">
        <f t="shared" si="15"/>
        <v>1634790300.0000002</v>
      </c>
      <c r="N53" s="70">
        <f t="shared" si="16"/>
        <v>1723559413.29</v>
      </c>
      <c r="O53" s="70">
        <f t="shared" si="6"/>
        <v>364416586.71000004</v>
      </c>
    </row>
    <row r="54" spans="1:16" s="85" customFormat="1" x14ac:dyDescent="0.6">
      <c r="A54" s="60">
        <f t="shared" si="7"/>
        <v>51</v>
      </c>
      <c r="B54" s="85" t="s">
        <v>169</v>
      </c>
      <c r="C54" s="89">
        <f t="shared" si="8"/>
        <v>0.24399999999999999</v>
      </c>
      <c r="D54" s="89">
        <v>0.24</v>
      </c>
      <c r="E54" s="89">
        <f t="shared" si="11"/>
        <v>0.48399999999999999</v>
      </c>
      <c r="F54" s="959">
        <f>'State gasoline'!K54</f>
        <v>5.4699999999999999E-2</v>
      </c>
      <c r="G54" s="897">
        <v>342434000</v>
      </c>
      <c r="H54" s="156">
        <v>2.6739999999999999</v>
      </c>
      <c r="I54" s="156">
        <f t="shared" si="12"/>
        <v>2.19</v>
      </c>
      <c r="J54" s="156">
        <f t="shared" si="13"/>
        <v>2.309793</v>
      </c>
      <c r="K54" s="952">
        <f t="shared" si="9"/>
        <v>0.48399999999999999</v>
      </c>
      <c r="L54" s="70">
        <f t="shared" si="14"/>
        <v>915668516</v>
      </c>
      <c r="M54" s="70">
        <f t="shared" si="15"/>
        <v>749930460</v>
      </c>
      <c r="N54" s="70">
        <f t="shared" si="16"/>
        <v>790951656.16199994</v>
      </c>
      <c r="O54" s="70">
        <f t="shared" si="6"/>
        <v>124716859.83800006</v>
      </c>
    </row>
    <row r="55" spans="1:16" s="85" customFormat="1" x14ac:dyDescent="0.6">
      <c r="C55" s="89"/>
      <c r="D55" s="89"/>
      <c r="E55" s="89"/>
      <c r="F55" s="959"/>
      <c r="G55" s="913"/>
      <c r="H55" s="156"/>
      <c r="I55" s="156"/>
      <c r="J55" s="156"/>
      <c r="K55" s="952"/>
      <c r="L55" s="70"/>
      <c r="M55" s="70"/>
      <c r="N55" s="70"/>
    </row>
    <row r="56" spans="1:16" s="104" customFormat="1" x14ac:dyDescent="0.6">
      <c r="B56" s="104" t="s">
        <v>42</v>
      </c>
      <c r="C56" s="942"/>
      <c r="D56" s="942">
        <f>SUMPRODUCT(D4:D54,G4:G54)/G56</f>
        <v>0.26106299966255975</v>
      </c>
      <c r="E56" s="942"/>
      <c r="F56" s="959"/>
      <c r="G56" s="951">
        <f>SUM(G4:G55)</f>
        <v>39082476000</v>
      </c>
      <c r="H56" s="881">
        <v>2.7069999999999999</v>
      </c>
      <c r="I56" s="881"/>
      <c r="J56" s="881"/>
      <c r="K56" s="952"/>
      <c r="L56" s="593">
        <f>SUM(L4:L55)</f>
        <v>105623932697</v>
      </c>
      <c r="M56" s="593">
        <f>SUM(M4:M55)</f>
        <v>85884820134.200012</v>
      </c>
      <c r="N56" s="593">
        <f>SUM(N4:N55)</f>
        <v>92103214347.710617</v>
      </c>
      <c r="O56" s="593">
        <f>SUM(O4:O55)</f>
        <v>13520718349.289377</v>
      </c>
    </row>
    <row r="57" spans="1:16" s="104" customFormat="1" ht="15.9" thickBot="1" x14ac:dyDescent="0.65">
      <c r="A57" s="99"/>
      <c r="B57" s="99"/>
      <c r="C57" s="944"/>
      <c r="D57" s="944"/>
      <c r="E57" s="944"/>
      <c r="F57" s="960"/>
      <c r="G57" s="954"/>
      <c r="H57" s="237"/>
      <c r="I57" s="237"/>
      <c r="J57" s="237"/>
      <c r="K57" s="955"/>
      <c r="L57" s="944"/>
      <c r="M57" s="108"/>
      <c r="N57" s="944"/>
      <c r="O57" s="944"/>
      <c r="P57" s="942"/>
    </row>
    <row r="58" spans="1:16" s="85" customFormat="1" ht="15.9" thickTop="1" x14ac:dyDescent="0.6">
      <c r="C58" s="89"/>
      <c r="D58" s="89"/>
      <c r="E58" s="89"/>
      <c r="F58" s="174"/>
      <c r="H58" s="156"/>
      <c r="I58" s="156"/>
      <c r="J58" s="156"/>
      <c r="K58" s="156"/>
      <c r="L58" s="181"/>
      <c r="M58" s="70"/>
      <c r="N58" s="70"/>
    </row>
    <row r="59" spans="1:16" s="85" customFormat="1" x14ac:dyDescent="0.6">
      <c r="C59" s="89" t="s">
        <v>1746</v>
      </c>
      <c r="D59" s="89">
        <f>LARGE($D$4:$D$54,1)</f>
        <v>0.64200000000000002</v>
      </c>
      <c r="E59" s="89"/>
      <c r="F59" s="1672" t="s">
        <v>1746</v>
      </c>
      <c r="G59" s="957">
        <f>LARGE($G$4:$G$54,1)</f>
        <v>5042186000</v>
      </c>
      <c r="H59" s="156"/>
      <c r="I59" s="156"/>
      <c r="J59" s="156"/>
      <c r="K59" s="156"/>
      <c r="L59" s="70"/>
      <c r="O59" s="240" t="s">
        <v>504</v>
      </c>
    </row>
    <row r="60" spans="1:16" s="85" customFormat="1" x14ac:dyDescent="0.6">
      <c r="C60" s="89" t="s">
        <v>1744</v>
      </c>
      <c r="D60" s="89">
        <f>LARGE($D$4:$D$54,2)</f>
        <v>0.54500000000000004</v>
      </c>
      <c r="E60" s="89"/>
      <c r="F60" s="1672" t="s">
        <v>1744</v>
      </c>
      <c r="G60" s="957">
        <f>LARGE($G$4:$G$54,2)</f>
        <v>2834081000</v>
      </c>
      <c r="H60" s="156"/>
      <c r="I60" s="156"/>
      <c r="J60" s="156"/>
      <c r="K60" s="156"/>
      <c r="L60" s="70"/>
      <c r="M60" s="70" t="s">
        <v>26</v>
      </c>
      <c r="N60" s="70">
        <f>L56-M56</f>
        <v>19739112562.799988</v>
      </c>
      <c r="O60" s="881">
        <f>N60/$G$56</f>
        <v>0.50506299966255941</v>
      </c>
    </row>
    <row r="61" spans="1:16" s="85" customFormat="1" x14ac:dyDescent="0.6">
      <c r="C61" s="89" t="s">
        <v>1745</v>
      </c>
      <c r="D61" s="89">
        <f>LARGE($D$4:$D$54,3)</f>
        <v>0.38</v>
      </c>
      <c r="E61" s="89"/>
      <c r="F61" s="1672" t="s">
        <v>1745</v>
      </c>
      <c r="G61" s="957">
        <f>LARGE($G$4:$G$54,3)</f>
        <v>1637081000</v>
      </c>
      <c r="H61" s="156"/>
      <c r="I61" s="156"/>
      <c r="J61" s="156"/>
      <c r="K61" s="156"/>
      <c r="L61" s="70"/>
      <c r="M61" s="70" t="s">
        <v>654</v>
      </c>
      <c r="N61" s="70">
        <f>N56-M56</f>
        <v>6218394213.5106049</v>
      </c>
      <c r="O61" s="881">
        <f>N61/$G$56</f>
        <v>0.15910952554568458</v>
      </c>
    </row>
    <row r="62" spans="1:16" s="85" customFormat="1" x14ac:dyDescent="0.6">
      <c r="C62" s="89"/>
      <c r="D62" s="89"/>
      <c r="E62" s="89"/>
      <c r="F62" s="174"/>
      <c r="H62" s="156"/>
      <c r="I62" s="156"/>
      <c r="J62" s="156"/>
      <c r="K62" s="156"/>
      <c r="L62" s="70"/>
      <c r="M62" s="70" t="s">
        <v>602</v>
      </c>
      <c r="N62" s="70">
        <f>N60-N61</f>
        <v>13520718349.289383</v>
      </c>
      <c r="O62" s="881">
        <f>N62/$G$56</f>
        <v>0.34595347411687488</v>
      </c>
    </row>
    <row r="63" spans="1:16" s="85" customFormat="1" x14ac:dyDescent="0.6">
      <c r="C63" s="89"/>
      <c r="D63" s="89"/>
      <c r="E63" s="89"/>
      <c r="F63" s="174"/>
      <c r="H63" s="156"/>
      <c r="I63" s="156"/>
      <c r="J63" s="156"/>
      <c r="K63" s="156"/>
      <c r="L63" s="70"/>
      <c r="M63" s="70"/>
      <c r="O63" s="70"/>
    </row>
    <row r="64" spans="1:16" s="85" customFormat="1" x14ac:dyDescent="0.6">
      <c r="C64" s="89"/>
      <c r="D64" s="89"/>
      <c r="E64" s="89"/>
      <c r="F64" s="174"/>
      <c r="H64" s="156"/>
      <c r="I64" s="156"/>
      <c r="J64" s="156"/>
      <c r="K64" s="156"/>
      <c r="L64" s="70"/>
      <c r="M64" s="70" t="s">
        <v>686</v>
      </c>
      <c r="O64" s="506">
        <f>M56/G56</f>
        <v>2.1975276114594178</v>
      </c>
    </row>
    <row r="65" spans="3:16" s="85" customFormat="1" x14ac:dyDescent="0.6">
      <c r="C65" s="89"/>
      <c r="D65" s="89"/>
      <c r="E65" s="89"/>
      <c r="F65" s="174"/>
      <c r="H65" s="156"/>
      <c r="I65" s="156"/>
      <c r="J65" s="156"/>
      <c r="K65" s="156"/>
      <c r="L65" s="70"/>
      <c r="M65" s="70" t="s">
        <v>645</v>
      </c>
      <c r="O65" s="506">
        <f>L56/G56</f>
        <v>2.7025906111219768</v>
      </c>
    </row>
    <row r="66" spans="3:16" s="85" customFormat="1" x14ac:dyDescent="0.6">
      <c r="C66" s="89"/>
      <c r="D66" s="89"/>
      <c r="E66" s="89"/>
      <c r="F66" s="174"/>
      <c r="H66" s="156"/>
      <c r="I66" s="156"/>
      <c r="J66" s="156"/>
      <c r="K66" s="156"/>
      <c r="L66" s="70"/>
      <c r="M66" s="70"/>
      <c r="N66" s="70"/>
    </row>
    <row r="67" spans="3:16" s="85" customFormat="1" x14ac:dyDescent="0.6">
      <c r="C67" s="89"/>
      <c r="D67" s="89"/>
      <c r="E67" s="89"/>
      <c r="F67" s="174"/>
      <c r="H67" s="156"/>
      <c r="I67" s="156"/>
      <c r="J67" s="156"/>
      <c r="K67" s="156"/>
      <c r="L67" s="70"/>
      <c r="M67" s="17"/>
      <c r="N67" s="1" t="s">
        <v>180</v>
      </c>
      <c r="O67" s="17">
        <f>LARGE(O4:O54,1)</f>
        <v>1373360369.5640011</v>
      </c>
      <c r="P67" s="826"/>
    </row>
    <row r="68" spans="3:16" s="85" customFormat="1" x14ac:dyDescent="0.6">
      <c r="C68" s="89"/>
      <c r="D68" s="89"/>
      <c r="E68" s="89"/>
      <c r="F68" s="174"/>
      <c r="H68" s="156"/>
      <c r="I68" s="156"/>
      <c r="J68" s="156"/>
      <c r="K68" s="156"/>
      <c r="L68" s="70"/>
      <c r="M68" s="1"/>
      <c r="N68" s="1" t="s">
        <v>142</v>
      </c>
      <c r="O68" s="70">
        <f>LARGE(O4:O54,2)</f>
        <v>1196547864.5675993</v>
      </c>
      <c r="P68" s="17"/>
    </row>
    <row r="69" spans="3:16" s="85" customFormat="1" x14ac:dyDescent="0.6">
      <c r="C69" s="89"/>
      <c r="D69" s="89"/>
      <c r="E69" s="89"/>
      <c r="F69" s="174"/>
      <c r="H69" s="156"/>
      <c r="I69" s="156"/>
      <c r="J69" s="156"/>
      <c r="K69" s="156"/>
      <c r="L69" s="70"/>
      <c r="M69" s="1"/>
      <c r="N69" s="1" t="s">
        <v>138</v>
      </c>
      <c r="O69" s="70">
        <f>LARGE(O4:O54,3)</f>
        <v>1096989913.7358007</v>
      </c>
      <c r="P69" s="17"/>
    </row>
    <row r="70" spans="3:16" s="85" customFormat="1" x14ac:dyDescent="0.6">
      <c r="C70" s="89"/>
      <c r="D70" s="89"/>
      <c r="E70" s="89"/>
      <c r="F70" s="174"/>
      <c r="H70" s="156"/>
      <c r="I70" s="156"/>
      <c r="J70" s="156"/>
      <c r="K70" s="156"/>
      <c r="L70" s="70"/>
      <c r="M70" s="1"/>
      <c r="N70" s="1"/>
      <c r="O70" s="70"/>
      <c r="P70" s="17"/>
    </row>
    <row r="71" spans="3:16" s="85" customFormat="1" x14ac:dyDescent="0.6">
      <c r="C71" s="89"/>
      <c r="D71" s="89"/>
      <c r="E71" s="89"/>
      <c r="F71" s="174"/>
      <c r="H71" s="156"/>
      <c r="I71" s="156"/>
      <c r="J71" s="156"/>
      <c r="K71" s="156"/>
      <c r="L71" s="70"/>
      <c r="M71" s="1"/>
      <c r="N71" s="1" t="s">
        <v>852</v>
      </c>
      <c r="O71" s="891">
        <f>SUM(O4:O54)</f>
        <v>13520718349.289377</v>
      </c>
      <c r="P71" s="929">
        <v>51</v>
      </c>
    </row>
    <row r="72" spans="3:16" s="85" customFormat="1" x14ac:dyDescent="0.6">
      <c r="C72" s="89"/>
      <c r="D72" s="89"/>
      <c r="E72" s="89"/>
      <c r="F72" s="174"/>
      <c r="H72" s="156"/>
      <c r="I72" s="156"/>
      <c r="J72" s="156"/>
      <c r="K72" s="156"/>
      <c r="L72" s="70"/>
      <c r="M72" s="1"/>
      <c r="N72" s="1" t="s">
        <v>853</v>
      </c>
      <c r="O72" s="891">
        <v>0</v>
      </c>
      <c r="P72" s="929">
        <v>0</v>
      </c>
    </row>
    <row r="73" spans="3:16" s="85" customFormat="1" x14ac:dyDescent="0.6">
      <c r="C73" s="89"/>
      <c r="D73" s="89"/>
      <c r="E73" s="89"/>
      <c r="F73" s="174"/>
      <c r="H73" s="156"/>
      <c r="I73" s="156"/>
      <c r="J73" s="156"/>
      <c r="K73" s="156"/>
      <c r="L73" s="70"/>
      <c r="M73" s="1"/>
      <c r="N73" s="1"/>
      <c r="O73" s="70"/>
      <c r="P73" s="17"/>
    </row>
    <row r="74" spans="3:16" s="85" customFormat="1" x14ac:dyDescent="0.6">
      <c r="C74" s="89"/>
      <c r="D74" s="89"/>
      <c r="E74" s="89"/>
      <c r="F74" s="174"/>
      <c r="H74" s="156"/>
      <c r="I74" s="156"/>
      <c r="J74" s="156"/>
      <c r="K74" s="156"/>
      <c r="L74" s="70"/>
      <c r="M74" s="1"/>
      <c r="N74" s="1"/>
      <c r="O74" s="891"/>
      <c r="P74" s="17"/>
    </row>
    <row r="75" spans="3:16" s="85" customFormat="1" x14ac:dyDescent="0.6">
      <c r="C75" s="89"/>
      <c r="D75" s="89"/>
      <c r="E75" s="89"/>
      <c r="F75" s="174"/>
      <c r="H75" s="156"/>
      <c r="I75" s="156"/>
      <c r="J75" s="156"/>
      <c r="K75" s="156"/>
      <c r="L75" s="70"/>
      <c r="M75" s="1"/>
    </row>
    <row r="76" spans="3:16" s="85" customFormat="1" x14ac:dyDescent="0.6">
      <c r="C76" s="89"/>
      <c r="D76" s="89"/>
      <c r="E76" s="89"/>
      <c r="F76" s="174"/>
      <c r="H76" s="156"/>
      <c r="I76" s="156"/>
      <c r="J76" s="156"/>
      <c r="K76" s="156"/>
      <c r="L76" s="70"/>
      <c r="M76" s="1"/>
    </row>
    <row r="77" spans="3:16" s="85" customFormat="1" x14ac:dyDescent="0.6">
      <c r="C77" s="89"/>
      <c r="D77" s="89"/>
      <c r="E77" s="89"/>
      <c r="F77" s="174"/>
      <c r="H77" s="156"/>
      <c r="I77" s="156"/>
      <c r="J77" s="156"/>
      <c r="K77" s="156"/>
      <c r="L77" s="70"/>
      <c r="M77" s="17"/>
      <c r="N77" s="17"/>
      <c r="O77" s="891"/>
      <c r="P77" s="1"/>
    </row>
    <row r="78" spans="3:16" s="85" customFormat="1" x14ac:dyDescent="0.6">
      <c r="C78" s="89"/>
      <c r="D78" s="89"/>
      <c r="E78" s="89"/>
      <c r="F78" s="174"/>
      <c r="H78" s="156"/>
      <c r="I78" s="156"/>
      <c r="J78" s="156"/>
      <c r="K78" s="156"/>
      <c r="L78" s="70"/>
      <c r="M78" s="17"/>
      <c r="N78" s="17"/>
      <c r="O78" s="891"/>
      <c r="P78" s="1"/>
    </row>
    <row r="79" spans="3:16" s="85" customFormat="1" x14ac:dyDescent="0.6">
      <c r="C79" s="89"/>
      <c r="D79" s="89"/>
      <c r="E79" s="89"/>
      <c r="F79" s="174"/>
      <c r="H79" s="156"/>
      <c r="I79" s="156"/>
      <c r="J79" s="156"/>
      <c r="K79" s="156"/>
      <c r="L79" s="70"/>
      <c r="M79" s="17"/>
      <c r="N79" s="17"/>
      <c r="O79" s="891"/>
      <c r="P79" s="1"/>
    </row>
    <row r="80" spans="3:16" s="85" customFormat="1" x14ac:dyDescent="0.6">
      <c r="C80" s="89"/>
      <c r="D80" s="89"/>
      <c r="E80" s="89"/>
      <c r="F80" s="174"/>
      <c r="H80" s="156"/>
      <c r="I80" s="156"/>
      <c r="J80" s="156"/>
      <c r="K80" s="156"/>
      <c r="L80" s="70"/>
      <c r="M80" s="17"/>
      <c r="N80" s="17"/>
      <c r="O80" s="70"/>
      <c r="P80" s="1"/>
    </row>
    <row r="81" spans="3:14" s="85" customFormat="1" x14ac:dyDescent="0.6">
      <c r="C81" s="89"/>
      <c r="D81" s="89"/>
      <c r="E81" s="89"/>
      <c r="F81" s="174"/>
      <c r="H81" s="156"/>
      <c r="I81" s="156"/>
      <c r="J81" s="156"/>
      <c r="K81" s="156"/>
      <c r="L81" s="70"/>
      <c r="M81" s="70"/>
      <c r="N81" s="70"/>
    </row>
    <row r="82" spans="3:14" s="85" customFormat="1" x14ac:dyDescent="0.6">
      <c r="C82" s="89"/>
      <c r="D82" s="89"/>
      <c r="E82" s="89"/>
      <c r="F82" s="174"/>
      <c r="H82" s="156"/>
      <c r="I82" s="156"/>
      <c r="J82" s="156"/>
      <c r="K82" s="156"/>
      <c r="L82" s="70"/>
      <c r="M82" s="70"/>
      <c r="N82" s="70"/>
    </row>
    <row r="83" spans="3:14" s="85" customFormat="1" x14ac:dyDescent="0.6">
      <c r="C83" s="89"/>
      <c r="D83" s="89"/>
      <c r="E83" s="89"/>
      <c r="F83" s="174"/>
      <c r="H83" s="156"/>
      <c r="I83" s="156"/>
      <c r="J83" s="156"/>
      <c r="K83" s="156"/>
      <c r="L83" s="70"/>
      <c r="M83" s="70"/>
      <c r="N83" s="70"/>
    </row>
    <row r="84" spans="3:14" s="85" customFormat="1" x14ac:dyDescent="0.6">
      <c r="C84" s="89"/>
      <c r="D84" s="89"/>
      <c r="E84" s="89"/>
      <c r="F84" s="174"/>
      <c r="H84" s="156"/>
      <c r="I84" s="156"/>
      <c r="J84" s="156"/>
      <c r="K84" s="156"/>
      <c r="L84" s="70"/>
      <c r="M84" s="70"/>
      <c r="N84" s="70"/>
    </row>
    <row r="85" spans="3:14" s="85" customFormat="1" x14ac:dyDescent="0.6">
      <c r="C85" s="89"/>
      <c r="D85" s="89"/>
      <c r="E85" s="89"/>
      <c r="F85" s="174"/>
      <c r="H85" s="156"/>
      <c r="I85" s="156"/>
      <c r="J85" s="156"/>
      <c r="K85" s="156"/>
      <c r="L85" s="70"/>
      <c r="M85" s="70"/>
      <c r="N85" s="70"/>
    </row>
    <row r="86" spans="3:14" s="85" customFormat="1" x14ac:dyDescent="0.6">
      <c r="C86" s="89"/>
      <c r="D86" s="89"/>
      <c r="E86" s="89"/>
      <c r="F86" s="174"/>
      <c r="H86" s="156"/>
      <c r="I86" s="156"/>
      <c r="J86" s="156"/>
      <c r="K86" s="156"/>
      <c r="L86" s="70"/>
      <c r="M86" s="70"/>
      <c r="N86" s="70"/>
    </row>
  </sheetData>
  <sortState xmlns:xlrd2="http://schemas.microsoft.com/office/spreadsheetml/2017/richdata2" ref="B4:L54">
    <sortCondition ref="B4:B54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Z7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5" style="2" customWidth="1"/>
    <col min="2" max="2" width="23.59765625" style="1" customWidth="1"/>
    <col min="3" max="3" width="9.5" style="13" bestFit="1" customWidth="1"/>
    <col min="4" max="4" width="16.09765625" style="13" bestFit="1" customWidth="1"/>
    <col min="5" max="5" width="10.5" style="55" customWidth="1"/>
    <col min="6" max="6" width="10.84765625" style="7" bestFit="1" customWidth="1"/>
    <col min="7" max="7" width="11.09765625" style="1" bestFit="1" customWidth="1"/>
    <col min="8" max="8" width="11.09765625" style="10" bestFit="1" customWidth="1"/>
    <col min="9" max="9" width="12.5" style="411" bestFit="1" customWidth="1"/>
    <col min="10" max="10" width="9.34765625" style="10" bestFit="1" customWidth="1"/>
    <col min="11" max="11" width="9.5" style="28" customWidth="1"/>
    <col min="12" max="12" width="9.5" style="331" customWidth="1"/>
    <col min="13" max="14" width="10.34765625" style="10" customWidth="1"/>
    <col min="15" max="15" width="15" style="271" bestFit="1" customWidth="1"/>
    <col min="16" max="16" width="9.5" style="271" customWidth="1"/>
    <col min="17" max="17" width="15.84765625" style="271" customWidth="1"/>
    <col min="18" max="18" width="9.5" style="10" customWidth="1"/>
    <col min="19" max="19" width="16" style="70" bestFit="1" customWidth="1"/>
    <col min="20" max="20" width="19.59765625" style="57" bestFit="1" customWidth="1"/>
    <col min="21" max="21" width="15" style="17" bestFit="1" customWidth="1"/>
    <col min="22" max="22" width="17.5" style="17" bestFit="1" customWidth="1"/>
    <col min="23" max="23" width="10.59765625" style="10" bestFit="1" customWidth="1"/>
    <col min="24" max="24" width="17.5" style="17" bestFit="1" customWidth="1"/>
    <col min="25" max="16384" width="10.84765625" style="1"/>
  </cols>
  <sheetData>
    <row r="1" spans="1:24" x14ac:dyDescent="0.6">
      <c r="A1" s="24" t="s">
        <v>655</v>
      </c>
      <c r="C1" s="19" t="s">
        <v>855</v>
      </c>
      <c r="E1" s="107"/>
      <c r="J1" s="55"/>
    </row>
    <row r="2" spans="1:24" s="2" customFormat="1" x14ac:dyDescent="0.6">
      <c r="C2" s="14" t="s">
        <v>24</v>
      </c>
      <c r="D2" s="14"/>
      <c r="E2" s="56"/>
      <c r="F2" s="8" t="s">
        <v>87</v>
      </c>
      <c r="G2" s="11" t="s">
        <v>638</v>
      </c>
      <c r="H2" s="11" t="s">
        <v>638</v>
      </c>
      <c r="I2" s="455" t="s">
        <v>627</v>
      </c>
      <c r="J2" s="11" t="s">
        <v>627</v>
      </c>
      <c r="K2" s="71" t="s">
        <v>194</v>
      </c>
      <c r="L2" s="332" t="s">
        <v>194</v>
      </c>
      <c r="M2" s="11" t="s">
        <v>194</v>
      </c>
      <c r="N2" s="11" t="s">
        <v>650</v>
      </c>
      <c r="O2" s="272" t="s">
        <v>397</v>
      </c>
      <c r="P2" s="272" t="s">
        <v>881</v>
      </c>
      <c r="Q2" s="272" t="s">
        <v>1747</v>
      </c>
      <c r="R2" s="11" t="s">
        <v>42</v>
      </c>
      <c r="S2" s="114"/>
      <c r="T2" s="58"/>
      <c r="U2" s="18" t="s">
        <v>42</v>
      </c>
      <c r="V2" s="18"/>
      <c r="W2" s="11" t="s">
        <v>645</v>
      </c>
      <c r="X2" s="18"/>
    </row>
    <row r="3" spans="1:24" s="2" customFormat="1" x14ac:dyDescent="0.6">
      <c r="C3" s="14" t="s">
        <v>94</v>
      </c>
      <c r="D3" s="14" t="s">
        <v>25</v>
      </c>
      <c r="E3" s="56" t="s">
        <v>41</v>
      </c>
      <c r="F3" s="8" t="s">
        <v>22</v>
      </c>
      <c r="G3" s="11" t="s">
        <v>649</v>
      </c>
      <c r="H3" s="11" t="s">
        <v>639</v>
      </c>
      <c r="I3" s="6" t="s">
        <v>661</v>
      </c>
      <c r="J3" s="11" t="s">
        <v>606</v>
      </c>
      <c r="K3" s="71" t="s">
        <v>84</v>
      </c>
      <c r="L3" s="332" t="s">
        <v>651</v>
      </c>
      <c r="M3" s="11" t="s">
        <v>652</v>
      </c>
      <c r="N3" s="11" t="s">
        <v>403</v>
      </c>
      <c r="O3" s="272" t="s">
        <v>79</v>
      </c>
      <c r="P3" s="272" t="s">
        <v>79</v>
      </c>
      <c r="Q3" s="272" t="s">
        <v>85</v>
      </c>
      <c r="R3" s="11" t="s">
        <v>198</v>
      </c>
      <c r="S3" s="114" t="s">
        <v>602</v>
      </c>
      <c r="T3" s="58" t="s">
        <v>76</v>
      </c>
      <c r="U3" s="18" t="s">
        <v>77</v>
      </c>
      <c r="V3" s="18" t="s">
        <v>34</v>
      </c>
      <c r="W3" s="11" t="s">
        <v>639</v>
      </c>
      <c r="X3" s="18" t="s">
        <v>642</v>
      </c>
    </row>
    <row r="4" spans="1:24" x14ac:dyDescent="0.6">
      <c r="A4" s="61">
        <v>1</v>
      </c>
      <c r="B4" s="44" t="s">
        <v>37</v>
      </c>
      <c r="C4" s="290">
        <v>7421</v>
      </c>
      <c r="D4" s="345">
        <f>C4*Assumptions!$C$16</f>
        <v>2325147720</v>
      </c>
      <c r="E4" s="399">
        <v>1</v>
      </c>
      <c r="F4" s="297">
        <f>Assumptions!$C$115</f>
        <v>3.7854100000000002</v>
      </c>
      <c r="G4" s="389"/>
      <c r="H4" s="301">
        <f>'State Res Dist'!Q64</f>
        <v>2.3622175317746499</v>
      </c>
      <c r="I4" s="452"/>
      <c r="J4" s="306">
        <f>'State Res Dist'!Q60</f>
        <v>3.1614975059036307E-2</v>
      </c>
      <c r="K4" s="329"/>
      <c r="L4" s="329">
        <f>K4*H4</f>
        <v>0</v>
      </c>
      <c r="M4" s="329">
        <f>L4*I4</f>
        <v>0</v>
      </c>
      <c r="N4" s="313"/>
      <c r="O4" s="314">
        <f>'State Res Dist'!Q61*D4</f>
        <v>359607671.82034868</v>
      </c>
      <c r="P4" s="1053">
        <f>J4+N4</f>
        <v>3.1614975059036307E-2</v>
      </c>
      <c r="Q4" s="1047">
        <f>P4*D4</f>
        <v>73509487.176375136</v>
      </c>
      <c r="R4" s="310">
        <f>'State Res Dist'!Q62</f>
        <v>-0.12304516490847883</v>
      </c>
      <c r="S4" s="366">
        <f>Q4-O4</f>
        <v>-286098184.64397353</v>
      </c>
      <c r="T4" s="336">
        <f>-'OECD distillate subsidies'!D2</f>
        <v>-367962884</v>
      </c>
      <c r="U4" s="342">
        <f>T4*E4</f>
        <v>-367962884</v>
      </c>
      <c r="V4" s="111">
        <f>S4+U4</f>
        <v>-654061068.64397359</v>
      </c>
      <c r="W4" s="281">
        <f t="shared" ref="W4:W34" si="0">(H4+J4)*(1+K4)</f>
        <v>2.3938325068336863</v>
      </c>
      <c r="X4" s="342">
        <f t="shared" ref="X4:X26" si="1">W4*D4+U4</f>
        <v>5198051311.32623</v>
      </c>
    </row>
    <row r="5" spans="1:24" s="2" customFormat="1" x14ac:dyDescent="0.6">
      <c r="A5" s="40" t="s">
        <v>394</v>
      </c>
      <c r="B5" s="40"/>
      <c r="C5" s="356"/>
      <c r="D5" s="346"/>
      <c r="E5" s="418"/>
      <c r="F5" s="298"/>
      <c r="G5" s="385"/>
      <c r="H5" s="302"/>
      <c r="I5" s="456"/>
      <c r="J5" s="307"/>
      <c r="K5" s="358"/>
      <c r="L5" s="333"/>
      <c r="M5" s="316"/>
      <c r="N5" s="316"/>
      <c r="O5" s="317"/>
      <c r="P5" s="1051"/>
      <c r="Q5" s="1052"/>
      <c r="R5" s="311"/>
      <c r="S5" s="367"/>
      <c r="T5" s="338"/>
      <c r="U5" s="343"/>
      <c r="V5" s="165"/>
      <c r="W5" s="316"/>
      <c r="X5" s="343"/>
    </row>
    <row r="6" spans="1:24" x14ac:dyDescent="0.6">
      <c r="A6" s="46">
        <f>A4+1</f>
        <v>2</v>
      </c>
      <c r="B6" s="44" t="s">
        <v>0</v>
      </c>
      <c r="C6" s="290">
        <v>2511</v>
      </c>
      <c r="D6" s="345">
        <f>C6*Assumptions!$C$16</f>
        <v>786746520</v>
      </c>
      <c r="E6" s="391">
        <f>Assumptions!$H$3</f>
        <v>1.1863330000000001</v>
      </c>
      <c r="F6" s="297">
        <f>Assumptions!$C$115</f>
        <v>3.7854100000000002</v>
      </c>
      <c r="G6" s="422">
        <v>0.38900000000000001</v>
      </c>
      <c r="H6" s="301">
        <f t="shared" ref="H6:H26" si="2">G6*E6*F6</f>
        <v>1.7469043957951702</v>
      </c>
      <c r="I6" s="472">
        <v>1.8510000000000002E-2</v>
      </c>
      <c r="J6" s="286">
        <f>I6*E6*F6</f>
        <v>8.312390839632032E-2</v>
      </c>
      <c r="K6" s="322">
        <v>0.21</v>
      </c>
      <c r="L6" s="329">
        <f t="shared" ref="L6:L26" si="3">K6*H6</f>
        <v>0.36684992311698572</v>
      </c>
      <c r="M6" s="281">
        <f t="shared" ref="M6:M26" si="4">K6*J6</f>
        <v>1.7456020763227265E-2</v>
      </c>
      <c r="N6" s="281">
        <f>M6+L6</f>
        <v>0.384305943880213</v>
      </c>
      <c r="O6" s="314">
        <f t="shared" ref="O6:O26" si="5">L6*D6</f>
        <v>288617900.37455606</v>
      </c>
      <c r="P6" s="1053">
        <f t="shared" ref="P6:P39" si="6">J6+N6</f>
        <v>0.46742985227653333</v>
      </c>
      <c r="Q6" s="1047">
        <f t="shared" ref="Q6:Q65" si="7">P6*D6</f>
        <v>367748809.62267667</v>
      </c>
      <c r="R6" s="268">
        <f t="shared" ref="R6:R26" si="8">M6+J6</f>
        <v>0.10057992915954758</v>
      </c>
      <c r="S6" s="366">
        <f t="shared" ref="S6:S26" si="9">D6*R6</f>
        <v>79130909.248120591</v>
      </c>
      <c r="T6" s="336">
        <f>-'OECD distillate subsidies'!D51</f>
        <v>-1454640500</v>
      </c>
      <c r="U6" s="342">
        <f t="shared" ref="U6:U26" si="10">T6*E6</f>
        <v>-1725688028.2865002</v>
      </c>
      <c r="V6" s="111">
        <f t="shared" ref="V6:V26" si="11">S6+U6</f>
        <v>-1646557119.0383797</v>
      </c>
      <c r="W6" s="281">
        <f t="shared" si="0"/>
        <v>2.2143342480717032</v>
      </c>
      <c r="X6" s="342">
        <f t="shared" si="1"/>
        <v>16431735.500729084</v>
      </c>
    </row>
    <row r="7" spans="1:24" x14ac:dyDescent="0.6">
      <c r="A7" s="46">
        <f>A6+1</f>
        <v>3</v>
      </c>
      <c r="B7" s="44" t="s">
        <v>1</v>
      </c>
      <c r="C7" s="290">
        <v>0</v>
      </c>
      <c r="D7" s="345">
        <f>C7*Assumptions!$C$16</f>
        <v>0</v>
      </c>
      <c r="E7" s="391">
        <f>Assumptions!$H$15</f>
        <v>4.5997000000000003E-2</v>
      </c>
      <c r="F7" s="297">
        <f>Assumptions!$C$115</f>
        <v>3.7854100000000002</v>
      </c>
      <c r="G7" s="386">
        <v>11.762</v>
      </c>
      <c r="H7" s="301">
        <f t="shared" si="2"/>
        <v>2.0479700793427402</v>
      </c>
      <c r="I7" s="474">
        <v>0.66</v>
      </c>
      <c r="J7" s="286">
        <f t="shared" ref="J7:J39" si="12">I7*E7*F7</f>
        <v>0.11491755248820001</v>
      </c>
      <c r="K7" s="322">
        <v>0.21</v>
      </c>
      <c r="L7" s="329">
        <f t="shared" si="3"/>
        <v>0.43007371666197541</v>
      </c>
      <c r="M7" s="281">
        <f t="shared" si="4"/>
        <v>2.4132686022522002E-2</v>
      </c>
      <c r="N7" s="281">
        <f t="shared" ref="N7:N39" si="13">M7+L7</f>
        <v>0.45420640268449741</v>
      </c>
      <c r="O7" s="314">
        <f t="shared" si="5"/>
        <v>0</v>
      </c>
      <c r="P7" s="1053">
        <f t="shared" si="6"/>
        <v>0.56912395517269743</v>
      </c>
      <c r="Q7" s="1047">
        <f t="shared" si="7"/>
        <v>0</v>
      </c>
      <c r="R7" s="268">
        <f t="shared" si="8"/>
        <v>0.13905023851072201</v>
      </c>
      <c r="S7" s="366">
        <f t="shared" si="9"/>
        <v>0</v>
      </c>
      <c r="T7" s="336">
        <f>-'OECD distillate subsidies'!D60</f>
        <v>0</v>
      </c>
      <c r="U7" s="342">
        <f t="shared" si="10"/>
        <v>0</v>
      </c>
      <c r="V7" s="111">
        <f t="shared" si="11"/>
        <v>0</v>
      </c>
      <c r="W7" s="281">
        <f t="shared" si="0"/>
        <v>2.6170940345154374</v>
      </c>
      <c r="X7" s="342">
        <f t="shared" si="1"/>
        <v>0</v>
      </c>
    </row>
    <row r="8" spans="1:24" x14ac:dyDescent="0.6">
      <c r="A8" s="46">
        <f t="shared" ref="A8:A26" si="14">A7+1</f>
        <v>4</v>
      </c>
      <c r="B8" s="44" t="s">
        <v>2</v>
      </c>
      <c r="C8" s="290">
        <v>197</v>
      </c>
      <c r="D8" s="345">
        <f>C8*Assumptions!$C$16</f>
        <v>61724040</v>
      </c>
      <c r="E8" s="391">
        <f>Assumptions!$H$16</f>
        <v>0.15934999999999999</v>
      </c>
      <c r="F8" s="297">
        <f>Assumptions!$C$115</f>
        <v>3.7854100000000002</v>
      </c>
      <c r="G8" s="423">
        <v>4.5999999999999996</v>
      </c>
      <c r="H8" s="301">
        <f t="shared" si="2"/>
        <v>2.7747433840999998</v>
      </c>
      <c r="I8" s="1147">
        <v>2.4529999999999998</v>
      </c>
      <c r="J8" s="286">
        <f t="shared" si="12"/>
        <v>1.4796620698254999</v>
      </c>
      <c r="K8" s="322">
        <v>0.25</v>
      </c>
      <c r="L8" s="329">
        <f t="shared" si="3"/>
        <v>0.69368584602499994</v>
      </c>
      <c r="M8" s="281">
        <f t="shared" si="4"/>
        <v>0.36991551745637496</v>
      </c>
      <c r="N8" s="281">
        <f t="shared" si="13"/>
        <v>1.063601363481375</v>
      </c>
      <c r="O8" s="314">
        <f t="shared" si="5"/>
        <v>42817092.90748094</v>
      </c>
      <c r="P8" s="1053">
        <f t="shared" si="6"/>
        <v>2.5432634333068749</v>
      </c>
      <c r="Q8" s="1047">
        <f t="shared" si="7"/>
        <v>156980493.88797086</v>
      </c>
      <c r="R8" s="268">
        <f t="shared" si="8"/>
        <v>1.8495775872818747</v>
      </c>
      <c r="S8" s="366">
        <f t="shared" si="9"/>
        <v>114163400.98048992</v>
      </c>
      <c r="T8" s="336">
        <f>-'OECD distillate subsidies'!D63</f>
        <v>0</v>
      </c>
      <c r="U8" s="342">
        <f t="shared" si="10"/>
        <v>0</v>
      </c>
      <c r="V8" s="111">
        <f t="shared" si="11"/>
        <v>114163400.98048992</v>
      </c>
      <c r="W8" s="281">
        <f t="shared" si="0"/>
        <v>5.3180068174068751</v>
      </c>
      <c r="X8" s="342">
        <f t="shared" si="1"/>
        <v>328248865.51789463</v>
      </c>
    </row>
    <row r="9" spans="1:24" x14ac:dyDescent="0.6">
      <c r="A9" s="46">
        <f t="shared" si="14"/>
        <v>5</v>
      </c>
      <c r="B9" s="44" t="s">
        <v>3</v>
      </c>
      <c r="C9" s="290">
        <v>10787</v>
      </c>
      <c r="D9" s="345">
        <f>C9*Assumptions!$C$16</f>
        <v>3379782840</v>
      </c>
      <c r="E9" s="391">
        <f>Assumptions!$H$3</f>
        <v>1.1863330000000001</v>
      </c>
      <c r="F9" s="297">
        <f>Assumptions!$C$115</f>
        <v>3.7854100000000002</v>
      </c>
      <c r="G9" s="422">
        <v>0.38900000000000001</v>
      </c>
      <c r="H9" s="301">
        <f t="shared" si="2"/>
        <v>1.7469043957951702</v>
      </c>
      <c r="I9" s="472">
        <v>6.1350000000000002E-2</v>
      </c>
      <c r="J9" s="286">
        <f t="shared" si="12"/>
        <v>0.27550792977386551</v>
      </c>
      <c r="K9" s="322">
        <v>0.19</v>
      </c>
      <c r="L9" s="329">
        <f t="shared" si="3"/>
        <v>0.33191183520108236</v>
      </c>
      <c r="M9" s="281">
        <f t="shared" si="4"/>
        <v>5.2346506657034449E-2</v>
      </c>
      <c r="N9" s="281">
        <f t="shared" si="13"/>
        <v>0.3842583418581168</v>
      </c>
      <c r="O9" s="314">
        <f t="shared" si="5"/>
        <v>1121789925.0055261</v>
      </c>
      <c r="P9" s="1053">
        <f t="shared" si="6"/>
        <v>0.65976627163198232</v>
      </c>
      <c r="Q9" s="1047">
        <f t="shared" si="7"/>
        <v>2229866723.2725525</v>
      </c>
      <c r="R9" s="268">
        <f t="shared" si="8"/>
        <v>0.32785443643089995</v>
      </c>
      <c r="S9" s="366">
        <f t="shared" si="9"/>
        <v>1108076798.2670264</v>
      </c>
      <c r="T9" s="336">
        <f>-'OECD distillate subsidies'!D69</f>
        <v>-7845197</v>
      </c>
      <c r="U9" s="342">
        <f t="shared" si="10"/>
        <v>-9307016.0926010013</v>
      </c>
      <c r="V9" s="111">
        <f t="shared" si="11"/>
        <v>1098769782.1744254</v>
      </c>
      <c r="W9" s="281">
        <f t="shared" si="0"/>
        <v>2.4066706674271527</v>
      </c>
      <c r="X9" s="342">
        <f t="shared" si="1"/>
        <v>8124717207.2090368</v>
      </c>
    </row>
    <row r="10" spans="1:24" x14ac:dyDescent="0.6">
      <c r="A10" s="46">
        <f t="shared" si="14"/>
        <v>6</v>
      </c>
      <c r="B10" s="44" t="s">
        <v>4</v>
      </c>
      <c r="C10" s="290">
        <v>4</v>
      </c>
      <c r="D10" s="345">
        <f>C10*Assumptions!$C$16</f>
        <v>1253280</v>
      </c>
      <c r="E10" s="391">
        <f>Assumptions!$H$3</f>
        <v>1.1863330000000001</v>
      </c>
      <c r="F10" s="297">
        <f>Assumptions!$C$115</f>
        <v>3.7854100000000002</v>
      </c>
      <c r="G10" s="422">
        <v>0.499</v>
      </c>
      <c r="H10" s="301">
        <f t="shared" si="2"/>
        <v>2.24088764396347</v>
      </c>
      <c r="I10" s="472">
        <v>0.11095000000000001</v>
      </c>
      <c r="J10" s="286">
        <f t="shared" si="12"/>
        <v>0.49824946712975354</v>
      </c>
      <c r="K10" s="322">
        <v>0.2</v>
      </c>
      <c r="L10" s="329">
        <f t="shared" si="3"/>
        <v>0.44817752879269401</v>
      </c>
      <c r="M10" s="281">
        <f t="shared" si="4"/>
        <v>9.9649893425950709E-2</v>
      </c>
      <c r="N10" s="281">
        <f t="shared" si="13"/>
        <v>0.54782742221864478</v>
      </c>
      <c r="O10" s="314">
        <f t="shared" si="5"/>
        <v>561691.9332853076</v>
      </c>
      <c r="P10" s="1053">
        <f t="shared" si="6"/>
        <v>1.0460768893483983</v>
      </c>
      <c r="Q10" s="1047">
        <f t="shared" si="7"/>
        <v>1311027.2438825606</v>
      </c>
      <c r="R10" s="268">
        <f t="shared" si="8"/>
        <v>0.59789936055570425</v>
      </c>
      <c r="S10" s="366">
        <f t="shared" si="9"/>
        <v>749335.31059725303</v>
      </c>
      <c r="T10" s="336">
        <f>-'OECD distillate subsidies'!D76</f>
        <v>0</v>
      </c>
      <c r="U10" s="342">
        <f t="shared" si="10"/>
        <v>0</v>
      </c>
      <c r="V10" s="111">
        <f t="shared" si="11"/>
        <v>749335.31059725303</v>
      </c>
      <c r="W10" s="281">
        <f t="shared" si="0"/>
        <v>3.2869645333118682</v>
      </c>
      <c r="X10" s="342">
        <f t="shared" si="1"/>
        <v>4119486.9103090982</v>
      </c>
    </row>
    <row r="11" spans="1:24" x14ac:dyDescent="0.6">
      <c r="A11" s="46">
        <f t="shared" si="14"/>
        <v>7</v>
      </c>
      <c r="B11" s="44" t="s">
        <v>5</v>
      </c>
      <c r="C11" s="290">
        <v>1357</v>
      </c>
      <c r="D11" s="345">
        <f>C11*Assumptions!$C$16</f>
        <v>425175240</v>
      </c>
      <c r="E11" s="391">
        <f>Assumptions!$H$3</f>
        <v>1.1863330000000001</v>
      </c>
      <c r="F11" s="297">
        <f>Assumptions!$C$115</f>
        <v>3.7854100000000002</v>
      </c>
      <c r="G11" s="422">
        <v>0.433</v>
      </c>
      <c r="H11" s="301">
        <f t="shared" si="2"/>
        <v>1.9444976950624904</v>
      </c>
      <c r="I11" s="472">
        <v>0.23</v>
      </c>
      <c r="J11" s="286">
        <f t="shared" si="12"/>
        <v>1.0328740643519001</v>
      </c>
      <c r="K11" s="322">
        <v>0.23</v>
      </c>
      <c r="L11" s="329">
        <f t="shared" si="3"/>
        <v>0.44723446986437282</v>
      </c>
      <c r="M11" s="281">
        <f t="shared" si="4"/>
        <v>0.23756103480093704</v>
      </c>
      <c r="N11" s="281">
        <f t="shared" si="13"/>
        <v>0.68479550466530981</v>
      </c>
      <c r="O11" s="314">
        <f t="shared" si="5"/>
        <v>190153023.06085747</v>
      </c>
      <c r="P11" s="1053">
        <f t="shared" si="6"/>
        <v>1.7176695690172099</v>
      </c>
      <c r="Q11" s="1047">
        <f t="shared" si="7"/>
        <v>730310571.24758875</v>
      </c>
      <c r="R11" s="268">
        <f t="shared" si="8"/>
        <v>1.270435099152837</v>
      </c>
      <c r="S11" s="366">
        <f t="shared" si="9"/>
        <v>540157548.18673134</v>
      </c>
      <c r="T11" s="336">
        <f>-'OECD distillate subsidies'!D82</f>
        <v>-185956639</v>
      </c>
      <c r="U11" s="342">
        <f t="shared" si="10"/>
        <v>-220606497.41478702</v>
      </c>
      <c r="V11" s="111">
        <f t="shared" si="11"/>
        <v>319551050.77194428</v>
      </c>
      <c r="W11" s="281">
        <f t="shared" si="0"/>
        <v>3.6621672640797005</v>
      </c>
      <c r="X11" s="342">
        <f t="shared" si="1"/>
        <v>1336456348.010443</v>
      </c>
    </row>
    <row r="12" spans="1:24" x14ac:dyDescent="0.6">
      <c r="A12" s="46">
        <f t="shared" si="14"/>
        <v>8</v>
      </c>
      <c r="B12" s="44" t="s">
        <v>6</v>
      </c>
      <c r="C12" s="290">
        <v>1890</v>
      </c>
      <c r="D12" s="345">
        <f>C12*Assumptions!$C$16</f>
        <v>592174800</v>
      </c>
      <c r="E12" s="391">
        <f>Assumptions!$H$3</f>
        <v>1.1863330000000001</v>
      </c>
      <c r="F12" s="297">
        <f>Assumptions!$C$115</f>
        <v>3.7854100000000002</v>
      </c>
      <c r="G12" s="422">
        <v>0.316</v>
      </c>
      <c r="H12" s="301">
        <f t="shared" si="2"/>
        <v>1.41907914928348</v>
      </c>
      <c r="I12" s="472">
        <v>8.7599999999999997E-2</v>
      </c>
      <c r="J12" s="286">
        <f t="shared" si="12"/>
        <v>0.39339029581402807</v>
      </c>
      <c r="K12" s="322">
        <v>0.21</v>
      </c>
      <c r="L12" s="329">
        <f t="shared" si="3"/>
        <v>0.29800662134953076</v>
      </c>
      <c r="M12" s="281">
        <f t="shared" si="4"/>
        <v>8.2611962120945889E-2</v>
      </c>
      <c r="N12" s="281">
        <f t="shared" si="13"/>
        <v>0.38061858347047667</v>
      </c>
      <c r="O12" s="314">
        <f t="shared" si="5"/>
        <v>176472011.39633411</v>
      </c>
      <c r="P12" s="1053">
        <f t="shared" si="6"/>
        <v>0.77400887928450479</v>
      </c>
      <c r="Q12" s="1047">
        <f t="shared" si="7"/>
        <v>458348553.28852576</v>
      </c>
      <c r="R12" s="268">
        <f t="shared" si="8"/>
        <v>0.47600225793497397</v>
      </c>
      <c r="S12" s="366">
        <f t="shared" si="9"/>
        <v>281876541.89219165</v>
      </c>
      <c r="T12" s="336">
        <f>-'OECD distillate subsidies'!D91</f>
        <v>0</v>
      </c>
      <c r="U12" s="342">
        <f t="shared" si="10"/>
        <v>0</v>
      </c>
      <c r="V12" s="111">
        <f t="shared" si="11"/>
        <v>281876541.89219165</v>
      </c>
      <c r="W12" s="281">
        <f t="shared" si="0"/>
        <v>2.1930880285679848</v>
      </c>
      <c r="X12" s="342">
        <f t="shared" si="1"/>
        <v>1298691464.6996408</v>
      </c>
    </row>
    <row r="13" spans="1:24" x14ac:dyDescent="0.6">
      <c r="A13" s="46">
        <f t="shared" si="14"/>
        <v>9</v>
      </c>
      <c r="B13" s="44" t="s">
        <v>7</v>
      </c>
      <c r="C13" s="290">
        <v>5232</v>
      </c>
      <c r="D13" s="345">
        <f>C13*Assumptions!$C$16</f>
        <v>1639290240</v>
      </c>
      <c r="E13" s="391">
        <f>Assumptions!$H$3</f>
        <v>1.1863330000000001</v>
      </c>
      <c r="F13" s="297">
        <f>Assumptions!$C$115</f>
        <v>3.7854100000000002</v>
      </c>
      <c r="G13" s="422">
        <v>0.45600000000000002</v>
      </c>
      <c r="H13" s="301">
        <f t="shared" si="2"/>
        <v>2.0477851014976802</v>
      </c>
      <c r="I13" s="472">
        <v>7.640000000000001E-2</v>
      </c>
      <c r="J13" s="286">
        <f t="shared" si="12"/>
        <v>0.34309381963689206</v>
      </c>
      <c r="K13" s="322">
        <v>0.2</v>
      </c>
      <c r="L13" s="329">
        <f t="shared" si="3"/>
        <v>0.40955702029953606</v>
      </c>
      <c r="M13" s="281">
        <f t="shared" si="4"/>
        <v>6.8618763927378409E-2</v>
      </c>
      <c r="N13" s="281">
        <f t="shared" si="13"/>
        <v>0.47817578422691448</v>
      </c>
      <c r="O13" s="314">
        <f t="shared" si="5"/>
        <v>671382826.10051131</v>
      </c>
      <c r="P13" s="1053">
        <f t="shared" si="6"/>
        <v>0.82126960386380654</v>
      </c>
      <c r="Q13" s="1047">
        <f t="shared" si="7"/>
        <v>1346299246.0226045</v>
      </c>
      <c r="R13" s="268">
        <f t="shared" si="8"/>
        <v>0.41171258356427048</v>
      </c>
      <c r="S13" s="366">
        <f t="shared" si="9"/>
        <v>674916419.92209303</v>
      </c>
      <c r="T13" s="336">
        <f>-'OECD distillate subsidies'!D95</f>
        <v>0</v>
      </c>
      <c r="U13" s="342">
        <f t="shared" si="10"/>
        <v>0</v>
      </c>
      <c r="V13" s="111">
        <f t="shared" si="11"/>
        <v>674916419.92209303</v>
      </c>
      <c r="W13" s="281">
        <f t="shared" si="0"/>
        <v>2.8690547053614868</v>
      </c>
      <c r="X13" s="342">
        <f t="shared" si="1"/>
        <v>4703213376.5251608</v>
      </c>
    </row>
    <row r="14" spans="1:24" x14ac:dyDescent="0.6">
      <c r="A14" s="46">
        <f t="shared" si="14"/>
        <v>10</v>
      </c>
      <c r="B14" s="44" t="s">
        <v>8</v>
      </c>
      <c r="C14" s="290">
        <v>170</v>
      </c>
      <c r="D14" s="345">
        <f>C14*Assumptions!$C$16</f>
        <v>53264400</v>
      </c>
      <c r="E14" s="391">
        <f>Assumptions!$H$3</f>
        <v>1.1863330000000001</v>
      </c>
      <c r="F14" s="297">
        <f>Assumptions!$C$115</f>
        <v>3.7854100000000002</v>
      </c>
      <c r="G14" s="422">
        <v>0.42699999999999999</v>
      </c>
      <c r="H14" s="301">
        <f t="shared" si="2"/>
        <v>1.9175531542533102</v>
      </c>
      <c r="I14" s="472">
        <v>0.10228</v>
      </c>
      <c r="J14" s="286">
        <f t="shared" si="12"/>
        <v>0.45931460566048843</v>
      </c>
      <c r="K14" s="322">
        <v>0.13500000000000001</v>
      </c>
      <c r="L14" s="329">
        <f t="shared" si="3"/>
        <v>0.2588696758241969</v>
      </c>
      <c r="M14" s="281">
        <f t="shared" si="4"/>
        <v>6.200747176416594E-2</v>
      </c>
      <c r="N14" s="281">
        <f t="shared" si="13"/>
        <v>0.32087714758836283</v>
      </c>
      <c r="O14" s="314">
        <f t="shared" si="5"/>
        <v>13788537.960970353</v>
      </c>
      <c r="P14" s="1053">
        <f t="shared" si="6"/>
        <v>0.78019175324885126</v>
      </c>
      <c r="Q14" s="1047">
        <f t="shared" si="7"/>
        <v>41556445.621748112</v>
      </c>
      <c r="R14" s="268">
        <f t="shared" si="8"/>
        <v>0.52132207742465442</v>
      </c>
      <c r="S14" s="366">
        <f t="shared" si="9"/>
        <v>27767907.660777763</v>
      </c>
      <c r="T14" s="336">
        <f>-'OECD distillate subsidies'!D112</f>
        <v>-25349523</v>
      </c>
      <c r="U14" s="342">
        <f t="shared" si="10"/>
        <v>-30072975.669159003</v>
      </c>
      <c r="V14" s="111">
        <f t="shared" si="11"/>
        <v>-2305068.0083812401</v>
      </c>
      <c r="W14" s="281">
        <f t="shared" si="0"/>
        <v>2.6977449075021611</v>
      </c>
      <c r="X14" s="342">
        <f t="shared" si="1"/>
        <v>113620788.18199912</v>
      </c>
    </row>
    <row r="15" spans="1:24" x14ac:dyDescent="0.6">
      <c r="A15" s="46">
        <f t="shared" si="14"/>
        <v>11</v>
      </c>
      <c r="B15" s="44" t="s">
        <v>9</v>
      </c>
      <c r="C15" s="290">
        <v>1265</v>
      </c>
      <c r="D15" s="345">
        <f>C15*Assumptions!$C$16</f>
        <v>396349800</v>
      </c>
      <c r="E15" s="391">
        <f>Assumptions!$H$3</f>
        <v>1.1863330000000001</v>
      </c>
      <c r="F15" s="297">
        <f>Assumptions!$C$115</f>
        <v>3.7854100000000002</v>
      </c>
      <c r="G15" s="422">
        <v>0.51400000000000001</v>
      </c>
      <c r="H15" s="301">
        <f t="shared" si="2"/>
        <v>2.3082489959864203</v>
      </c>
      <c r="I15" s="472">
        <v>0.40320999999999996</v>
      </c>
      <c r="J15" s="286">
        <f t="shared" si="12"/>
        <v>1.8107180499449114</v>
      </c>
      <c r="K15" s="322">
        <v>0.22</v>
      </c>
      <c r="L15" s="329">
        <f t="shared" si="3"/>
        <v>0.50781477911701245</v>
      </c>
      <c r="M15" s="281">
        <f t="shared" si="4"/>
        <v>0.39835797098788051</v>
      </c>
      <c r="N15" s="281">
        <f t="shared" si="13"/>
        <v>0.90617275010489295</v>
      </c>
      <c r="O15" s="314">
        <f t="shared" si="5"/>
        <v>201272286.14007205</v>
      </c>
      <c r="P15" s="1053">
        <f t="shared" si="6"/>
        <v>2.7168908000498044</v>
      </c>
      <c r="Q15" s="1047">
        <f t="shared" si="7"/>
        <v>1076839125.22158</v>
      </c>
      <c r="R15" s="268">
        <f t="shared" si="8"/>
        <v>2.209076020932792</v>
      </c>
      <c r="S15" s="366">
        <f t="shared" si="9"/>
        <v>875566839.08150792</v>
      </c>
      <c r="T15" s="336">
        <f>-'OECD distillate subsidies'!D121</f>
        <v>0</v>
      </c>
      <c r="U15" s="342">
        <f t="shared" si="10"/>
        <v>0</v>
      </c>
      <c r="V15" s="111">
        <f t="shared" si="11"/>
        <v>875566839.08150792</v>
      </c>
      <c r="W15" s="281">
        <f t="shared" si="0"/>
        <v>5.0251397960362238</v>
      </c>
      <c r="X15" s="342">
        <f t="shared" si="1"/>
        <v>1991713153.1309981</v>
      </c>
    </row>
    <row r="16" spans="1:24" x14ac:dyDescent="0.6">
      <c r="A16" s="46">
        <f t="shared" si="14"/>
        <v>12</v>
      </c>
      <c r="B16" s="44" t="s">
        <v>10</v>
      </c>
      <c r="C16" s="290">
        <v>165</v>
      </c>
      <c r="D16" s="345">
        <f>C16*Assumptions!$C$16</f>
        <v>51697800</v>
      </c>
      <c r="E16" s="391">
        <f>Assumptions!$H$3</f>
        <v>1.1863330000000001</v>
      </c>
      <c r="F16" s="297">
        <f>Assumptions!$C$115</f>
        <v>3.7854100000000002</v>
      </c>
      <c r="G16" s="422">
        <v>0.36199999999999999</v>
      </c>
      <c r="H16" s="301">
        <f t="shared" si="2"/>
        <v>1.6256539621538599</v>
      </c>
      <c r="I16" s="472">
        <v>0.01</v>
      </c>
      <c r="J16" s="286">
        <f t="shared" si="12"/>
        <v>4.4907568015300006E-2</v>
      </c>
      <c r="K16" s="322">
        <v>0.14000000000000001</v>
      </c>
      <c r="L16" s="329">
        <f t="shared" si="3"/>
        <v>0.22759155470154041</v>
      </c>
      <c r="M16" s="281">
        <f t="shared" si="4"/>
        <v>6.2870595221420017E-3</v>
      </c>
      <c r="N16" s="281">
        <f t="shared" si="13"/>
        <v>0.23387861422368242</v>
      </c>
      <c r="O16" s="314">
        <f t="shared" si="5"/>
        <v>11765982.676649297</v>
      </c>
      <c r="P16" s="1053">
        <f t="shared" si="6"/>
        <v>0.27878618223898244</v>
      </c>
      <c r="Q16" s="1047">
        <f t="shared" si="7"/>
        <v>14412632.292154467</v>
      </c>
      <c r="R16" s="268">
        <f t="shared" si="8"/>
        <v>5.1194627537442007E-2</v>
      </c>
      <c r="S16" s="366">
        <f t="shared" si="9"/>
        <v>2646649.6155051696</v>
      </c>
      <c r="T16" s="336">
        <f>-'OECD distillate subsidies'!D144</f>
        <v>-1000000</v>
      </c>
      <c r="U16" s="342">
        <f t="shared" si="10"/>
        <v>-1186333</v>
      </c>
      <c r="V16" s="111">
        <f t="shared" si="11"/>
        <v>1460316.6155051696</v>
      </c>
      <c r="W16" s="281">
        <f t="shared" si="0"/>
        <v>1.9044401443928425</v>
      </c>
      <c r="X16" s="342">
        <f t="shared" si="1"/>
        <v>97269032.69679229</v>
      </c>
    </row>
    <row r="17" spans="1:24" x14ac:dyDescent="0.6">
      <c r="A17" s="46">
        <f t="shared" si="14"/>
        <v>13</v>
      </c>
      <c r="B17" s="44" t="s">
        <v>11</v>
      </c>
      <c r="C17" s="290">
        <v>0</v>
      </c>
      <c r="D17" s="345">
        <f>C17*Assumptions!$C$16</f>
        <v>0</v>
      </c>
      <c r="E17" s="391">
        <f>Assumptions!$H$17</f>
        <v>3.8049999999999998E-3</v>
      </c>
      <c r="F17" s="297">
        <f>Assumptions!$C$115</f>
        <v>3.7854100000000002</v>
      </c>
      <c r="G17" s="459">
        <v>103.61799999999999</v>
      </c>
      <c r="H17" s="301">
        <f t="shared" si="2"/>
        <v>1.4924603139108998</v>
      </c>
      <c r="I17" s="476">
        <v>110.35</v>
      </c>
      <c r="J17" s="286">
        <f t="shared" si="12"/>
        <v>1.5894245752674998</v>
      </c>
      <c r="K17" s="322">
        <v>0.27</v>
      </c>
      <c r="L17" s="329">
        <f t="shared" si="3"/>
        <v>0.40296428475594298</v>
      </c>
      <c r="M17" s="281">
        <f t="shared" si="4"/>
        <v>0.42914463532222497</v>
      </c>
      <c r="N17" s="281">
        <f t="shared" si="13"/>
        <v>0.83210892007816795</v>
      </c>
      <c r="O17" s="314">
        <f t="shared" si="5"/>
        <v>0</v>
      </c>
      <c r="P17" s="1053">
        <f t="shared" si="6"/>
        <v>2.4215334953456678</v>
      </c>
      <c r="Q17" s="1047">
        <f t="shared" si="7"/>
        <v>0</v>
      </c>
      <c r="R17" s="268">
        <f t="shared" si="8"/>
        <v>2.0185692105897246</v>
      </c>
      <c r="S17" s="366">
        <f t="shared" si="9"/>
        <v>0</v>
      </c>
      <c r="T17" s="336">
        <f>-'OECD distillate subsidies'!D146</f>
        <v>0</v>
      </c>
      <c r="U17" s="342">
        <f t="shared" si="10"/>
        <v>0</v>
      </c>
      <c r="V17" s="111">
        <f t="shared" si="11"/>
        <v>0</v>
      </c>
      <c r="W17" s="281">
        <f t="shared" si="0"/>
        <v>3.913993809256568</v>
      </c>
      <c r="X17" s="342">
        <f t="shared" si="1"/>
        <v>0</v>
      </c>
    </row>
    <row r="18" spans="1:24" x14ac:dyDescent="0.6">
      <c r="A18" s="46">
        <f t="shared" si="14"/>
        <v>14</v>
      </c>
      <c r="B18" s="44" t="s">
        <v>12</v>
      </c>
      <c r="C18" s="290">
        <v>7</v>
      </c>
      <c r="D18" s="345">
        <f>C18*Assumptions!$C$16</f>
        <v>2193240</v>
      </c>
      <c r="E18" s="391">
        <f>Assumptions!$H$3</f>
        <v>1.1863330000000001</v>
      </c>
      <c r="F18" s="297">
        <f>Assumptions!$C$115</f>
        <v>3.7854100000000002</v>
      </c>
      <c r="G18" s="422">
        <v>0.184</v>
      </c>
      <c r="H18" s="301">
        <f t="shared" si="2"/>
        <v>0.82629925148152006</v>
      </c>
      <c r="I18" s="472">
        <v>0.49006</v>
      </c>
      <c r="J18" s="286">
        <f t="shared" si="12"/>
        <v>2.2007402781577921</v>
      </c>
      <c r="K18" s="322">
        <v>0.21</v>
      </c>
      <c r="L18" s="329">
        <f t="shared" si="3"/>
        <v>0.17352284281111921</v>
      </c>
      <c r="M18" s="281">
        <f t="shared" si="4"/>
        <v>0.46215545841313632</v>
      </c>
      <c r="N18" s="281">
        <f t="shared" si="13"/>
        <v>0.6356783012242555</v>
      </c>
      <c r="O18" s="314">
        <f t="shared" si="5"/>
        <v>380577.2397670591</v>
      </c>
      <c r="P18" s="1053">
        <f t="shared" si="6"/>
        <v>2.8364185793820473</v>
      </c>
      <c r="Q18" s="1047">
        <f t="shared" si="7"/>
        <v>6220946.6850438816</v>
      </c>
      <c r="R18" s="268">
        <f t="shared" si="8"/>
        <v>2.6628957365709285</v>
      </c>
      <c r="S18" s="366">
        <f t="shared" si="9"/>
        <v>5840369.4452768229</v>
      </c>
      <c r="T18" s="336">
        <f>-'OECD distillate subsidies'!D150</f>
        <v>0</v>
      </c>
      <c r="U18" s="342">
        <f t="shared" si="10"/>
        <v>0</v>
      </c>
      <c r="V18" s="111">
        <f t="shared" si="11"/>
        <v>5840369.4452768229</v>
      </c>
      <c r="W18" s="281">
        <f t="shared" si="0"/>
        <v>3.6627178308635675</v>
      </c>
      <c r="X18" s="342">
        <f t="shared" si="1"/>
        <v>8033219.255363211</v>
      </c>
    </row>
    <row r="19" spans="1:24" x14ac:dyDescent="0.6">
      <c r="A19" s="46">
        <f t="shared" si="14"/>
        <v>15</v>
      </c>
      <c r="B19" s="44" t="s">
        <v>13</v>
      </c>
      <c r="C19" s="290">
        <v>913</v>
      </c>
      <c r="D19" s="345">
        <f>C19*Assumptions!$C$16</f>
        <v>286061160</v>
      </c>
      <c r="E19" s="391">
        <f>Assumptions!$H$3</f>
        <v>1.1863330000000001</v>
      </c>
      <c r="F19" s="297">
        <f>Assumptions!$C$115</f>
        <v>3.7854100000000002</v>
      </c>
      <c r="G19" s="422">
        <v>0.438</v>
      </c>
      <c r="H19" s="301">
        <f t="shared" si="2"/>
        <v>1.9669514790701403</v>
      </c>
      <c r="I19" s="472">
        <v>0.10918000000000001</v>
      </c>
      <c r="J19" s="286">
        <f t="shared" si="12"/>
        <v>0.49030082759104554</v>
      </c>
      <c r="K19" s="322">
        <v>0.2</v>
      </c>
      <c r="L19" s="329">
        <f t="shared" si="3"/>
        <v>0.39339029581402807</v>
      </c>
      <c r="M19" s="281">
        <f t="shared" si="4"/>
        <v>9.8060165518209119E-2</v>
      </c>
      <c r="N19" s="281">
        <f t="shared" si="13"/>
        <v>0.49145046133223719</v>
      </c>
      <c r="O19" s="314">
        <f t="shared" si="5"/>
        <v>112533684.35330401</v>
      </c>
      <c r="P19" s="1053">
        <f t="shared" si="6"/>
        <v>0.98175128892328267</v>
      </c>
      <c r="Q19" s="1047">
        <f t="shared" si="7"/>
        <v>280840912.54088938</v>
      </c>
      <c r="R19" s="268">
        <f t="shared" si="8"/>
        <v>0.5883609931092546</v>
      </c>
      <c r="S19" s="366">
        <f t="shared" si="9"/>
        <v>168307228.18758538</v>
      </c>
      <c r="T19" s="336">
        <f>-'OECD distillate subsidies'!D152</f>
        <v>0</v>
      </c>
      <c r="U19" s="342">
        <f t="shared" si="10"/>
        <v>0</v>
      </c>
      <c r="V19" s="111">
        <f t="shared" si="11"/>
        <v>168307228.18758538</v>
      </c>
      <c r="W19" s="281">
        <f t="shared" si="0"/>
        <v>2.948702767993423</v>
      </c>
      <c r="X19" s="342">
        <f t="shared" si="1"/>
        <v>843509334.30740941</v>
      </c>
    </row>
    <row r="20" spans="1:24" x14ac:dyDescent="0.6">
      <c r="A20" s="46">
        <f t="shared" si="14"/>
        <v>16</v>
      </c>
      <c r="B20" s="44" t="s">
        <v>14</v>
      </c>
      <c r="C20" s="290">
        <v>70</v>
      </c>
      <c r="D20" s="345">
        <f>C20*Assumptions!$C$16</f>
        <v>21932400</v>
      </c>
      <c r="E20" s="391">
        <f>Assumptions!$H$18</f>
        <v>0.28262100000000001</v>
      </c>
      <c r="F20" s="297">
        <f>Assumptions!$C$115</f>
        <v>3.7854100000000002</v>
      </c>
      <c r="G20" s="424">
        <v>2.0169999999999999</v>
      </c>
      <c r="H20" s="301">
        <f t="shared" si="2"/>
        <v>2.1578599373333698</v>
      </c>
      <c r="I20" s="479">
        <v>0.23200000000000001</v>
      </c>
      <c r="J20" s="286">
        <f t="shared" si="12"/>
        <v>0.24820203542952002</v>
      </c>
      <c r="K20" s="322">
        <v>0.23</v>
      </c>
      <c r="L20" s="329">
        <f t="shared" si="3"/>
        <v>0.4963077855866751</v>
      </c>
      <c r="M20" s="281">
        <f t="shared" si="4"/>
        <v>5.7086468148789607E-2</v>
      </c>
      <c r="N20" s="281">
        <f t="shared" si="13"/>
        <v>0.55339425373546469</v>
      </c>
      <c r="O20" s="314">
        <f t="shared" si="5"/>
        <v>10885220.876601193</v>
      </c>
      <c r="P20" s="1053">
        <f t="shared" si="6"/>
        <v>0.80159628916498471</v>
      </c>
      <c r="Q20" s="1047">
        <f t="shared" si="7"/>
        <v>17580930.452482112</v>
      </c>
      <c r="R20" s="268">
        <f t="shared" si="8"/>
        <v>0.30528850357830961</v>
      </c>
      <c r="S20" s="366">
        <f t="shared" si="9"/>
        <v>6695709.5758809177</v>
      </c>
      <c r="T20" s="336">
        <f>-'OECD distillate subsidies'!D159</f>
        <v>0</v>
      </c>
      <c r="U20" s="342">
        <f t="shared" si="10"/>
        <v>0</v>
      </c>
      <c r="V20" s="111">
        <f t="shared" si="11"/>
        <v>6695709.5758809177</v>
      </c>
      <c r="W20" s="281">
        <f t="shared" si="0"/>
        <v>2.9594562264983546</v>
      </c>
      <c r="X20" s="342">
        <f t="shared" si="1"/>
        <v>64907977.74205251</v>
      </c>
    </row>
    <row r="21" spans="1:24" x14ac:dyDescent="0.6">
      <c r="A21" s="46">
        <f t="shared" si="14"/>
        <v>17</v>
      </c>
      <c r="B21" s="44" t="s">
        <v>15</v>
      </c>
      <c r="C21" s="290">
        <v>53</v>
      </c>
      <c r="D21" s="345">
        <f>C21*Assumptions!$C$16</f>
        <v>16605960</v>
      </c>
      <c r="E21" s="391">
        <f>Assumptions!$H$3</f>
        <v>1.1863330000000001</v>
      </c>
      <c r="F21" s="297">
        <f>Assumptions!$C$115</f>
        <v>3.7854100000000002</v>
      </c>
      <c r="G21" s="422">
        <v>0.46300000000000002</v>
      </c>
      <c r="H21" s="301">
        <f t="shared" si="2"/>
        <v>2.0792203991083902</v>
      </c>
      <c r="I21" s="472">
        <v>0.34260000000000002</v>
      </c>
      <c r="J21" s="286">
        <f t="shared" si="12"/>
        <v>1.5385332802041782</v>
      </c>
      <c r="K21" s="322">
        <v>0.13</v>
      </c>
      <c r="L21" s="329">
        <f t="shared" si="3"/>
        <v>0.27029865188409075</v>
      </c>
      <c r="M21" s="281">
        <f t="shared" si="4"/>
        <v>0.20000932642654318</v>
      </c>
      <c r="N21" s="281">
        <f t="shared" si="13"/>
        <v>0.47030797831063392</v>
      </c>
      <c r="O21" s="314">
        <f t="shared" si="5"/>
        <v>4488568.601241136</v>
      </c>
      <c r="P21" s="1053">
        <f t="shared" si="6"/>
        <v>2.0088412585148121</v>
      </c>
      <c r="Q21" s="1047">
        <f t="shared" si="7"/>
        <v>33358737.58524663</v>
      </c>
      <c r="R21" s="268">
        <f t="shared" si="8"/>
        <v>1.7385426066307215</v>
      </c>
      <c r="S21" s="366">
        <f t="shared" si="9"/>
        <v>28870168.984005496</v>
      </c>
      <c r="T21" s="336">
        <f>-'OECD distillate subsidies'!D162</f>
        <v>0</v>
      </c>
      <c r="U21" s="342">
        <f t="shared" si="10"/>
        <v>0</v>
      </c>
      <c r="V21" s="111">
        <f t="shared" si="11"/>
        <v>28870168.984005496</v>
      </c>
      <c r="W21" s="281">
        <f t="shared" si="0"/>
        <v>4.0880616576232018</v>
      </c>
      <c r="X21" s="342">
        <f t="shared" si="1"/>
        <v>67886188.36402458</v>
      </c>
    </row>
    <row r="22" spans="1:24" x14ac:dyDescent="0.6">
      <c r="A22" s="46">
        <f t="shared" si="14"/>
        <v>18</v>
      </c>
      <c r="B22" s="44" t="s">
        <v>16</v>
      </c>
      <c r="C22" s="290">
        <v>119</v>
      </c>
      <c r="D22" s="345">
        <f>C22*Assumptions!$C$16</f>
        <v>37285080</v>
      </c>
      <c r="E22" s="391">
        <f>Assumptions!$H$3</f>
        <v>1.1863330000000001</v>
      </c>
      <c r="F22" s="297">
        <f>Assumptions!$C$115</f>
        <v>3.7854100000000002</v>
      </c>
      <c r="G22" s="422">
        <v>0.39200000000000002</v>
      </c>
      <c r="H22" s="301">
        <f t="shared" si="2"/>
        <v>1.7603766661997604</v>
      </c>
      <c r="I22" s="472">
        <v>0.2394</v>
      </c>
      <c r="J22" s="286">
        <f t="shared" si="12"/>
        <v>1.0750871782862823</v>
      </c>
      <c r="K22" s="322">
        <v>0.22</v>
      </c>
      <c r="L22" s="329">
        <f t="shared" si="3"/>
        <v>0.38728286656394728</v>
      </c>
      <c r="M22" s="281">
        <f t="shared" si="4"/>
        <v>0.2365191792229821</v>
      </c>
      <c r="N22" s="281">
        <f t="shared" si="13"/>
        <v>0.62380204578692933</v>
      </c>
      <c r="O22" s="314">
        <f t="shared" si="5"/>
        <v>14439872.662466099</v>
      </c>
      <c r="P22" s="1053">
        <f t="shared" si="6"/>
        <v>1.6988892240732116</v>
      </c>
      <c r="Q22" s="1047">
        <f t="shared" si="7"/>
        <v>63343220.630707622</v>
      </c>
      <c r="R22" s="268">
        <f t="shared" si="8"/>
        <v>1.3116063575092645</v>
      </c>
      <c r="S22" s="366">
        <f t="shared" si="9"/>
        <v>48903347.968241528</v>
      </c>
      <c r="T22" s="336">
        <f>-'OECD distillate subsidies'!D171</f>
        <v>-651373</v>
      </c>
      <c r="U22" s="342">
        <f t="shared" si="10"/>
        <v>-772745.28520900011</v>
      </c>
      <c r="V22" s="111">
        <f t="shared" si="11"/>
        <v>48130602.683032528</v>
      </c>
      <c r="W22" s="281">
        <f t="shared" si="0"/>
        <v>3.459265890272972</v>
      </c>
      <c r="X22" s="342">
        <f t="shared" si="1"/>
        <v>128206260.17488998</v>
      </c>
    </row>
    <row r="23" spans="1:24" x14ac:dyDescent="0.6">
      <c r="A23" s="46">
        <f t="shared" si="14"/>
        <v>19</v>
      </c>
      <c r="B23" s="44" t="s">
        <v>17</v>
      </c>
      <c r="C23" s="290">
        <v>0</v>
      </c>
      <c r="D23" s="345">
        <f>C23*Assumptions!$C$16</f>
        <v>0</v>
      </c>
      <c r="E23" s="391">
        <f>Assumptions!$H$3</f>
        <v>1.1863330000000001</v>
      </c>
      <c r="F23" s="297">
        <f>Assumptions!$C$115</f>
        <v>3.7854100000000002</v>
      </c>
      <c r="G23" s="422"/>
      <c r="H23" s="1077"/>
      <c r="I23" s="472"/>
      <c r="J23" s="286">
        <f t="shared" si="12"/>
        <v>0</v>
      </c>
      <c r="K23" s="322">
        <f>Diesel!K23</f>
        <v>0.2</v>
      </c>
      <c r="L23" s="329">
        <f t="shared" si="3"/>
        <v>0</v>
      </c>
      <c r="M23" s="281">
        <f t="shared" si="4"/>
        <v>0</v>
      </c>
      <c r="N23" s="281">
        <f t="shared" si="13"/>
        <v>0</v>
      </c>
      <c r="O23" s="314">
        <f t="shared" si="5"/>
        <v>0</v>
      </c>
      <c r="P23" s="1053">
        <f t="shared" si="6"/>
        <v>0</v>
      </c>
      <c r="Q23" s="1047">
        <f t="shared" si="7"/>
        <v>0</v>
      </c>
      <c r="R23" s="268">
        <f t="shared" si="8"/>
        <v>0</v>
      </c>
      <c r="S23" s="366">
        <f t="shared" si="9"/>
        <v>0</v>
      </c>
      <c r="T23" s="336">
        <f>-'OECD distillate subsidies'!D178</f>
        <v>0</v>
      </c>
      <c r="U23" s="342">
        <f t="shared" si="10"/>
        <v>0</v>
      </c>
      <c r="V23" s="111">
        <f t="shared" si="11"/>
        <v>0</v>
      </c>
      <c r="W23" s="281">
        <f t="shared" si="0"/>
        <v>0</v>
      </c>
      <c r="X23" s="342">
        <f t="shared" si="1"/>
        <v>0</v>
      </c>
    </row>
    <row r="24" spans="1:24" x14ac:dyDescent="0.6">
      <c r="A24" s="46">
        <f t="shared" si="14"/>
        <v>20</v>
      </c>
      <c r="B24" s="44" t="s">
        <v>18</v>
      </c>
      <c r="C24" s="290">
        <v>306</v>
      </c>
      <c r="D24" s="345">
        <f>C24*Assumptions!$C$16</f>
        <v>95875920</v>
      </c>
      <c r="E24" s="391">
        <f>Assumptions!$H$3</f>
        <v>1.1863330000000001</v>
      </c>
      <c r="F24" s="297">
        <f>Assumptions!$C$115</f>
        <v>3.7854100000000002</v>
      </c>
      <c r="G24" s="422">
        <v>0.434</v>
      </c>
      <c r="H24" s="301">
        <f t="shared" si="2"/>
        <v>1.9489884518640201</v>
      </c>
      <c r="I24" s="472">
        <v>0.16343000000000002</v>
      </c>
      <c r="J24" s="286">
        <f t="shared" si="12"/>
        <v>0.73392438407404803</v>
      </c>
      <c r="K24" s="322">
        <v>0.24</v>
      </c>
      <c r="L24" s="329">
        <f t="shared" si="3"/>
        <v>0.46775722844736484</v>
      </c>
      <c r="M24" s="281">
        <f t="shared" si="4"/>
        <v>0.17614185217777151</v>
      </c>
      <c r="N24" s="281">
        <f t="shared" si="13"/>
        <v>0.64389908062513634</v>
      </c>
      <c r="O24" s="314">
        <f t="shared" si="5"/>
        <v>44846654.614041276</v>
      </c>
      <c r="P24" s="1053">
        <f t="shared" si="6"/>
        <v>1.3778234646991843</v>
      </c>
      <c r="Q24" s="1047">
        <f t="shared" si="7"/>
        <v>132100092.27562182</v>
      </c>
      <c r="R24" s="268">
        <f t="shared" si="8"/>
        <v>0.91006623625181948</v>
      </c>
      <c r="S24" s="366">
        <f t="shared" si="9"/>
        <v>87253437.661580548</v>
      </c>
      <c r="T24" s="336">
        <f>-'OECD distillate subsidies'!D180</f>
        <v>0</v>
      </c>
      <c r="U24" s="342">
        <f t="shared" si="10"/>
        <v>0</v>
      </c>
      <c r="V24" s="111">
        <f t="shared" si="11"/>
        <v>87253437.661580548</v>
      </c>
      <c r="W24" s="281">
        <f t="shared" si="0"/>
        <v>3.3268119165632042</v>
      </c>
      <c r="X24" s="342">
        <f t="shared" si="1"/>
        <v>318961153.16746044</v>
      </c>
    </row>
    <row r="25" spans="1:24" x14ac:dyDescent="0.6">
      <c r="A25" s="46">
        <f t="shared" si="14"/>
        <v>21</v>
      </c>
      <c r="B25" s="44" t="s">
        <v>19</v>
      </c>
      <c r="C25" s="290">
        <v>29</v>
      </c>
      <c r="D25" s="345">
        <f>C25*Assumptions!$C$16</f>
        <v>9086280</v>
      </c>
      <c r="E25" s="391">
        <f>Assumptions!$H$19</f>
        <v>0.119739</v>
      </c>
      <c r="F25" s="297">
        <f>Assumptions!$C$115</f>
        <v>3.7854100000000002</v>
      </c>
      <c r="G25" s="425"/>
      <c r="H25" s="1132">
        <v>2.27</v>
      </c>
      <c r="I25" s="860"/>
      <c r="J25" s="286">
        <f t="shared" si="12"/>
        <v>0</v>
      </c>
      <c r="K25" s="322">
        <f>Diesel!K25</f>
        <v>0.25</v>
      </c>
      <c r="L25" s="329">
        <f t="shared" si="3"/>
        <v>0.5675</v>
      </c>
      <c r="M25" s="281">
        <f t="shared" si="4"/>
        <v>0</v>
      </c>
      <c r="N25" s="281">
        <f t="shared" si="13"/>
        <v>0.5675</v>
      </c>
      <c r="O25" s="314">
        <f t="shared" si="5"/>
        <v>5156463.9000000004</v>
      </c>
      <c r="P25" s="1053">
        <f t="shared" si="6"/>
        <v>0.5675</v>
      </c>
      <c r="Q25" s="1047">
        <f t="shared" si="7"/>
        <v>5156463.9000000004</v>
      </c>
      <c r="R25" s="268">
        <f t="shared" si="8"/>
        <v>0</v>
      </c>
      <c r="S25" s="366">
        <f t="shared" si="9"/>
        <v>0</v>
      </c>
      <c r="T25" s="336">
        <f>-'OECD distillate subsidies'!D187</f>
        <v>0</v>
      </c>
      <c r="U25" s="342">
        <f t="shared" si="10"/>
        <v>0</v>
      </c>
      <c r="V25" s="111">
        <f t="shared" si="11"/>
        <v>0</v>
      </c>
      <c r="W25" s="281">
        <f t="shared" si="0"/>
        <v>2.8374999999999999</v>
      </c>
      <c r="X25" s="342">
        <f t="shared" si="1"/>
        <v>25782319.5</v>
      </c>
    </row>
    <row r="26" spans="1:24" ht="15.9" thickBot="1" x14ac:dyDescent="0.65">
      <c r="A26" s="15">
        <f t="shared" si="14"/>
        <v>22</v>
      </c>
      <c r="B26" s="47" t="s">
        <v>20</v>
      </c>
      <c r="C26" s="291">
        <v>132</v>
      </c>
      <c r="D26" s="347">
        <f>C26*Assumptions!$C$16</f>
        <v>41358240</v>
      </c>
      <c r="E26" s="419">
        <f>Assumptions!$H$20</f>
        <v>1.337591</v>
      </c>
      <c r="F26" s="299">
        <f>Assumptions!$C$115</f>
        <v>3.7854100000000002</v>
      </c>
      <c r="G26" s="421">
        <v>0.28100000000000003</v>
      </c>
      <c r="H26" s="371">
        <f t="shared" si="2"/>
        <v>1.4227958275941102</v>
      </c>
      <c r="I26" s="1148">
        <v>0.1114</v>
      </c>
      <c r="J26" s="308">
        <f t="shared" si="12"/>
        <v>0.56405500069033399</v>
      </c>
      <c r="K26" s="359">
        <v>0.2</v>
      </c>
      <c r="L26" s="334">
        <f t="shared" si="3"/>
        <v>0.28455916551882204</v>
      </c>
      <c r="M26" s="318">
        <f t="shared" si="4"/>
        <v>0.1128110001380668</v>
      </c>
      <c r="N26" s="318">
        <f t="shared" si="13"/>
        <v>0.39737016565688887</v>
      </c>
      <c r="O26" s="319">
        <f t="shared" si="5"/>
        <v>11768866.261727167</v>
      </c>
      <c r="P26" s="1054">
        <f t="shared" si="6"/>
        <v>0.96142516634722286</v>
      </c>
      <c r="Q26" s="1048">
        <f t="shared" si="7"/>
        <v>39762852.771828368</v>
      </c>
      <c r="R26" s="269">
        <f t="shared" si="8"/>
        <v>0.67686600082840076</v>
      </c>
      <c r="S26" s="368">
        <f t="shared" si="9"/>
        <v>27993986.510101199</v>
      </c>
      <c r="T26" s="340">
        <f>-'OECD distillate subsidies'!D202</f>
        <v>0</v>
      </c>
      <c r="U26" s="344">
        <f t="shared" si="10"/>
        <v>0</v>
      </c>
      <c r="V26" s="163">
        <f t="shared" si="11"/>
        <v>27993986.510101199</v>
      </c>
      <c r="W26" s="318">
        <f t="shared" si="0"/>
        <v>2.3842209939413328</v>
      </c>
      <c r="X26" s="344">
        <f t="shared" si="1"/>
        <v>98607184.080464184</v>
      </c>
    </row>
    <row r="27" spans="1:24" ht="15.9" thickTop="1" x14ac:dyDescent="0.6">
      <c r="A27" s="48" t="s">
        <v>392</v>
      </c>
      <c r="B27" s="44"/>
      <c r="C27" s="290"/>
      <c r="D27" s="345"/>
      <c r="E27" s="399"/>
      <c r="F27" s="297"/>
      <c r="G27" s="383"/>
      <c r="H27" s="301"/>
      <c r="I27" s="1142"/>
      <c r="J27" s="306"/>
      <c r="K27" s="322"/>
      <c r="L27" s="329"/>
      <c r="M27" s="320"/>
      <c r="N27" s="320"/>
      <c r="O27" s="314"/>
      <c r="P27" s="1053"/>
      <c r="Q27" s="1047"/>
      <c r="R27" s="310"/>
      <c r="S27" s="366"/>
      <c r="T27" s="336"/>
      <c r="U27" s="342"/>
      <c r="V27" s="111"/>
      <c r="W27" s="320"/>
      <c r="X27" s="342"/>
    </row>
    <row r="28" spans="1:24" x14ac:dyDescent="0.6">
      <c r="A28" s="61">
        <f>A26+1</f>
        <v>23</v>
      </c>
      <c r="B28" s="44" t="s">
        <v>38</v>
      </c>
      <c r="C28" s="290">
        <v>1481</v>
      </c>
      <c r="D28" s="345">
        <f>C28*Assumptions!$C$16</f>
        <v>464026920</v>
      </c>
      <c r="E28" s="399">
        <f>Assumptions!$H$4</f>
        <v>0.78824099999999997</v>
      </c>
      <c r="F28" s="297">
        <f>Assumptions!$C$115</f>
        <v>3.7854100000000002</v>
      </c>
      <c r="G28" s="441">
        <v>0.89200000000000002</v>
      </c>
      <c r="H28" s="301">
        <f t="shared" ref="H28:H32" si="15">G28*E28*F28</f>
        <v>2.6615633045185199</v>
      </c>
      <c r="I28" s="473">
        <v>5.289E-2</v>
      </c>
      <c r="J28" s="306">
        <f t="shared" si="12"/>
        <v>0.15781399459191089</v>
      </c>
      <c r="K28" s="1072">
        <v>9.0499999999999997E-2</v>
      </c>
      <c r="L28" s="329">
        <f t="shared" ref="L28:L34" si="16">K28*H28</f>
        <v>0.24087147905892603</v>
      </c>
      <c r="M28" s="320">
        <f t="shared" ref="M28:M34" si="17">K28*J28</f>
        <v>1.4282166510567936E-2</v>
      </c>
      <c r="N28" s="320">
        <f t="shared" si="13"/>
        <v>0.25515364556949399</v>
      </c>
      <c r="O28" s="314">
        <f t="shared" ref="O28:O34" si="18">L28*D28</f>
        <v>111770850.54355794</v>
      </c>
      <c r="P28" s="1053">
        <f t="shared" si="6"/>
        <v>0.41296764016140486</v>
      </c>
      <c r="Q28" s="1047">
        <f t="shared" si="7"/>
        <v>191628102.12376499</v>
      </c>
      <c r="R28" s="310">
        <f t="shared" ref="R28:R34" si="19">M28+J28</f>
        <v>0.17209616110247883</v>
      </c>
      <c r="S28" s="366">
        <f t="shared" ref="S28:S34" si="20">D28*R28</f>
        <v>79857251.58020705</v>
      </c>
      <c r="T28" s="336">
        <f>-'OECD distillate subsidies'!D208</f>
        <v>-24701302</v>
      </c>
      <c r="U28" s="342">
        <f t="shared" ref="U28:U34" si="21">T28*E28</f>
        <v>-19470578.989781998</v>
      </c>
      <c r="V28" s="111">
        <f t="shared" ref="V28:V34" si="22">S28+U28</f>
        <v>60386672.590425052</v>
      </c>
      <c r="W28" s="320">
        <f t="shared" si="0"/>
        <v>3.0745309446799252</v>
      </c>
      <c r="X28" s="342">
        <f t="shared" ref="X28:X34" si="23">W28*D28+U28</f>
        <v>1407194545.7147341</v>
      </c>
    </row>
    <row r="29" spans="1:24" x14ac:dyDescent="0.6">
      <c r="A29" s="61">
        <f t="shared" ref="A29:A34" si="24">A28+1</f>
        <v>24</v>
      </c>
      <c r="B29" s="44" t="s">
        <v>39</v>
      </c>
      <c r="C29" s="290">
        <v>44</v>
      </c>
      <c r="D29" s="345">
        <f>C29*Assumptions!$C$16</f>
        <v>13786080</v>
      </c>
      <c r="E29" s="399">
        <f>Assumptions!$H$5</f>
        <v>0.12035</v>
      </c>
      <c r="F29" s="297">
        <f>Assumptions!$C$115</f>
        <v>3.7854100000000002</v>
      </c>
      <c r="G29" s="425">
        <v>5.9080000000000004</v>
      </c>
      <c r="H29" s="301">
        <f t="shared" si="15"/>
        <v>2.691531744398</v>
      </c>
      <c r="I29" s="860">
        <v>1.599</v>
      </c>
      <c r="J29" s="306">
        <f t="shared" si="12"/>
        <v>0.72846297550649997</v>
      </c>
      <c r="K29" s="322">
        <v>0.25</v>
      </c>
      <c r="L29" s="329">
        <f t="shared" si="16"/>
        <v>0.67288293609950001</v>
      </c>
      <c r="M29" s="320">
        <f t="shared" si="17"/>
        <v>0.18211574387662499</v>
      </c>
      <c r="N29" s="320">
        <f t="shared" si="13"/>
        <v>0.854998679976125</v>
      </c>
      <c r="O29" s="314">
        <f t="shared" si="18"/>
        <v>9276417.9877025951</v>
      </c>
      <c r="P29" s="1053">
        <f t="shared" si="6"/>
        <v>1.5834616554826249</v>
      </c>
      <c r="Q29" s="1047">
        <f t="shared" si="7"/>
        <v>21829729.059415907</v>
      </c>
      <c r="R29" s="310">
        <f t="shared" si="19"/>
        <v>0.91057871938312496</v>
      </c>
      <c r="S29" s="366">
        <f t="shared" si="20"/>
        <v>12553311.071713312</v>
      </c>
      <c r="T29" s="336">
        <f>-'OECD distillate subsidies'!D243</f>
        <v>0</v>
      </c>
      <c r="U29" s="342">
        <f t="shared" si="21"/>
        <v>0</v>
      </c>
      <c r="V29" s="111">
        <f t="shared" si="22"/>
        <v>12553311.071713312</v>
      </c>
      <c r="W29" s="320">
        <f t="shared" si="0"/>
        <v>4.2749933998806249</v>
      </c>
      <c r="X29" s="342">
        <f t="shared" si="23"/>
        <v>58935401.010226287</v>
      </c>
    </row>
    <row r="30" spans="1:24" x14ac:dyDescent="0.6">
      <c r="A30" s="61">
        <f t="shared" si="24"/>
        <v>25</v>
      </c>
      <c r="B30" s="44" t="s">
        <v>40</v>
      </c>
      <c r="C30" s="290">
        <v>1854</v>
      </c>
      <c r="D30" s="345">
        <f>C30*Assumptions!$C$16</f>
        <v>580895280</v>
      </c>
      <c r="E30" s="399">
        <f>Assumptions!$H$6</f>
        <v>1.010632</v>
      </c>
      <c r="F30" s="297">
        <f>Assumptions!$C$115</f>
        <v>3.7854100000000002</v>
      </c>
      <c r="G30" s="443">
        <v>0.498</v>
      </c>
      <c r="H30" s="301">
        <f t="shared" si="15"/>
        <v>1.90517692660176</v>
      </c>
      <c r="I30" s="480">
        <v>0.16319999999999998</v>
      </c>
      <c r="J30" s="306">
        <f t="shared" si="12"/>
        <v>0.62434713739238401</v>
      </c>
      <c r="K30" s="322">
        <v>0.08</v>
      </c>
      <c r="L30" s="329">
        <f t="shared" si="16"/>
        <v>0.1524141541281408</v>
      </c>
      <c r="M30" s="320">
        <f t="shared" si="17"/>
        <v>4.9947770991390722E-2</v>
      </c>
      <c r="N30" s="320">
        <f t="shared" si="13"/>
        <v>0.20236192511953152</v>
      </c>
      <c r="O30" s="314">
        <f t="shared" si="18"/>
        <v>88536662.738229498</v>
      </c>
      <c r="P30" s="1053">
        <f t="shared" si="6"/>
        <v>0.82670906251191556</v>
      </c>
      <c r="Q30" s="1047">
        <f t="shared" si="7"/>
        <v>480231392.34639668</v>
      </c>
      <c r="R30" s="310">
        <f t="shared" si="19"/>
        <v>0.6742949083837747</v>
      </c>
      <c r="S30" s="366">
        <f t="shared" si="20"/>
        <v>391694729.60816717</v>
      </c>
      <c r="T30" s="336">
        <f>-'OECD distillate subsidies'!D254</f>
        <v>0</v>
      </c>
      <c r="U30" s="342">
        <f t="shared" si="21"/>
        <v>0</v>
      </c>
      <c r="V30" s="111">
        <f t="shared" si="22"/>
        <v>391694729.60816717</v>
      </c>
      <c r="W30" s="320">
        <f t="shared" si="0"/>
        <v>2.731885989113676</v>
      </c>
      <c r="X30" s="342">
        <f t="shared" si="23"/>
        <v>1586939676.5742657</v>
      </c>
    </row>
    <row r="31" spans="1:24" x14ac:dyDescent="0.6">
      <c r="A31" s="46">
        <f t="shared" si="24"/>
        <v>26</v>
      </c>
      <c r="B31" s="44" t="s">
        <v>31</v>
      </c>
      <c r="C31" s="290">
        <v>0</v>
      </c>
      <c r="D31" s="345">
        <f>C31*Assumptions!$C$16</f>
        <v>0</v>
      </c>
      <c r="E31" s="399">
        <f>Assumptions!$H$7</f>
        <v>8.829E-3</v>
      </c>
      <c r="F31" s="297">
        <f>Assumptions!$C$115</f>
        <v>3.7854100000000002</v>
      </c>
      <c r="G31" s="484"/>
      <c r="H31" s="301">
        <f t="shared" si="15"/>
        <v>0</v>
      </c>
      <c r="I31" s="1144"/>
      <c r="J31" s="306">
        <f t="shared" si="12"/>
        <v>0</v>
      </c>
      <c r="K31" s="322">
        <v>0.08</v>
      </c>
      <c r="L31" s="329">
        <f t="shared" si="16"/>
        <v>0</v>
      </c>
      <c r="M31" s="320">
        <f t="shared" si="17"/>
        <v>0</v>
      </c>
      <c r="N31" s="320">
        <f t="shared" si="13"/>
        <v>0</v>
      </c>
      <c r="O31" s="314">
        <f t="shared" si="18"/>
        <v>0</v>
      </c>
      <c r="P31" s="1053">
        <f t="shared" si="6"/>
        <v>0</v>
      </c>
      <c r="Q31" s="1047">
        <f t="shared" si="7"/>
        <v>0</v>
      </c>
      <c r="R31" s="310">
        <f t="shared" si="19"/>
        <v>0</v>
      </c>
      <c r="S31" s="366">
        <f t="shared" si="20"/>
        <v>0</v>
      </c>
      <c r="T31" s="336">
        <f>-'OECD distillate subsidies'!D263</f>
        <v>0</v>
      </c>
      <c r="U31" s="342">
        <f t="shared" si="21"/>
        <v>0</v>
      </c>
      <c r="V31" s="111">
        <f t="shared" si="22"/>
        <v>0</v>
      </c>
      <c r="W31" s="320">
        <f t="shared" si="0"/>
        <v>0</v>
      </c>
      <c r="X31" s="342">
        <f t="shared" si="23"/>
        <v>0</v>
      </c>
    </row>
    <row r="32" spans="1:24" x14ac:dyDescent="0.6">
      <c r="A32" s="46">
        <f t="shared" si="24"/>
        <v>27</v>
      </c>
      <c r="B32" s="44" t="s">
        <v>47</v>
      </c>
      <c r="C32" s="290">
        <v>773</v>
      </c>
      <c r="D32" s="345">
        <f>C32*Assumptions!$C$16</f>
        <v>242196360</v>
      </c>
      <c r="E32" s="399">
        <f>Assumptions!$H$8</f>
        <v>9.3000000000000005E-4</v>
      </c>
      <c r="F32" s="297">
        <f>Assumptions!$C$115</f>
        <v>3.7854100000000002</v>
      </c>
      <c r="G32" s="485"/>
      <c r="H32" s="301">
        <f t="shared" si="15"/>
        <v>0</v>
      </c>
      <c r="I32" s="1145"/>
      <c r="J32" s="306">
        <f t="shared" si="12"/>
        <v>0</v>
      </c>
      <c r="K32" s="322">
        <v>0.1</v>
      </c>
      <c r="L32" s="329">
        <f t="shared" si="16"/>
        <v>0</v>
      </c>
      <c r="M32" s="320">
        <f t="shared" si="17"/>
        <v>0</v>
      </c>
      <c r="N32" s="320">
        <f t="shared" si="13"/>
        <v>0</v>
      </c>
      <c r="O32" s="314">
        <f t="shared" si="18"/>
        <v>0</v>
      </c>
      <c r="P32" s="1053">
        <f t="shared" si="6"/>
        <v>0</v>
      </c>
      <c r="Q32" s="1047">
        <f t="shared" si="7"/>
        <v>0</v>
      </c>
      <c r="R32" s="310">
        <f t="shared" si="19"/>
        <v>0</v>
      </c>
      <c r="S32" s="366">
        <f t="shared" si="20"/>
        <v>0</v>
      </c>
      <c r="T32" s="336">
        <f>-'OECD distillate subsidies'!D268</f>
        <v>0</v>
      </c>
      <c r="U32" s="342">
        <f t="shared" si="21"/>
        <v>0</v>
      </c>
      <c r="V32" s="111">
        <f t="shared" si="22"/>
        <v>0</v>
      </c>
      <c r="W32" s="320">
        <f t="shared" si="0"/>
        <v>0</v>
      </c>
      <c r="X32" s="342">
        <f t="shared" si="23"/>
        <v>0</v>
      </c>
    </row>
    <row r="33" spans="1:26" x14ac:dyDescent="0.6">
      <c r="A33" s="46">
        <f t="shared" si="24"/>
        <v>28</v>
      </c>
      <c r="B33" s="44" t="s">
        <v>32</v>
      </c>
      <c r="C33" s="290">
        <v>26</v>
      </c>
      <c r="D33" s="345">
        <f>C33*Assumptions!$C$16</f>
        <v>8146320</v>
      </c>
      <c r="E33" s="399">
        <f>Assumptions!$H$9</f>
        <v>0.77382200000000001</v>
      </c>
      <c r="F33" s="297">
        <f>Assumptions!$C$115</f>
        <v>3.7854100000000002</v>
      </c>
      <c r="G33" s="389"/>
      <c r="H33" s="1132">
        <v>2.27</v>
      </c>
      <c r="I33" s="1143"/>
      <c r="J33" s="306">
        <f t="shared" si="12"/>
        <v>0</v>
      </c>
      <c r="K33" s="322">
        <v>0.1</v>
      </c>
      <c r="L33" s="329">
        <f t="shared" si="16"/>
        <v>0.22700000000000001</v>
      </c>
      <c r="M33" s="320">
        <f t="shared" si="17"/>
        <v>0</v>
      </c>
      <c r="N33" s="320">
        <f t="shared" si="13"/>
        <v>0.22700000000000001</v>
      </c>
      <c r="O33" s="314">
        <f t="shared" si="18"/>
        <v>1849214.6400000001</v>
      </c>
      <c r="P33" s="1053">
        <f t="shared" si="6"/>
        <v>0.22700000000000001</v>
      </c>
      <c r="Q33" s="1047">
        <f t="shared" si="7"/>
        <v>1849214.6400000001</v>
      </c>
      <c r="R33" s="310">
        <f t="shared" si="19"/>
        <v>0</v>
      </c>
      <c r="S33" s="366">
        <f t="shared" si="20"/>
        <v>0</v>
      </c>
      <c r="T33" s="336">
        <f>-'OECD distillate subsidies'!D274</f>
        <v>-611690000</v>
      </c>
      <c r="U33" s="342">
        <f t="shared" si="21"/>
        <v>-473339179.18000001</v>
      </c>
      <c r="V33" s="111">
        <f t="shared" si="22"/>
        <v>-473339179.18000001</v>
      </c>
      <c r="W33" s="320">
        <f t="shared" si="0"/>
        <v>2.4970000000000003</v>
      </c>
      <c r="X33" s="342">
        <f t="shared" si="23"/>
        <v>-452997818.13999999</v>
      </c>
    </row>
    <row r="34" spans="1:26" ht="15.9" thickBot="1" x14ac:dyDescent="0.65">
      <c r="A34" s="15">
        <f t="shared" si="24"/>
        <v>29</v>
      </c>
      <c r="B34" s="47" t="s">
        <v>33</v>
      </c>
      <c r="C34" s="291">
        <v>2</v>
      </c>
      <c r="D34" s="347">
        <f>C34*Assumptions!$C$16</f>
        <v>626640</v>
      </c>
      <c r="E34" s="417">
        <f>Assumptions!$H$10</f>
        <v>0.70460400000000001</v>
      </c>
      <c r="F34" s="299">
        <f>Assumptions!$C$115</f>
        <v>3.7854100000000002</v>
      </c>
      <c r="G34" s="445"/>
      <c r="H34" s="1133">
        <v>2.27</v>
      </c>
      <c r="I34" s="1146"/>
      <c r="J34" s="309">
        <f t="shared" si="12"/>
        <v>0</v>
      </c>
      <c r="K34" s="359">
        <f>Diesel!K34</f>
        <v>0.15</v>
      </c>
      <c r="L34" s="334">
        <f t="shared" si="16"/>
        <v>0.34049999999999997</v>
      </c>
      <c r="M34" s="321">
        <f t="shared" si="17"/>
        <v>0</v>
      </c>
      <c r="N34" s="321">
        <f t="shared" si="13"/>
        <v>0.34049999999999997</v>
      </c>
      <c r="O34" s="319">
        <f t="shared" si="18"/>
        <v>213370.91999999998</v>
      </c>
      <c r="P34" s="1054">
        <f t="shared" si="6"/>
        <v>0.34049999999999997</v>
      </c>
      <c r="Q34" s="1048">
        <f t="shared" si="7"/>
        <v>213370.91999999998</v>
      </c>
      <c r="R34" s="312">
        <f t="shared" si="19"/>
        <v>0</v>
      </c>
      <c r="S34" s="368">
        <f t="shared" si="20"/>
        <v>0</v>
      </c>
      <c r="T34" s="340">
        <f>-'OECD distillate subsidies'!D291</f>
        <v>0</v>
      </c>
      <c r="U34" s="344">
        <f t="shared" si="21"/>
        <v>0</v>
      </c>
      <c r="V34" s="163">
        <f t="shared" si="22"/>
        <v>0</v>
      </c>
      <c r="W34" s="321">
        <f t="shared" si="0"/>
        <v>2.6104999999999996</v>
      </c>
      <c r="X34" s="344">
        <f t="shared" si="23"/>
        <v>1635843.7199999997</v>
      </c>
    </row>
    <row r="35" spans="1:26" ht="15.9" thickTop="1" x14ac:dyDescent="0.6">
      <c r="A35" s="49" t="s">
        <v>393</v>
      </c>
      <c r="B35" s="50"/>
      <c r="C35" s="290"/>
      <c r="D35" s="345"/>
      <c r="E35" s="391"/>
      <c r="F35" s="297"/>
      <c r="G35" s="295"/>
      <c r="H35" s="304"/>
      <c r="I35" s="393"/>
      <c r="J35" s="306"/>
      <c r="K35" s="322"/>
      <c r="L35" s="329"/>
      <c r="M35" s="320"/>
      <c r="N35" s="320"/>
      <c r="O35" s="314"/>
      <c r="P35" s="1053"/>
      <c r="Q35" s="1047"/>
      <c r="R35" s="310"/>
      <c r="S35" s="366"/>
      <c r="T35" s="336"/>
      <c r="U35" s="342"/>
      <c r="V35" s="111"/>
      <c r="W35" s="320"/>
      <c r="X35" s="342"/>
    </row>
    <row r="36" spans="1:26" x14ac:dyDescent="0.6">
      <c r="A36" s="73">
        <f>A34+1</f>
        <v>30</v>
      </c>
      <c r="B36" s="50" t="s">
        <v>46</v>
      </c>
      <c r="C36" s="290">
        <v>4953</v>
      </c>
      <c r="D36" s="348">
        <f>C36*Assumptions!$C$16</f>
        <v>1551873960</v>
      </c>
      <c r="E36" s="399">
        <f>Assumptions!$H$11</f>
        <v>0.152529</v>
      </c>
      <c r="F36" s="297">
        <f>Assumptions!$C$115</f>
        <v>3.7854100000000002</v>
      </c>
      <c r="G36" s="295"/>
      <c r="H36" s="666">
        <v>1.63</v>
      </c>
      <c r="I36" s="1058"/>
      <c r="J36" s="306"/>
      <c r="K36" s="322">
        <v>0.17</v>
      </c>
      <c r="L36" s="329">
        <f>K36*H36</f>
        <v>0.27710000000000001</v>
      </c>
      <c r="M36" s="320">
        <f>K36*J36</f>
        <v>0</v>
      </c>
      <c r="N36" s="320">
        <f t="shared" si="13"/>
        <v>0.27710000000000001</v>
      </c>
      <c r="O36" s="314">
        <f>L36*D36</f>
        <v>430024274.31600004</v>
      </c>
      <c r="P36" s="1053">
        <f t="shared" si="6"/>
        <v>0.27710000000000001</v>
      </c>
      <c r="Q36" s="1047">
        <f t="shared" si="7"/>
        <v>430024274.31600004</v>
      </c>
      <c r="R36" s="310">
        <f>M36+J36</f>
        <v>0</v>
      </c>
      <c r="S36" s="366">
        <f>D36*R36</f>
        <v>0</v>
      </c>
      <c r="T36" s="336">
        <f>-'OECD distillate subsidies'!D293</f>
        <v>0</v>
      </c>
      <c r="U36" s="342">
        <f>T36*E36</f>
        <v>0</v>
      </c>
      <c r="V36" s="111">
        <f>S36+U36</f>
        <v>0</v>
      </c>
      <c r="W36" s="320">
        <f t="shared" ref="W36:W39" si="25">(H36+J36)*(1+K36)</f>
        <v>1.9070999999999998</v>
      </c>
      <c r="X36" s="342">
        <f>W36*D36+U36</f>
        <v>2959578829.1159997</v>
      </c>
      <c r="Y36" s="10"/>
    </row>
    <row r="37" spans="1:26" x14ac:dyDescent="0.6">
      <c r="A37" s="46">
        <f>A36+1</f>
        <v>31</v>
      </c>
      <c r="B37" s="50" t="s">
        <v>49</v>
      </c>
      <c r="C37" s="290">
        <v>0</v>
      </c>
      <c r="D37" s="348">
        <f>C37*Assumptions!$C$16</f>
        <v>0</v>
      </c>
      <c r="E37" s="399">
        <f>Assumptions!$H$12</f>
        <v>1.5587E-2</v>
      </c>
      <c r="F37" s="297">
        <f>Assumptions!$C$115</f>
        <v>3.7854100000000002</v>
      </c>
      <c r="G37" s="1073"/>
      <c r="H37" s="1132"/>
      <c r="I37" s="1074"/>
      <c r="J37" s="306">
        <f t="shared" si="12"/>
        <v>0</v>
      </c>
      <c r="K37" s="322">
        <v>0.25</v>
      </c>
      <c r="L37" s="329">
        <f>K37*H37</f>
        <v>0</v>
      </c>
      <c r="M37" s="320">
        <f>K37*J37</f>
        <v>0</v>
      </c>
      <c r="N37" s="320">
        <f t="shared" si="13"/>
        <v>0</v>
      </c>
      <c r="O37" s="314">
        <f>L37*D37</f>
        <v>0</v>
      </c>
      <c r="P37" s="1053">
        <f t="shared" si="6"/>
        <v>0</v>
      </c>
      <c r="Q37" s="1047">
        <f t="shared" si="7"/>
        <v>0</v>
      </c>
      <c r="R37" s="310">
        <f>M37+J37</f>
        <v>0</v>
      </c>
      <c r="S37" s="366">
        <f>D37*R37</f>
        <v>0</v>
      </c>
      <c r="T37" s="336">
        <f>-'OECD distillate subsidies'!D298</f>
        <v>0</v>
      </c>
      <c r="U37" s="342">
        <f>T37*E37</f>
        <v>0</v>
      </c>
      <c r="V37" s="111">
        <f>S37+U37</f>
        <v>0</v>
      </c>
      <c r="W37" s="320">
        <f t="shared" si="25"/>
        <v>0</v>
      </c>
      <c r="X37" s="342">
        <f>W37*D37+U37</f>
        <v>0</v>
      </c>
      <c r="Y37" s="1075"/>
    </row>
    <row r="38" spans="1:26" x14ac:dyDescent="0.6">
      <c r="A38" s="46">
        <f>A37+1</f>
        <v>32</v>
      </c>
      <c r="B38" s="44" t="s">
        <v>50</v>
      </c>
      <c r="C38" s="290">
        <v>0</v>
      </c>
      <c r="D38" s="348">
        <f>C38*Assumptions!$C$16</f>
        <v>0</v>
      </c>
      <c r="E38" s="399">
        <f>Assumptions!$H$13</f>
        <v>0.30204900000000001</v>
      </c>
      <c r="F38" s="297">
        <f>Assumptions!$C$115</f>
        <v>3.7854100000000002</v>
      </c>
      <c r="G38" s="293"/>
      <c r="H38" s="1132">
        <v>2.27</v>
      </c>
      <c r="I38" s="1044"/>
      <c r="J38" s="306">
        <f t="shared" si="12"/>
        <v>0</v>
      </c>
      <c r="K38" s="322">
        <v>0.19</v>
      </c>
      <c r="L38" s="329">
        <f>K38*H38</f>
        <v>0.43130000000000002</v>
      </c>
      <c r="M38" s="320">
        <f>K38*J38</f>
        <v>0</v>
      </c>
      <c r="N38" s="320">
        <f t="shared" si="13"/>
        <v>0.43130000000000002</v>
      </c>
      <c r="O38" s="314">
        <f>L38*D38</f>
        <v>0</v>
      </c>
      <c r="P38" s="1053">
        <f t="shared" si="6"/>
        <v>0.43130000000000002</v>
      </c>
      <c r="Q38" s="1047">
        <f t="shared" si="7"/>
        <v>0</v>
      </c>
      <c r="R38" s="310">
        <f>M38+J38</f>
        <v>0</v>
      </c>
      <c r="S38" s="366">
        <f>D38*R38</f>
        <v>0</v>
      </c>
      <c r="T38" s="336">
        <f>-'OECD distillate subsidies'!D300</f>
        <v>0</v>
      </c>
      <c r="U38" s="342">
        <f>T38*E38</f>
        <v>0</v>
      </c>
      <c r="V38" s="111">
        <f>S38+U38</f>
        <v>0</v>
      </c>
      <c r="W38" s="320">
        <f t="shared" si="25"/>
        <v>2.7012999999999998</v>
      </c>
      <c r="X38" s="342">
        <f>W38*D38+U38</f>
        <v>0</v>
      </c>
    </row>
    <row r="39" spans="1:26" ht="15.9" thickBot="1" x14ac:dyDescent="0.65">
      <c r="A39" s="15">
        <f>A38+1</f>
        <v>33</v>
      </c>
      <c r="B39" s="47" t="s">
        <v>51</v>
      </c>
      <c r="C39" s="291">
        <v>1955</v>
      </c>
      <c r="D39" s="349">
        <f>C39*Assumptions!$C$16</f>
        <v>612540600</v>
      </c>
      <c r="E39" s="417">
        <f>Assumptions!$H$14</f>
        <v>1.7344999999999999E-2</v>
      </c>
      <c r="F39" s="299">
        <f>Assumptions!$C$115</f>
        <v>3.7854100000000002</v>
      </c>
      <c r="G39" s="296"/>
      <c r="H39" s="1055">
        <f>$H$67</f>
        <v>2.27</v>
      </c>
      <c r="I39" s="1076"/>
      <c r="J39" s="309">
        <f t="shared" si="12"/>
        <v>0</v>
      </c>
      <c r="K39" s="359">
        <v>0.18</v>
      </c>
      <c r="L39" s="334">
        <f>K39*H39</f>
        <v>0.40859999999999996</v>
      </c>
      <c r="M39" s="321">
        <f>K39*J39</f>
        <v>0</v>
      </c>
      <c r="N39" s="321">
        <f t="shared" si="13"/>
        <v>0.40859999999999996</v>
      </c>
      <c r="O39" s="319">
        <f>L39*D39</f>
        <v>250284089.15999997</v>
      </c>
      <c r="P39" s="1054">
        <f t="shared" si="6"/>
        <v>0.40859999999999996</v>
      </c>
      <c r="Q39" s="1048">
        <f t="shared" si="7"/>
        <v>250284089.15999997</v>
      </c>
      <c r="R39" s="312">
        <f>M39+J39</f>
        <v>0</v>
      </c>
      <c r="S39" s="368">
        <f>D39*R39</f>
        <v>0</v>
      </c>
      <c r="T39" s="340">
        <f>-'OECD distillate subsidies'!D307</f>
        <v>0</v>
      </c>
      <c r="U39" s="344">
        <f>T39*E39</f>
        <v>0</v>
      </c>
      <c r="V39" s="163">
        <f>S39+U39</f>
        <v>0</v>
      </c>
      <c r="W39" s="321">
        <f t="shared" si="25"/>
        <v>2.6785999999999999</v>
      </c>
      <c r="X39" s="344">
        <f>W39*D39+U39</f>
        <v>1640751251.1599998</v>
      </c>
    </row>
    <row r="40" spans="1:26" ht="15.9" thickTop="1" x14ac:dyDescent="0.6">
      <c r="A40" s="48" t="s">
        <v>52</v>
      </c>
      <c r="B40" s="44"/>
      <c r="C40" s="290"/>
      <c r="D40" s="348"/>
      <c r="E40" s="391"/>
      <c r="F40" s="390"/>
      <c r="G40" s="293"/>
      <c r="H40" s="301"/>
      <c r="I40" s="393"/>
      <c r="J40" s="394"/>
      <c r="K40" s="322"/>
      <c r="L40" s="329"/>
      <c r="M40" s="320"/>
      <c r="N40" s="320"/>
      <c r="O40" s="314"/>
      <c r="P40" s="1046"/>
      <c r="Q40" s="1047">
        <f t="shared" si="7"/>
        <v>0</v>
      </c>
      <c r="R40" s="395"/>
      <c r="S40" s="396"/>
      <c r="T40" s="542"/>
      <c r="U40" s="543"/>
      <c r="V40" s="573"/>
      <c r="W40" s="571"/>
      <c r="X40" s="548"/>
      <c r="Y40" s="10"/>
      <c r="Z40" s="55"/>
    </row>
    <row r="41" spans="1:26" s="85" customFormat="1" x14ac:dyDescent="0.6">
      <c r="A41" s="61">
        <f>A39+1</f>
        <v>34</v>
      </c>
      <c r="B41" s="86" t="s">
        <v>48</v>
      </c>
      <c r="C41" s="290">
        <v>0</v>
      </c>
      <c r="D41" s="348">
        <f>C41*Assumptions!$C$16</f>
        <v>0</v>
      </c>
      <c r="E41" s="1020"/>
      <c r="F41" s="1006">
        <f>Assumptions!$C$115</f>
        <v>3.7854100000000002</v>
      </c>
      <c r="G41" s="1128"/>
      <c r="H41" s="1150">
        <f t="shared" ref="H41:H65" si="26">$H$67</f>
        <v>2.27</v>
      </c>
      <c r="I41" s="664"/>
      <c r="J41" s="394"/>
      <c r="K41" s="322">
        <f>Gasoline!K41</f>
        <v>0.16</v>
      </c>
      <c r="L41" s="329">
        <f>K41*H41</f>
        <v>0.36320000000000002</v>
      </c>
      <c r="M41" s="320"/>
      <c r="N41" s="320">
        <f>M41+L41</f>
        <v>0.36320000000000002</v>
      </c>
      <c r="O41" s="314">
        <f t="shared" ref="O41:O65" si="27">L41*D41</f>
        <v>0</v>
      </c>
      <c r="P41" s="1046"/>
      <c r="Q41" s="1047">
        <f t="shared" si="7"/>
        <v>0</v>
      </c>
      <c r="R41" s="395"/>
      <c r="S41" s="396"/>
      <c r="T41" s="1007"/>
      <c r="U41" s="847"/>
      <c r="V41" s="1008"/>
      <c r="W41" s="363">
        <f>Diesel!G41</f>
        <v>12.173</v>
      </c>
      <c r="X41" s="847">
        <f t="shared" ref="X41:X65" si="28">W41*D41+U41</f>
        <v>0</v>
      </c>
    </row>
    <row r="42" spans="1:26" s="85" customFormat="1" x14ac:dyDescent="0.6">
      <c r="A42" s="61">
        <f>A41+1</f>
        <v>35</v>
      </c>
      <c r="B42" s="86" t="s">
        <v>53</v>
      </c>
      <c r="C42" s="290">
        <v>0</v>
      </c>
      <c r="D42" s="348">
        <f>C42*Assumptions!$C$16</f>
        <v>0</v>
      </c>
      <c r="E42" s="1005"/>
      <c r="F42" s="1006">
        <f>Assumptions!$C$115</f>
        <v>3.7854100000000002</v>
      </c>
      <c r="G42" s="1128"/>
      <c r="H42" s="1150">
        <f t="shared" si="26"/>
        <v>2.27</v>
      </c>
      <c r="I42" s="664"/>
      <c r="J42" s="394"/>
      <c r="K42" s="322">
        <f>Gasoline!K42</f>
        <v>0</v>
      </c>
      <c r="L42" s="329">
        <f>K42*H42</f>
        <v>0</v>
      </c>
      <c r="M42" s="320"/>
      <c r="N42" s="320">
        <f>M42+L42</f>
        <v>0</v>
      </c>
      <c r="O42" s="314">
        <f t="shared" si="27"/>
        <v>0</v>
      </c>
      <c r="P42" s="1046"/>
      <c r="Q42" s="1047">
        <f t="shared" si="7"/>
        <v>0</v>
      </c>
      <c r="R42" s="395"/>
      <c r="S42" s="394"/>
      <c r="T42" s="1007"/>
      <c r="U42" s="847"/>
      <c r="V42" s="1008"/>
      <c r="W42" s="363">
        <f>Diesel!W42</f>
        <v>0.56781150000000002</v>
      </c>
      <c r="X42" s="847">
        <f t="shared" si="28"/>
        <v>0</v>
      </c>
    </row>
    <row r="43" spans="1:26" s="85" customFormat="1" x14ac:dyDescent="0.6">
      <c r="A43" s="61">
        <f t="shared" ref="A43:A65" si="29">A42+1</f>
        <v>36</v>
      </c>
      <c r="B43" s="86" t="s">
        <v>54</v>
      </c>
      <c r="C43" s="290">
        <v>336</v>
      </c>
      <c r="D43" s="348">
        <f>C43*Assumptions!$C$16</f>
        <v>105275520</v>
      </c>
      <c r="E43" s="1005"/>
      <c r="F43" s="1006">
        <f>Assumptions!$C$115</f>
        <v>3.7854100000000002</v>
      </c>
      <c r="G43" s="1128"/>
      <c r="H43" s="1150">
        <f t="shared" si="26"/>
        <v>2.27</v>
      </c>
      <c r="I43" s="664"/>
      <c r="J43" s="394"/>
      <c r="K43" s="322">
        <f>Gasoline!K43</f>
        <v>0</v>
      </c>
      <c r="L43" s="329">
        <f t="shared" ref="L43:L65" si="30">K43*H43</f>
        <v>0</v>
      </c>
      <c r="M43" s="320"/>
      <c r="N43" s="320">
        <f t="shared" ref="N43:N65" si="31">M43+L43</f>
        <v>0</v>
      </c>
      <c r="O43" s="314">
        <f t="shared" si="27"/>
        <v>0</v>
      </c>
      <c r="P43" s="1046"/>
      <c r="Q43" s="1047">
        <f t="shared" si="7"/>
        <v>0</v>
      </c>
      <c r="R43" s="395"/>
      <c r="S43" s="396"/>
      <c r="T43" s="1007"/>
      <c r="U43" s="847"/>
      <c r="V43" s="1008"/>
      <c r="W43" s="363">
        <f>Diesel!W43</f>
        <v>2.0819755000000004</v>
      </c>
      <c r="X43" s="847">
        <f t="shared" si="28"/>
        <v>219181053.38976005</v>
      </c>
    </row>
    <row r="44" spans="1:26" s="85" customFormat="1" x14ac:dyDescent="0.6">
      <c r="A44" s="61">
        <f t="shared" si="29"/>
        <v>37</v>
      </c>
      <c r="B44" s="86" t="s">
        <v>55</v>
      </c>
      <c r="C44" s="290">
        <v>10</v>
      </c>
      <c r="D44" s="348">
        <f>C44*Assumptions!$C$16</f>
        <v>3133200</v>
      </c>
      <c r="E44" s="1005"/>
      <c r="F44" s="1006">
        <f>Assumptions!$C$115</f>
        <v>3.7854100000000002</v>
      </c>
      <c r="G44" s="1128"/>
      <c r="H44" s="1150">
        <f t="shared" si="26"/>
        <v>2.27</v>
      </c>
      <c r="I44" s="664"/>
      <c r="J44" s="394"/>
      <c r="K44" s="322">
        <f>Gasoline!K44</f>
        <v>0</v>
      </c>
      <c r="L44" s="329">
        <f t="shared" si="30"/>
        <v>0</v>
      </c>
      <c r="M44" s="320"/>
      <c r="N44" s="320">
        <f t="shared" si="31"/>
        <v>0</v>
      </c>
      <c r="O44" s="314">
        <f t="shared" si="27"/>
        <v>0</v>
      </c>
      <c r="P44" s="1046"/>
      <c r="Q44" s="1047">
        <f t="shared" si="7"/>
        <v>0</v>
      </c>
      <c r="R44" s="395"/>
      <c r="S44" s="396"/>
      <c r="T44" s="1007"/>
      <c r="U44" s="847"/>
      <c r="V44" s="1008"/>
      <c r="W44" s="363">
        <f>Diesel!W44</f>
        <v>1.3248934999999999</v>
      </c>
      <c r="X44" s="847">
        <f t="shared" si="28"/>
        <v>4151156.3141999999</v>
      </c>
    </row>
    <row r="45" spans="1:26" s="85" customFormat="1" x14ac:dyDescent="0.6">
      <c r="A45" s="61">
        <f t="shared" si="29"/>
        <v>38</v>
      </c>
      <c r="B45" s="86" t="s">
        <v>56</v>
      </c>
      <c r="C45" s="290">
        <v>0</v>
      </c>
      <c r="D45" s="348">
        <f>C45*Assumptions!$C$16</f>
        <v>0</v>
      </c>
      <c r="E45" s="1005"/>
      <c r="F45" s="1006">
        <f>Assumptions!$C$115</f>
        <v>3.7854100000000002</v>
      </c>
      <c r="G45" s="1128"/>
      <c r="H45" s="1150">
        <f t="shared" si="26"/>
        <v>2.27</v>
      </c>
      <c r="I45" s="664"/>
      <c r="J45" s="394"/>
      <c r="K45" s="322">
        <f>Gasoline!K45</f>
        <v>0</v>
      </c>
      <c r="L45" s="329">
        <f t="shared" si="30"/>
        <v>0</v>
      </c>
      <c r="M45" s="320"/>
      <c r="N45" s="320">
        <f t="shared" si="31"/>
        <v>0</v>
      </c>
      <c r="O45" s="314">
        <f t="shared" si="27"/>
        <v>0</v>
      </c>
      <c r="P45" s="1046"/>
      <c r="Q45" s="1047">
        <f t="shared" si="7"/>
        <v>0</v>
      </c>
      <c r="R45" s="395"/>
      <c r="S45" s="396"/>
      <c r="T45" s="1007"/>
      <c r="U45" s="847"/>
      <c r="V45" s="1008"/>
      <c r="W45" s="363">
        <f>Diesel!W45</f>
        <v>1.4006016999999999</v>
      </c>
      <c r="X45" s="847">
        <f t="shared" si="28"/>
        <v>0</v>
      </c>
    </row>
    <row r="46" spans="1:26" s="85" customFormat="1" x14ac:dyDescent="0.6">
      <c r="A46" s="61">
        <f t="shared" si="29"/>
        <v>39</v>
      </c>
      <c r="B46" s="86" t="s">
        <v>57</v>
      </c>
      <c r="C46" s="290">
        <v>0</v>
      </c>
      <c r="D46" s="348">
        <f>C46*Assumptions!$C$16</f>
        <v>0</v>
      </c>
      <c r="E46" s="1005"/>
      <c r="F46" s="1006">
        <f>Assumptions!$C$115</f>
        <v>3.7854100000000002</v>
      </c>
      <c r="G46" s="1128"/>
      <c r="H46" s="1150">
        <f t="shared" si="26"/>
        <v>2.27</v>
      </c>
      <c r="I46" s="664"/>
      <c r="J46" s="394"/>
      <c r="K46" s="322">
        <f>Gasoline!K46</f>
        <v>0</v>
      </c>
      <c r="L46" s="329">
        <f t="shared" si="30"/>
        <v>0</v>
      </c>
      <c r="M46" s="320"/>
      <c r="N46" s="320">
        <f t="shared" si="31"/>
        <v>0</v>
      </c>
      <c r="O46" s="314">
        <f t="shared" si="27"/>
        <v>0</v>
      </c>
      <c r="P46" s="1046"/>
      <c r="Q46" s="1047">
        <f t="shared" si="7"/>
        <v>0</v>
      </c>
      <c r="R46" s="395"/>
      <c r="S46" s="396"/>
      <c r="T46" s="1007"/>
      <c r="U46" s="847"/>
      <c r="V46" s="1008"/>
      <c r="W46" s="363">
        <f>Diesel!W46</f>
        <v>1.4006016999999999</v>
      </c>
      <c r="X46" s="847">
        <f t="shared" si="28"/>
        <v>0</v>
      </c>
    </row>
    <row r="47" spans="1:26" s="85" customFormat="1" x14ac:dyDescent="0.6">
      <c r="A47" s="61">
        <f t="shared" si="29"/>
        <v>40</v>
      </c>
      <c r="B47" s="86" t="s">
        <v>58</v>
      </c>
      <c r="C47" s="290">
        <v>0</v>
      </c>
      <c r="D47" s="348">
        <f>C47*Assumptions!$C$16</f>
        <v>0</v>
      </c>
      <c r="E47" s="1005"/>
      <c r="F47" s="1006">
        <f>Assumptions!$C$115</f>
        <v>3.7854100000000002</v>
      </c>
      <c r="G47" s="1128"/>
      <c r="H47" s="1150">
        <f t="shared" si="26"/>
        <v>2.27</v>
      </c>
      <c r="I47" s="664"/>
      <c r="J47" s="394"/>
      <c r="K47" s="322">
        <f>Gasoline!K47</f>
        <v>0</v>
      </c>
      <c r="L47" s="329">
        <f t="shared" si="30"/>
        <v>0</v>
      </c>
      <c r="M47" s="320"/>
      <c r="N47" s="320">
        <f t="shared" si="31"/>
        <v>0</v>
      </c>
      <c r="O47" s="314">
        <f t="shared" si="27"/>
        <v>0</v>
      </c>
      <c r="P47" s="1046"/>
      <c r="Q47" s="1047">
        <f t="shared" si="7"/>
        <v>0</v>
      </c>
      <c r="R47" s="395"/>
      <c r="S47" s="403"/>
      <c r="T47" s="1007"/>
      <c r="U47" s="847"/>
      <c r="V47" s="1008"/>
      <c r="W47" s="363">
        <f>Diesel!W47</f>
        <v>0.98420660000000004</v>
      </c>
      <c r="X47" s="847">
        <f t="shared" si="28"/>
        <v>0</v>
      </c>
    </row>
    <row r="48" spans="1:26" s="85" customFormat="1" x14ac:dyDescent="0.6">
      <c r="A48" s="61">
        <f t="shared" si="29"/>
        <v>41</v>
      </c>
      <c r="B48" s="86" t="s">
        <v>59</v>
      </c>
      <c r="C48" s="290">
        <v>0</v>
      </c>
      <c r="D48" s="348">
        <f>C48*Assumptions!$C$16</f>
        <v>0</v>
      </c>
      <c r="E48" s="1005"/>
      <c r="F48" s="1006">
        <f>Assumptions!$C$115</f>
        <v>3.7854100000000002</v>
      </c>
      <c r="G48" s="1128"/>
      <c r="H48" s="1150">
        <f t="shared" si="26"/>
        <v>2.27</v>
      </c>
      <c r="I48" s="664"/>
      <c r="J48" s="394"/>
      <c r="K48" s="322">
        <f>Gasoline!K48</f>
        <v>0</v>
      </c>
      <c r="L48" s="329">
        <f t="shared" si="30"/>
        <v>0</v>
      </c>
      <c r="M48" s="320"/>
      <c r="N48" s="320">
        <f t="shared" si="31"/>
        <v>0</v>
      </c>
      <c r="O48" s="314">
        <f t="shared" si="27"/>
        <v>0</v>
      </c>
      <c r="P48" s="1046"/>
      <c r="Q48" s="1047">
        <f t="shared" si="7"/>
        <v>0</v>
      </c>
      <c r="R48" s="395"/>
      <c r="S48" s="396"/>
      <c r="T48" s="1007"/>
      <c r="U48" s="847"/>
      <c r="V48" s="1008"/>
      <c r="W48" s="363">
        <f>Diesel!W48</f>
        <v>0.87064430000000004</v>
      </c>
      <c r="X48" s="847">
        <f t="shared" si="28"/>
        <v>0</v>
      </c>
    </row>
    <row r="49" spans="1:24" s="85" customFormat="1" x14ac:dyDescent="0.6">
      <c r="A49" s="61">
        <f t="shared" si="29"/>
        <v>42</v>
      </c>
      <c r="B49" s="86" t="s">
        <v>60</v>
      </c>
      <c r="C49" s="290">
        <v>0</v>
      </c>
      <c r="D49" s="348">
        <f>C49*Assumptions!$C$16</f>
        <v>0</v>
      </c>
      <c r="E49" s="1005"/>
      <c r="F49" s="1006">
        <f>Assumptions!$C$115</f>
        <v>3.7854100000000002</v>
      </c>
      <c r="G49" s="1128"/>
      <c r="H49" s="1150">
        <f t="shared" si="26"/>
        <v>2.27</v>
      </c>
      <c r="I49" s="664"/>
      <c r="J49" s="394"/>
      <c r="K49" s="322">
        <f>Gasoline!K49</f>
        <v>0</v>
      </c>
      <c r="L49" s="329">
        <f t="shared" si="30"/>
        <v>0</v>
      </c>
      <c r="M49" s="320"/>
      <c r="N49" s="320">
        <f t="shared" si="31"/>
        <v>0</v>
      </c>
      <c r="O49" s="314">
        <f t="shared" si="27"/>
        <v>0</v>
      </c>
      <c r="P49" s="1046"/>
      <c r="Q49" s="1047">
        <f t="shared" si="7"/>
        <v>0</v>
      </c>
      <c r="R49" s="395"/>
      <c r="S49" s="396"/>
      <c r="T49" s="1007"/>
      <c r="U49" s="847"/>
      <c r="V49" s="1008"/>
      <c r="W49" s="363">
        <f>Diesel!W49</f>
        <v>2.9526198000000003</v>
      </c>
      <c r="X49" s="847">
        <f t="shared" si="28"/>
        <v>0</v>
      </c>
    </row>
    <row r="50" spans="1:24" s="85" customFormat="1" x14ac:dyDescent="0.6">
      <c r="A50" s="61">
        <f t="shared" si="29"/>
        <v>43</v>
      </c>
      <c r="B50" s="86" t="s">
        <v>61</v>
      </c>
      <c r="C50" s="290">
        <v>0</v>
      </c>
      <c r="D50" s="348">
        <f>C50*Assumptions!$C$16</f>
        <v>0</v>
      </c>
      <c r="E50" s="1009"/>
      <c r="F50" s="1006">
        <f>Assumptions!$C$115</f>
        <v>3.7854100000000002</v>
      </c>
      <c r="G50" s="1128"/>
      <c r="H50" s="1150">
        <f t="shared" si="26"/>
        <v>2.27</v>
      </c>
      <c r="I50" s="664"/>
      <c r="J50" s="394"/>
      <c r="K50" s="322">
        <f>Gasoline!K50</f>
        <v>0</v>
      </c>
      <c r="L50" s="329">
        <f t="shared" si="30"/>
        <v>0</v>
      </c>
      <c r="M50" s="320"/>
      <c r="N50" s="320">
        <f t="shared" si="31"/>
        <v>0</v>
      </c>
      <c r="O50" s="314">
        <f t="shared" si="27"/>
        <v>0</v>
      </c>
      <c r="P50" s="1046"/>
      <c r="Q50" s="1047">
        <f t="shared" si="7"/>
        <v>0</v>
      </c>
      <c r="R50" s="395"/>
      <c r="S50" s="396"/>
      <c r="T50" s="1007"/>
      <c r="U50" s="847"/>
      <c r="V50" s="1008"/>
      <c r="W50" s="363">
        <f>Diesel!W50</f>
        <v>1.8927050000000001</v>
      </c>
      <c r="X50" s="847">
        <f t="shared" si="28"/>
        <v>0</v>
      </c>
    </row>
    <row r="51" spans="1:24" s="85" customFormat="1" x14ac:dyDescent="0.6">
      <c r="A51" s="61">
        <f t="shared" si="29"/>
        <v>44</v>
      </c>
      <c r="B51" s="86" t="s">
        <v>62</v>
      </c>
      <c r="C51" s="290">
        <v>0</v>
      </c>
      <c r="D51" s="348">
        <f>C51*Assumptions!$C$16</f>
        <v>0</v>
      </c>
      <c r="E51" s="1005"/>
      <c r="F51" s="1006">
        <f>Assumptions!$C$115</f>
        <v>3.7854100000000002</v>
      </c>
      <c r="G51" s="1128"/>
      <c r="H51" s="1150">
        <f t="shared" si="26"/>
        <v>2.27</v>
      </c>
      <c r="I51" s="664"/>
      <c r="J51" s="394"/>
      <c r="K51" s="322">
        <f>Gasoline!K51</f>
        <v>0</v>
      </c>
      <c r="L51" s="329">
        <f t="shared" si="30"/>
        <v>0</v>
      </c>
      <c r="M51" s="320"/>
      <c r="N51" s="320">
        <f t="shared" si="31"/>
        <v>0</v>
      </c>
      <c r="O51" s="314">
        <f t="shared" si="27"/>
        <v>0</v>
      </c>
      <c r="P51" s="1046"/>
      <c r="Q51" s="1047">
        <f t="shared" si="7"/>
        <v>0</v>
      </c>
      <c r="R51" s="395"/>
      <c r="S51" s="396"/>
      <c r="T51" s="1007"/>
      <c r="U51" s="847"/>
      <c r="V51" s="1008"/>
      <c r="W51" s="363">
        <f>Diesel!W51</f>
        <v>2.1198296000000001</v>
      </c>
      <c r="X51" s="847">
        <f t="shared" si="28"/>
        <v>0</v>
      </c>
    </row>
    <row r="52" spans="1:24" s="85" customFormat="1" x14ac:dyDescent="0.6">
      <c r="A52" s="61">
        <f t="shared" si="29"/>
        <v>45</v>
      </c>
      <c r="B52" s="86" t="s">
        <v>63</v>
      </c>
      <c r="C52" s="290">
        <v>66</v>
      </c>
      <c r="D52" s="348">
        <f>C52*Assumptions!$C$16</f>
        <v>20679120</v>
      </c>
      <c r="E52" s="1005"/>
      <c r="F52" s="1006">
        <f>Assumptions!$C$115</f>
        <v>3.7854100000000002</v>
      </c>
      <c r="G52" s="1128"/>
      <c r="H52" s="1150">
        <f t="shared" si="26"/>
        <v>2.27</v>
      </c>
      <c r="I52" s="664"/>
      <c r="J52" s="394"/>
      <c r="K52" s="322">
        <f>Gasoline!K52</f>
        <v>0</v>
      </c>
      <c r="L52" s="329">
        <f t="shared" si="30"/>
        <v>0</v>
      </c>
      <c r="M52" s="320"/>
      <c r="N52" s="320">
        <f t="shared" si="31"/>
        <v>0</v>
      </c>
      <c r="O52" s="314">
        <f t="shared" si="27"/>
        <v>0</v>
      </c>
      <c r="P52" s="1046"/>
      <c r="Q52" s="1047">
        <f t="shared" si="7"/>
        <v>0</v>
      </c>
      <c r="R52" s="395"/>
      <c r="S52" s="396"/>
      <c r="T52" s="1007"/>
      <c r="U52" s="847"/>
      <c r="V52" s="1008"/>
      <c r="W52" s="363">
        <f>Diesel!W52</f>
        <v>0.30283280000000001</v>
      </c>
      <c r="X52" s="847">
        <f t="shared" si="28"/>
        <v>6262315.8111359999</v>
      </c>
    </row>
    <row r="53" spans="1:24" s="85" customFormat="1" x14ac:dyDescent="0.6">
      <c r="A53" s="61">
        <f t="shared" si="29"/>
        <v>46</v>
      </c>
      <c r="B53" s="86" t="s">
        <v>64</v>
      </c>
      <c r="C53" s="290">
        <v>1688</v>
      </c>
      <c r="D53" s="348">
        <f>C53*Assumptions!$C$16</f>
        <v>528884160</v>
      </c>
      <c r="E53" s="1005"/>
      <c r="F53" s="1006">
        <f>Assumptions!$C$115</f>
        <v>3.7854100000000002</v>
      </c>
      <c r="G53" s="1128"/>
      <c r="H53" s="1150">
        <f t="shared" si="26"/>
        <v>2.27</v>
      </c>
      <c r="I53" s="664"/>
      <c r="J53" s="394"/>
      <c r="K53" s="322">
        <f>Gasoline!K53</f>
        <v>0</v>
      </c>
      <c r="L53" s="329">
        <f t="shared" si="30"/>
        <v>0</v>
      </c>
      <c r="M53" s="320"/>
      <c r="N53" s="320">
        <f t="shared" si="31"/>
        <v>0</v>
      </c>
      <c r="O53" s="314">
        <f t="shared" si="27"/>
        <v>0</v>
      </c>
      <c r="P53" s="1046"/>
      <c r="Q53" s="1047">
        <f t="shared" si="7"/>
        <v>0</v>
      </c>
      <c r="R53" s="395"/>
      <c r="S53" s="396"/>
      <c r="T53" s="1007"/>
      <c r="U53" s="847"/>
      <c r="V53" s="1008"/>
      <c r="W53" s="363">
        <f>Diesel!W53</f>
        <v>1.9684132000000001</v>
      </c>
      <c r="X53" s="847">
        <f t="shared" si="28"/>
        <v>1041062561.8149121</v>
      </c>
    </row>
    <row r="54" spans="1:24" s="85" customFormat="1" x14ac:dyDescent="0.6">
      <c r="A54" s="61">
        <f t="shared" si="29"/>
        <v>47</v>
      </c>
      <c r="B54" s="86" t="s">
        <v>65</v>
      </c>
      <c r="C54" s="290">
        <v>0</v>
      </c>
      <c r="D54" s="348">
        <f>C54*Assumptions!$C$16</f>
        <v>0</v>
      </c>
      <c r="E54" s="1005"/>
      <c r="F54" s="1006">
        <f>Assumptions!$C$115</f>
        <v>3.7854100000000002</v>
      </c>
      <c r="G54" s="1128"/>
      <c r="H54" s="1150">
        <f t="shared" si="26"/>
        <v>2.27</v>
      </c>
      <c r="I54" s="664"/>
      <c r="J54" s="394"/>
      <c r="K54" s="322">
        <f>Gasoline!K54</f>
        <v>0</v>
      </c>
      <c r="L54" s="329">
        <f t="shared" si="30"/>
        <v>0</v>
      </c>
      <c r="M54" s="320"/>
      <c r="N54" s="320">
        <f t="shared" si="31"/>
        <v>0</v>
      </c>
      <c r="O54" s="314">
        <f t="shared" si="27"/>
        <v>0</v>
      </c>
      <c r="P54" s="1046"/>
      <c r="Q54" s="1047">
        <f t="shared" si="7"/>
        <v>0</v>
      </c>
      <c r="R54" s="395"/>
      <c r="S54" s="396"/>
      <c r="T54" s="1007"/>
      <c r="U54" s="1010"/>
      <c r="V54" s="1011"/>
      <c r="W54" s="363">
        <f>Diesel!W54</f>
        <v>1.4384558000000001</v>
      </c>
      <c r="X54" s="847">
        <f t="shared" si="28"/>
        <v>0</v>
      </c>
    </row>
    <row r="55" spans="1:24" s="85" customFormat="1" x14ac:dyDescent="0.6">
      <c r="A55" s="61">
        <f t="shared" si="29"/>
        <v>48</v>
      </c>
      <c r="B55" s="86" t="s">
        <v>66</v>
      </c>
      <c r="C55" s="290">
        <v>0</v>
      </c>
      <c r="D55" s="348">
        <f>C55*Assumptions!$C$16</f>
        <v>0</v>
      </c>
      <c r="E55" s="1005"/>
      <c r="F55" s="1006">
        <f>Assumptions!$C$115</f>
        <v>3.7854100000000002</v>
      </c>
      <c r="G55" s="1128"/>
      <c r="H55" s="1150">
        <f t="shared" si="26"/>
        <v>2.27</v>
      </c>
      <c r="I55" s="664"/>
      <c r="J55" s="394"/>
      <c r="K55" s="322">
        <f>Gasoline!K55</f>
        <v>0</v>
      </c>
      <c r="L55" s="329">
        <f t="shared" si="30"/>
        <v>0</v>
      </c>
      <c r="M55" s="320"/>
      <c r="N55" s="320">
        <f t="shared" si="31"/>
        <v>0</v>
      </c>
      <c r="O55" s="314">
        <f t="shared" si="27"/>
        <v>0</v>
      </c>
      <c r="P55" s="1046"/>
      <c r="Q55" s="1047">
        <f t="shared" si="7"/>
        <v>0</v>
      </c>
      <c r="R55" s="395"/>
      <c r="S55" s="396"/>
      <c r="T55" s="1007"/>
      <c r="U55" s="1010"/>
      <c r="V55" s="1011"/>
      <c r="W55" s="363">
        <f>Diesel!W55</f>
        <v>0.37854100000000002</v>
      </c>
      <c r="X55" s="847">
        <f t="shared" si="28"/>
        <v>0</v>
      </c>
    </row>
    <row r="56" spans="1:24" s="85" customFormat="1" x14ac:dyDescent="0.6">
      <c r="A56" s="61">
        <f t="shared" si="29"/>
        <v>49</v>
      </c>
      <c r="B56" s="86" t="s">
        <v>67</v>
      </c>
      <c r="C56" s="290">
        <v>0</v>
      </c>
      <c r="D56" s="348">
        <f>C56*Assumptions!$C$16</f>
        <v>0</v>
      </c>
      <c r="E56" s="1005"/>
      <c r="F56" s="1006">
        <f>Assumptions!$C$115</f>
        <v>3.7854100000000002</v>
      </c>
      <c r="G56" s="1128"/>
      <c r="H56" s="1150">
        <f t="shared" si="26"/>
        <v>2.27</v>
      </c>
      <c r="I56" s="664"/>
      <c r="J56" s="394"/>
      <c r="K56" s="322">
        <f>Gasoline!K56</f>
        <v>0</v>
      </c>
      <c r="L56" s="329">
        <f t="shared" si="30"/>
        <v>0</v>
      </c>
      <c r="M56" s="320"/>
      <c r="N56" s="320">
        <f t="shared" si="31"/>
        <v>0</v>
      </c>
      <c r="O56" s="314">
        <f t="shared" si="27"/>
        <v>0</v>
      </c>
      <c r="P56" s="1046"/>
      <c r="Q56" s="1047">
        <f t="shared" si="7"/>
        <v>0</v>
      </c>
      <c r="R56" s="395"/>
      <c r="S56" s="396"/>
      <c r="T56" s="1007"/>
      <c r="U56" s="1010"/>
      <c r="V56" s="1011"/>
      <c r="W56" s="363">
        <f>Diesel!W56</f>
        <v>2.0062673000000002</v>
      </c>
      <c r="X56" s="847">
        <f t="shared" si="28"/>
        <v>0</v>
      </c>
    </row>
    <row r="57" spans="1:24" s="85" customFormat="1" x14ac:dyDescent="0.6">
      <c r="A57" s="61">
        <f t="shared" si="29"/>
        <v>50</v>
      </c>
      <c r="B57" s="86" t="s">
        <v>68</v>
      </c>
      <c r="C57" s="290">
        <v>0</v>
      </c>
      <c r="D57" s="348">
        <f>C57*Assumptions!$C$16</f>
        <v>0</v>
      </c>
      <c r="E57" s="1005"/>
      <c r="F57" s="1006">
        <f>Assumptions!$C$115</f>
        <v>3.7854100000000002</v>
      </c>
      <c r="G57" s="1128"/>
      <c r="H57" s="1150">
        <f t="shared" si="26"/>
        <v>2.27</v>
      </c>
      <c r="I57" s="664"/>
      <c r="J57" s="394"/>
      <c r="K57" s="322">
        <f>Gasoline!K57</f>
        <v>0</v>
      </c>
      <c r="L57" s="329">
        <f t="shared" si="30"/>
        <v>0</v>
      </c>
      <c r="M57" s="320"/>
      <c r="N57" s="320">
        <f t="shared" si="31"/>
        <v>0</v>
      </c>
      <c r="O57" s="314">
        <f t="shared" si="27"/>
        <v>0</v>
      </c>
      <c r="P57" s="1046"/>
      <c r="Q57" s="1047">
        <f t="shared" si="7"/>
        <v>0</v>
      </c>
      <c r="R57" s="395"/>
      <c r="S57" s="396"/>
      <c r="T57" s="1007"/>
      <c r="U57" s="1010"/>
      <c r="V57" s="1011"/>
      <c r="W57" s="363">
        <f>Diesel!W57</f>
        <v>2.3469541999999999</v>
      </c>
      <c r="X57" s="847">
        <f t="shared" si="28"/>
        <v>0</v>
      </c>
    </row>
    <row r="58" spans="1:24" s="85" customFormat="1" x14ac:dyDescent="0.6">
      <c r="A58" s="61">
        <f t="shared" si="29"/>
        <v>51</v>
      </c>
      <c r="B58" s="86" t="s">
        <v>695</v>
      </c>
      <c r="C58" s="290">
        <v>0</v>
      </c>
      <c r="D58" s="348">
        <f>C58*Assumptions!$C$16</f>
        <v>0</v>
      </c>
      <c r="E58" s="1005"/>
      <c r="F58" s="1006">
        <f>Assumptions!$C$115</f>
        <v>3.7854100000000002</v>
      </c>
      <c r="G58" s="1128"/>
      <c r="H58" s="1150">
        <f t="shared" si="26"/>
        <v>2.27</v>
      </c>
      <c r="I58" s="664"/>
      <c r="J58" s="394"/>
      <c r="K58" s="322">
        <f>Gasoline!K58</f>
        <v>0</v>
      </c>
      <c r="L58" s="329">
        <f t="shared" si="30"/>
        <v>0</v>
      </c>
      <c r="M58" s="320"/>
      <c r="N58" s="320">
        <f t="shared" si="31"/>
        <v>0</v>
      </c>
      <c r="O58" s="314">
        <f t="shared" si="27"/>
        <v>0</v>
      </c>
      <c r="P58" s="1046"/>
      <c r="Q58" s="1047">
        <f t="shared" si="7"/>
        <v>0</v>
      </c>
      <c r="R58" s="395"/>
      <c r="S58" s="396"/>
      <c r="T58" s="1007"/>
      <c r="U58" s="1010"/>
      <c r="V58" s="1011"/>
      <c r="W58" s="363">
        <f>Diesel!W58</f>
        <v>2.1576836999999998</v>
      </c>
      <c r="X58" s="847">
        <f t="shared" si="28"/>
        <v>0</v>
      </c>
    </row>
    <row r="59" spans="1:24" s="85" customFormat="1" x14ac:dyDescent="0.6">
      <c r="A59" s="61">
        <f t="shared" si="29"/>
        <v>52</v>
      </c>
      <c r="B59" s="86" t="s">
        <v>69</v>
      </c>
      <c r="C59" s="290">
        <v>0</v>
      </c>
      <c r="D59" s="348">
        <f>C59*Assumptions!$C$16</f>
        <v>0</v>
      </c>
      <c r="E59" s="1005"/>
      <c r="F59" s="1006">
        <f>Assumptions!$C$115</f>
        <v>3.7854100000000002</v>
      </c>
      <c r="G59" s="1128"/>
      <c r="H59" s="1150">
        <f t="shared" si="26"/>
        <v>2.27</v>
      </c>
      <c r="I59" s="664"/>
      <c r="J59" s="394"/>
      <c r="K59" s="322">
        <f>Gasoline!K59</f>
        <v>0</v>
      </c>
      <c r="L59" s="329">
        <f t="shared" si="30"/>
        <v>0</v>
      </c>
      <c r="M59" s="320"/>
      <c r="N59" s="320">
        <f t="shared" si="31"/>
        <v>0</v>
      </c>
      <c r="O59" s="314">
        <f t="shared" si="27"/>
        <v>0</v>
      </c>
      <c r="P59" s="1046"/>
      <c r="Q59" s="1047">
        <f t="shared" si="7"/>
        <v>0</v>
      </c>
      <c r="R59" s="395"/>
      <c r="S59" s="396"/>
      <c r="T59" s="1007"/>
      <c r="U59" s="1010"/>
      <c r="V59" s="1011"/>
      <c r="W59" s="363">
        <f>Diesel!W59</f>
        <v>1.7791427</v>
      </c>
      <c r="X59" s="847">
        <f t="shared" si="28"/>
        <v>0</v>
      </c>
    </row>
    <row r="60" spans="1:24" s="85" customFormat="1" x14ac:dyDescent="0.6">
      <c r="A60" s="61">
        <f t="shared" si="29"/>
        <v>53</v>
      </c>
      <c r="B60" s="86" t="s">
        <v>70</v>
      </c>
      <c r="C60" s="290">
        <v>0</v>
      </c>
      <c r="D60" s="348">
        <f>C60*Assumptions!$C$16</f>
        <v>0</v>
      </c>
      <c r="E60" s="1005"/>
      <c r="F60" s="1006">
        <f>Assumptions!$C$115</f>
        <v>3.7854100000000002</v>
      </c>
      <c r="G60" s="1128"/>
      <c r="H60" s="1150">
        <f t="shared" si="26"/>
        <v>2.27</v>
      </c>
      <c r="I60" s="664"/>
      <c r="J60" s="394"/>
      <c r="K60" s="322">
        <f>Gasoline!K60</f>
        <v>0</v>
      </c>
      <c r="L60" s="329">
        <f t="shared" si="30"/>
        <v>0</v>
      </c>
      <c r="M60" s="320"/>
      <c r="N60" s="320">
        <f t="shared" si="31"/>
        <v>0</v>
      </c>
      <c r="O60" s="314">
        <f t="shared" si="27"/>
        <v>0</v>
      </c>
      <c r="P60" s="1046"/>
      <c r="Q60" s="1047">
        <f t="shared" si="7"/>
        <v>0</v>
      </c>
      <c r="R60" s="395"/>
      <c r="S60" s="396"/>
      <c r="T60" s="1007"/>
      <c r="U60" s="1010"/>
      <c r="V60" s="1011"/>
      <c r="W60" s="363">
        <f>Diesel!W60</f>
        <v>0.45424920000000002</v>
      </c>
      <c r="X60" s="847">
        <f t="shared" si="28"/>
        <v>0</v>
      </c>
    </row>
    <row r="61" spans="1:24" s="85" customFormat="1" x14ac:dyDescent="0.6">
      <c r="A61" s="61">
        <f t="shared" si="29"/>
        <v>54</v>
      </c>
      <c r="B61" s="86" t="s">
        <v>71</v>
      </c>
      <c r="C61" s="290">
        <v>0</v>
      </c>
      <c r="D61" s="348">
        <f>C61*Assumptions!$C$16</f>
        <v>0</v>
      </c>
      <c r="E61" s="1005"/>
      <c r="F61" s="1006">
        <f>Assumptions!$C$115</f>
        <v>3.7854100000000002</v>
      </c>
      <c r="G61" s="1128"/>
      <c r="H61" s="1150">
        <f t="shared" si="26"/>
        <v>2.27</v>
      </c>
      <c r="I61" s="664"/>
      <c r="J61" s="394"/>
      <c r="K61" s="322">
        <f>Gasoline!K61</f>
        <v>0</v>
      </c>
      <c r="L61" s="329">
        <f t="shared" si="30"/>
        <v>0</v>
      </c>
      <c r="M61" s="320"/>
      <c r="N61" s="320">
        <f t="shared" si="31"/>
        <v>0</v>
      </c>
      <c r="O61" s="314">
        <f t="shared" si="27"/>
        <v>0</v>
      </c>
      <c r="P61" s="1046"/>
      <c r="Q61" s="1047">
        <f t="shared" si="7"/>
        <v>0</v>
      </c>
      <c r="R61" s="395"/>
      <c r="S61" s="396"/>
      <c r="T61" s="1007"/>
      <c r="U61" s="1010"/>
      <c r="V61" s="1011"/>
      <c r="W61" s="363">
        <f>Diesel!W61</f>
        <v>1.3627476000000001</v>
      </c>
      <c r="X61" s="847">
        <f t="shared" si="28"/>
        <v>0</v>
      </c>
    </row>
    <row r="62" spans="1:24" s="85" customFormat="1" x14ac:dyDescent="0.6">
      <c r="A62" s="61">
        <f t="shared" si="29"/>
        <v>55</v>
      </c>
      <c r="B62" s="86" t="s">
        <v>72</v>
      </c>
      <c r="C62" s="290">
        <v>0</v>
      </c>
      <c r="D62" s="348">
        <f>C62*Assumptions!$C$16</f>
        <v>0</v>
      </c>
      <c r="E62" s="1005"/>
      <c r="F62" s="1006">
        <f>Assumptions!$C$115</f>
        <v>3.7854100000000002</v>
      </c>
      <c r="G62" s="1128"/>
      <c r="H62" s="1150">
        <f t="shared" si="26"/>
        <v>2.27</v>
      </c>
      <c r="I62" s="664"/>
      <c r="J62" s="394"/>
      <c r="K62" s="322">
        <f>Gasoline!K62</f>
        <v>0</v>
      </c>
      <c r="L62" s="329">
        <f t="shared" si="30"/>
        <v>0</v>
      </c>
      <c r="M62" s="320"/>
      <c r="N62" s="320">
        <f t="shared" si="31"/>
        <v>0</v>
      </c>
      <c r="O62" s="314">
        <f t="shared" si="27"/>
        <v>0</v>
      </c>
      <c r="P62" s="1046"/>
      <c r="Q62" s="1047">
        <f t="shared" si="7"/>
        <v>0</v>
      </c>
      <c r="R62" s="395"/>
      <c r="S62" s="396"/>
      <c r="T62" s="1007"/>
      <c r="U62" s="1010"/>
      <c r="V62" s="1011"/>
      <c r="W62" s="363">
        <f>Diesel!W62</f>
        <v>0.90849840000000004</v>
      </c>
      <c r="X62" s="847">
        <f t="shared" si="28"/>
        <v>0</v>
      </c>
    </row>
    <row r="63" spans="1:24" s="85" customFormat="1" x14ac:dyDescent="0.6">
      <c r="A63" s="61">
        <f t="shared" si="29"/>
        <v>56</v>
      </c>
      <c r="B63" s="86" t="s">
        <v>73</v>
      </c>
      <c r="C63" s="290">
        <v>0</v>
      </c>
      <c r="D63" s="348">
        <f>C63*Assumptions!$C$16</f>
        <v>0</v>
      </c>
      <c r="E63" s="1005"/>
      <c r="F63" s="1006">
        <f>Assumptions!$C$115</f>
        <v>3.7854100000000002</v>
      </c>
      <c r="G63" s="1128"/>
      <c r="H63" s="1150">
        <f t="shared" si="26"/>
        <v>2.27</v>
      </c>
      <c r="I63" s="664"/>
      <c r="J63" s="394"/>
      <c r="K63" s="322">
        <f>Gasoline!K63</f>
        <v>0</v>
      </c>
      <c r="L63" s="329">
        <f t="shared" si="30"/>
        <v>0</v>
      </c>
      <c r="M63" s="320"/>
      <c r="N63" s="320">
        <f t="shared" si="31"/>
        <v>0</v>
      </c>
      <c r="O63" s="314">
        <f t="shared" si="27"/>
        <v>0</v>
      </c>
      <c r="P63" s="1046"/>
      <c r="Q63" s="1047">
        <f t="shared" si="7"/>
        <v>0</v>
      </c>
      <c r="R63" s="395"/>
      <c r="S63" s="396"/>
      <c r="T63" s="1007"/>
      <c r="U63" s="1010"/>
      <c r="V63" s="1011"/>
      <c r="W63" s="363">
        <f>Diesel!W63</f>
        <v>2.3469541999999999</v>
      </c>
      <c r="X63" s="847">
        <f t="shared" si="28"/>
        <v>0</v>
      </c>
    </row>
    <row r="64" spans="1:24" s="85" customFormat="1" x14ac:dyDescent="0.6">
      <c r="A64" s="61">
        <f t="shared" si="29"/>
        <v>57</v>
      </c>
      <c r="B64" s="86" t="s">
        <v>74</v>
      </c>
      <c r="C64" s="290">
        <v>3</v>
      </c>
      <c r="D64" s="348">
        <f>C64*Assumptions!$C$16</f>
        <v>939960</v>
      </c>
      <c r="E64" s="1005"/>
      <c r="F64" s="1006">
        <f>Assumptions!$C$115</f>
        <v>3.7854100000000002</v>
      </c>
      <c r="G64" s="1128"/>
      <c r="H64" s="1150">
        <f t="shared" si="26"/>
        <v>2.27</v>
      </c>
      <c r="I64" s="664"/>
      <c r="J64" s="394"/>
      <c r="K64" s="322">
        <f>Gasoline!K64</f>
        <v>0</v>
      </c>
      <c r="L64" s="329">
        <f t="shared" si="30"/>
        <v>0</v>
      </c>
      <c r="M64" s="320"/>
      <c r="N64" s="320">
        <f t="shared" si="31"/>
        <v>0</v>
      </c>
      <c r="O64" s="314">
        <f t="shared" si="27"/>
        <v>0</v>
      </c>
      <c r="P64" s="1046"/>
      <c r="Q64" s="1047">
        <f t="shared" si="7"/>
        <v>0</v>
      </c>
      <c r="R64" s="395"/>
      <c r="S64" s="396"/>
      <c r="T64" s="1007"/>
      <c r="U64" s="1010"/>
      <c r="V64" s="1011"/>
      <c r="W64" s="363">
        <f>Diesel!W64</f>
        <v>1.8548509</v>
      </c>
      <c r="X64" s="847">
        <f t="shared" si="28"/>
        <v>1743485.651964</v>
      </c>
    </row>
    <row r="65" spans="1:24" s="85" customFormat="1" x14ac:dyDescent="0.6">
      <c r="A65" s="63">
        <f t="shared" si="29"/>
        <v>58</v>
      </c>
      <c r="B65" s="90" t="s">
        <v>75</v>
      </c>
      <c r="C65" s="292">
        <v>0</v>
      </c>
      <c r="D65" s="350">
        <f>C65*Assumptions!$C$16</f>
        <v>0</v>
      </c>
      <c r="E65" s="1012"/>
      <c r="F65" s="1013">
        <f>Assumptions!$C$115</f>
        <v>3.7854100000000002</v>
      </c>
      <c r="G65" s="1131"/>
      <c r="H65" s="1151">
        <f t="shared" si="26"/>
        <v>2.27</v>
      </c>
      <c r="I65" s="1023"/>
      <c r="J65" s="858"/>
      <c r="K65" s="967">
        <f>Gasoline!K65</f>
        <v>0</v>
      </c>
      <c r="L65" s="335">
        <f t="shared" si="30"/>
        <v>0</v>
      </c>
      <c r="M65" s="1014"/>
      <c r="N65" s="1014">
        <f t="shared" si="31"/>
        <v>0</v>
      </c>
      <c r="O65" s="328">
        <f t="shared" si="27"/>
        <v>0</v>
      </c>
      <c r="P65" s="1049"/>
      <c r="Q65" s="1050">
        <f t="shared" si="7"/>
        <v>0</v>
      </c>
      <c r="R65" s="1015"/>
      <c r="S65" s="409"/>
      <c r="T65" s="1016"/>
      <c r="U65" s="1017"/>
      <c r="V65" s="1018"/>
      <c r="W65" s="580">
        <f>Diesel!W65</f>
        <v>7.5708200000000003E-2</v>
      </c>
      <c r="X65" s="1019">
        <f t="shared" si="28"/>
        <v>0</v>
      </c>
    </row>
    <row r="66" spans="1:24" x14ac:dyDescent="0.6">
      <c r="B66" s="1" t="s">
        <v>42</v>
      </c>
      <c r="D66" s="13">
        <f>SUM(D4:D65)</f>
        <v>14356009080</v>
      </c>
      <c r="E66" s="398"/>
      <c r="P66" s="414"/>
      <c r="Q66" s="414"/>
      <c r="U66" s="1"/>
      <c r="V66" s="1"/>
      <c r="W66" s="1"/>
      <c r="X66" s="1"/>
    </row>
    <row r="67" spans="1:24" x14ac:dyDescent="0.6">
      <c r="B67" s="1" t="s">
        <v>357</v>
      </c>
      <c r="C67" s="13">
        <v>47481</v>
      </c>
      <c r="D67" s="13">
        <f>C67*Assumptions!C16</f>
        <v>14876746920</v>
      </c>
      <c r="E67" s="398"/>
      <c r="F67" s="83" t="s">
        <v>880</v>
      </c>
      <c r="G67" s="83"/>
      <c r="H67" s="278">
        <v>2.27</v>
      </c>
      <c r="P67" s="414"/>
      <c r="Q67" s="414"/>
      <c r="U67" s="1"/>
      <c r="V67" s="1"/>
      <c r="W67" s="1"/>
      <c r="X67" s="1"/>
    </row>
    <row r="68" spans="1:24" x14ac:dyDescent="0.6">
      <c r="C68" s="28"/>
      <c r="D68" s="28">
        <f>D66/D67</f>
        <v>0.96499652492575982</v>
      </c>
      <c r="E68" s="398"/>
      <c r="M68" s="278"/>
      <c r="P68" s="414"/>
      <c r="Q68" s="414"/>
      <c r="U68" s="1"/>
      <c r="V68" s="1"/>
      <c r="X68" s="1"/>
    </row>
    <row r="69" spans="1:24" x14ac:dyDescent="0.6">
      <c r="D69" s="1"/>
      <c r="E69" s="398"/>
      <c r="I69" s="83"/>
      <c r="J69" s="1"/>
      <c r="M69" s="1"/>
      <c r="N69" s="1"/>
      <c r="P69" s="414"/>
      <c r="Q69" s="414"/>
      <c r="R69" s="1"/>
      <c r="S69" s="85"/>
      <c r="U69" s="1"/>
      <c r="V69" s="1"/>
      <c r="W69" s="1"/>
      <c r="X69" s="1"/>
    </row>
    <row r="70" spans="1:24" x14ac:dyDescent="0.6">
      <c r="E70" s="398"/>
      <c r="P70" s="414"/>
      <c r="Q70" s="414"/>
    </row>
    <row r="71" spans="1:24" x14ac:dyDescent="0.6">
      <c r="E71" s="398"/>
      <c r="P71" s="414"/>
      <c r="Q71" s="414"/>
    </row>
    <row r="72" spans="1:24" x14ac:dyDescent="0.6">
      <c r="E72" s="398"/>
      <c r="P72" s="414"/>
      <c r="Q72" s="414"/>
    </row>
    <row r="73" spans="1:24" x14ac:dyDescent="0.6">
      <c r="E73" s="398"/>
      <c r="P73" s="414"/>
      <c r="Q73" s="414"/>
    </row>
    <row r="74" spans="1:24" x14ac:dyDescent="0.6">
      <c r="E74" s="398"/>
      <c r="P74" s="414"/>
      <c r="Q74" s="414"/>
    </row>
    <row r="75" spans="1:24" x14ac:dyDescent="0.6">
      <c r="E75" s="398"/>
      <c r="P75" s="414"/>
      <c r="Q75" s="414"/>
    </row>
    <row r="76" spans="1:24" x14ac:dyDescent="0.6">
      <c r="E76" s="398"/>
      <c r="P76" s="414"/>
      <c r="Q76" s="414"/>
    </row>
    <row r="77" spans="1:24" x14ac:dyDescent="0.6">
      <c r="E77" s="398"/>
      <c r="P77" s="414"/>
      <c r="Q77" s="414"/>
    </row>
    <row r="78" spans="1:24" x14ac:dyDescent="0.6">
      <c r="E78" s="398"/>
      <c r="P78" s="414"/>
      <c r="Q78" s="414"/>
    </row>
    <row r="79" spans="1:24" x14ac:dyDescent="0.6">
      <c r="E79" s="398"/>
      <c r="P79" s="414"/>
      <c r="Q79" s="414"/>
    </row>
  </sheetData>
  <phoneticPr fontId="7" type="noConversion"/>
  <pageMargins left="0.75" right="0.75" top="1" bottom="1" header="0.5" footer="0.5"/>
  <pageSetup scale="150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15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19"/>
  <sheetViews>
    <sheetView showGridLines="0" showZeros="0" zoomScale="115" zoomScaleNormal="115" zoomScalePageLayoutView="11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84765625" defaultRowHeight="15.6" x14ac:dyDescent="0.6"/>
  <cols>
    <col min="1" max="1" width="4.34765625" style="1" customWidth="1"/>
    <col min="2" max="2" width="24.5" style="85" customWidth="1"/>
    <col min="3" max="3" width="7.84765625" style="55" customWidth="1"/>
    <col min="4" max="5" width="11.34765625" style="55" customWidth="1"/>
    <col min="6" max="6" width="9.84765625" style="55" customWidth="1"/>
    <col min="7" max="7" width="8.84765625" style="96" bestFit="1" customWidth="1"/>
    <col min="8" max="8" width="8.84765625" style="97" customWidth="1"/>
    <col min="9" max="9" width="16.09765625" style="1" bestFit="1" customWidth="1"/>
    <col min="10" max="10" width="9.5" style="54" customWidth="1"/>
    <col min="11" max="11" width="8.59765625" style="54" customWidth="1"/>
    <col min="12" max="12" width="11.09765625" style="54" bestFit="1" customWidth="1"/>
    <col min="13" max="13" width="9.09765625" style="54" customWidth="1"/>
    <col min="14" max="14" width="16" style="17" bestFit="1" customWidth="1"/>
    <col min="15" max="15" width="17.5" style="70" bestFit="1" customWidth="1"/>
    <col min="16" max="16" width="17.5" style="17" bestFit="1" customWidth="1"/>
    <col min="17" max="17" width="17.5" style="1" bestFit="1" customWidth="1"/>
    <col min="18" max="18" width="5.09765625" style="1" bestFit="1" customWidth="1"/>
    <col min="19" max="16384" width="10.84765625" style="1"/>
  </cols>
  <sheetData>
    <row r="1" spans="1:17" x14ac:dyDescent="0.6">
      <c r="A1" s="78" t="s">
        <v>1084</v>
      </c>
      <c r="D1" s="89"/>
      <c r="E1" s="89"/>
      <c r="F1" s="879"/>
      <c r="I1" s="13"/>
      <c r="L1" s="17"/>
      <c r="M1" s="17"/>
      <c r="N1" s="98"/>
      <c r="P1" s="98"/>
      <c r="Q1" s="880"/>
    </row>
    <row r="2" spans="1:17" s="2" customFormat="1" x14ac:dyDescent="0.6">
      <c r="A2" s="24" t="s">
        <v>879</v>
      </c>
      <c r="B2" s="60"/>
      <c r="C2" s="56"/>
      <c r="D2" s="56" t="s">
        <v>857</v>
      </c>
      <c r="E2" s="56" t="s">
        <v>100</v>
      </c>
      <c r="F2" s="56"/>
      <c r="G2" s="97" t="s">
        <v>189</v>
      </c>
      <c r="H2" s="97" t="s">
        <v>603</v>
      </c>
      <c r="I2" s="60" t="s">
        <v>24</v>
      </c>
      <c r="J2" s="95" t="s">
        <v>190</v>
      </c>
      <c r="K2" s="95" t="s">
        <v>396</v>
      </c>
      <c r="L2" s="95" t="s">
        <v>397</v>
      </c>
      <c r="M2" s="95" t="s">
        <v>42</v>
      </c>
      <c r="N2" s="18" t="s">
        <v>193</v>
      </c>
      <c r="O2" s="114" t="s">
        <v>396</v>
      </c>
      <c r="P2" s="18" t="s">
        <v>397</v>
      </c>
      <c r="Q2" s="2" t="s">
        <v>398</v>
      </c>
    </row>
    <row r="3" spans="1:17" s="2" customFormat="1" x14ac:dyDescent="0.6">
      <c r="A3" s="24" t="s">
        <v>1088</v>
      </c>
      <c r="B3" s="60"/>
      <c r="C3" s="56" t="s">
        <v>136</v>
      </c>
      <c r="D3" s="56" t="s">
        <v>636</v>
      </c>
      <c r="E3" s="56" t="s">
        <v>857</v>
      </c>
      <c r="F3" s="56" t="s">
        <v>42</v>
      </c>
      <c r="G3" s="97" t="s">
        <v>79</v>
      </c>
      <c r="H3" s="97" t="s">
        <v>1086</v>
      </c>
      <c r="I3" s="2" t="s">
        <v>400</v>
      </c>
      <c r="J3" s="95" t="s">
        <v>191</v>
      </c>
      <c r="K3" s="95" t="s">
        <v>190</v>
      </c>
      <c r="L3" s="95" t="s">
        <v>190</v>
      </c>
      <c r="M3" s="95" t="s">
        <v>79</v>
      </c>
      <c r="N3" s="18" t="s">
        <v>192</v>
      </c>
      <c r="O3" s="114" t="s">
        <v>192</v>
      </c>
      <c r="P3" s="18" t="s">
        <v>192</v>
      </c>
      <c r="Q3" s="2" t="s">
        <v>198</v>
      </c>
    </row>
    <row r="4" spans="1:17" s="85" customFormat="1" x14ac:dyDescent="0.6">
      <c r="A4" s="1135">
        <v>1</v>
      </c>
      <c r="B4" s="1136" t="s">
        <v>178</v>
      </c>
      <c r="C4" s="1137"/>
      <c r="D4" s="1137"/>
      <c r="E4" s="1137"/>
      <c r="F4" s="1137">
        <f t="shared" ref="F4:F35" si="0">D4+C4</f>
        <v>0</v>
      </c>
      <c r="G4" s="1138">
        <f>'State gasoline'!K4</f>
        <v>8.9099999999999999E-2</v>
      </c>
      <c r="H4" s="1139"/>
      <c r="I4" s="1134">
        <v>870000</v>
      </c>
      <c r="J4" s="156"/>
      <c r="K4" s="156"/>
      <c r="L4" s="156">
        <f t="shared" ref="L4:L35" si="1">K4*(1+G4)</f>
        <v>0</v>
      </c>
      <c r="M4" s="952">
        <f>J4-K4</f>
        <v>0</v>
      </c>
      <c r="N4" s="70">
        <f t="shared" ref="N4:N35" si="2">J4*I4</f>
        <v>0</v>
      </c>
      <c r="O4" s="70">
        <f t="shared" ref="O4:O35" si="3">K4*I4</f>
        <v>0</v>
      </c>
      <c r="P4" s="70">
        <f t="shared" ref="P4:P35" si="4">L4*I4</f>
        <v>0</v>
      </c>
      <c r="Q4" s="70">
        <f t="shared" ref="Q4:Q54" si="5">N4-P4</f>
        <v>0</v>
      </c>
    </row>
    <row r="5" spans="1:17" s="85" customFormat="1" x14ac:dyDescent="0.6">
      <c r="A5" s="1135">
        <f t="shared" ref="A5:A54" si="6">A4+1</f>
        <v>2</v>
      </c>
      <c r="B5" s="1136" t="s">
        <v>188</v>
      </c>
      <c r="C5" s="1137">
        <f t="shared" ref="C5:C54" si="7">C4</f>
        <v>0</v>
      </c>
      <c r="D5" s="1137"/>
      <c r="E5" s="1137"/>
      <c r="F5" s="1137">
        <f t="shared" si="0"/>
        <v>0</v>
      </c>
      <c r="G5" s="1138">
        <f>'State gasoline'!K5</f>
        <v>1.7600000000000001E-2</v>
      </c>
      <c r="H5" s="1139"/>
      <c r="I5" s="1134">
        <v>56250000</v>
      </c>
      <c r="J5" s="156"/>
      <c r="K5" s="156"/>
      <c r="L5" s="156">
        <f t="shared" si="1"/>
        <v>0</v>
      </c>
      <c r="M5" s="952">
        <f t="shared" ref="M5:M54" si="8">J5-K5</f>
        <v>0</v>
      </c>
      <c r="N5" s="70">
        <f t="shared" si="2"/>
        <v>0</v>
      </c>
      <c r="O5" s="70">
        <f t="shared" si="3"/>
        <v>0</v>
      </c>
      <c r="P5" s="70">
        <f t="shared" si="4"/>
        <v>0</v>
      </c>
      <c r="Q5" s="70">
        <f t="shared" si="5"/>
        <v>0</v>
      </c>
    </row>
    <row r="6" spans="1:17" s="85" customFormat="1" x14ac:dyDescent="0.6">
      <c r="A6" s="1135">
        <f t="shared" si="6"/>
        <v>3</v>
      </c>
      <c r="B6" s="1136" t="s">
        <v>181</v>
      </c>
      <c r="C6" s="1137">
        <f t="shared" si="7"/>
        <v>0</v>
      </c>
      <c r="D6" s="1137"/>
      <c r="E6" s="1137"/>
      <c r="F6" s="1137">
        <f t="shared" si="0"/>
        <v>0</v>
      </c>
      <c r="G6" s="1138">
        <f>'State gasoline'!K6</f>
        <v>8.1699999999999995E-2</v>
      </c>
      <c r="H6" s="1139"/>
      <c r="I6" s="1134">
        <v>43000</v>
      </c>
      <c r="J6" s="156"/>
      <c r="K6" s="156"/>
      <c r="L6" s="156">
        <f t="shared" si="1"/>
        <v>0</v>
      </c>
      <c r="M6" s="952">
        <f t="shared" si="8"/>
        <v>0</v>
      </c>
      <c r="N6" s="70">
        <f t="shared" si="2"/>
        <v>0</v>
      </c>
      <c r="O6" s="70">
        <f t="shared" si="3"/>
        <v>0</v>
      </c>
      <c r="P6" s="70">
        <f t="shared" si="4"/>
        <v>0</v>
      </c>
      <c r="Q6" s="70">
        <f t="shared" si="5"/>
        <v>0</v>
      </c>
    </row>
    <row r="7" spans="1:17" s="85" customFormat="1" x14ac:dyDescent="0.6">
      <c r="A7" s="1135">
        <f t="shared" si="6"/>
        <v>4</v>
      </c>
      <c r="B7" s="1136" t="s">
        <v>176</v>
      </c>
      <c r="C7" s="1137">
        <f t="shared" si="7"/>
        <v>0</v>
      </c>
      <c r="D7" s="1137"/>
      <c r="E7" s="1137"/>
      <c r="F7" s="1137">
        <f t="shared" si="0"/>
        <v>0</v>
      </c>
      <c r="G7" s="1138">
        <f>'State gasoline'!K7</f>
        <v>9.2600000000000002E-2</v>
      </c>
      <c r="H7" s="1139"/>
      <c r="I7" s="1134">
        <v>344000</v>
      </c>
      <c r="J7" s="156"/>
      <c r="K7" s="156"/>
      <c r="L7" s="156">
        <f t="shared" si="1"/>
        <v>0</v>
      </c>
      <c r="M7" s="952">
        <f t="shared" si="8"/>
        <v>0</v>
      </c>
      <c r="N7" s="70">
        <f t="shared" si="2"/>
        <v>0</v>
      </c>
      <c r="O7" s="70">
        <f t="shared" si="3"/>
        <v>0</v>
      </c>
      <c r="P7" s="70">
        <f t="shared" si="4"/>
        <v>0</v>
      </c>
      <c r="Q7" s="70">
        <f t="shared" si="5"/>
        <v>0</v>
      </c>
    </row>
    <row r="8" spans="1:17" s="85" customFormat="1" x14ac:dyDescent="0.6">
      <c r="A8" s="1135">
        <f t="shared" si="6"/>
        <v>5</v>
      </c>
      <c r="B8" s="1136" t="s">
        <v>142</v>
      </c>
      <c r="C8" s="1137">
        <f t="shared" si="7"/>
        <v>0</v>
      </c>
      <c r="D8" s="1137"/>
      <c r="E8" s="1137"/>
      <c r="F8" s="1137">
        <f t="shared" si="0"/>
        <v>0</v>
      </c>
      <c r="G8" s="1138">
        <f>'State gasoline'!K8</f>
        <v>8.4400000000000003E-2</v>
      </c>
      <c r="H8" s="1139"/>
      <c r="I8" s="1134">
        <v>3206000</v>
      </c>
      <c r="J8" s="156"/>
      <c r="K8" s="156"/>
      <c r="L8" s="156">
        <f t="shared" si="1"/>
        <v>0</v>
      </c>
      <c r="M8" s="952">
        <f t="shared" si="8"/>
        <v>0</v>
      </c>
      <c r="N8" s="70">
        <f t="shared" si="2"/>
        <v>0</v>
      </c>
      <c r="O8" s="70">
        <f t="shared" si="3"/>
        <v>0</v>
      </c>
      <c r="P8" s="70">
        <f t="shared" si="4"/>
        <v>0</v>
      </c>
      <c r="Q8" s="70">
        <f t="shared" si="5"/>
        <v>0</v>
      </c>
    </row>
    <row r="9" spans="1:17" s="85" customFormat="1" x14ac:dyDescent="0.6">
      <c r="A9" s="1135">
        <f t="shared" si="6"/>
        <v>6</v>
      </c>
      <c r="B9" s="1136" t="s">
        <v>175</v>
      </c>
      <c r="C9" s="1137">
        <f t="shared" si="7"/>
        <v>0</v>
      </c>
      <c r="D9" s="1137"/>
      <c r="E9" s="1137"/>
      <c r="F9" s="1137">
        <f t="shared" si="0"/>
        <v>0</v>
      </c>
      <c r="G9" s="1138">
        <f>'State gasoline'!K9</f>
        <v>7.4399999999999994E-2</v>
      </c>
      <c r="H9" s="1139"/>
      <c r="I9" s="1134">
        <v>2280000</v>
      </c>
      <c r="J9" s="156"/>
      <c r="K9" s="156"/>
      <c r="L9" s="156">
        <f t="shared" si="1"/>
        <v>0</v>
      </c>
      <c r="M9" s="952">
        <f t="shared" si="8"/>
        <v>0</v>
      </c>
      <c r="N9" s="70">
        <f t="shared" si="2"/>
        <v>0</v>
      </c>
      <c r="O9" s="70">
        <f t="shared" si="3"/>
        <v>0</v>
      </c>
      <c r="P9" s="70">
        <f t="shared" si="4"/>
        <v>0</v>
      </c>
      <c r="Q9" s="70">
        <f t="shared" si="5"/>
        <v>0</v>
      </c>
    </row>
    <row r="10" spans="1:17" s="85" customFormat="1" x14ac:dyDescent="0.6">
      <c r="A10" s="60">
        <f t="shared" si="6"/>
        <v>7</v>
      </c>
      <c r="B10" s="85" t="s">
        <v>143</v>
      </c>
      <c r="C10" s="89">
        <f t="shared" si="7"/>
        <v>0</v>
      </c>
      <c r="D10" s="89"/>
      <c r="E10" s="89"/>
      <c r="F10" s="89">
        <f t="shared" si="0"/>
        <v>0</v>
      </c>
      <c r="G10" s="174">
        <f>'State gasoline'!K10</f>
        <v>6.3500000000000001E-2</v>
      </c>
      <c r="H10" s="1140" t="s">
        <v>199</v>
      </c>
      <c r="I10" s="897">
        <v>440238000</v>
      </c>
      <c r="J10" s="156">
        <v>2.6230000000000002</v>
      </c>
      <c r="K10" s="156">
        <f>IF(H10="Yes",J10/(1+G10),J10)</f>
        <v>2.6230000000000002</v>
      </c>
      <c r="L10" s="156">
        <f t="shared" si="1"/>
        <v>2.7895604999999999</v>
      </c>
      <c r="M10" s="952">
        <f t="shared" si="8"/>
        <v>0</v>
      </c>
      <c r="N10" s="70">
        <f t="shared" si="2"/>
        <v>1154744274</v>
      </c>
      <c r="O10" s="70">
        <f t="shared" si="3"/>
        <v>1154744274</v>
      </c>
      <c r="P10" s="70">
        <f t="shared" si="4"/>
        <v>1228070535.3989999</v>
      </c>
      <c r="Q10" s="70">
        <f t="shared" si="5"/>
        <v>-73326261.398999929</v>
      </c>
    </row>
    <row r="11" spans="1:17" s="85" customFormat="1" x14ac:dyDescent="0.6">
      <c r="A11" s="1135">
        <f t="shared" si="6"/>
        <v>8</v>
      </c>
      <c r="B11" s="1136" t="s">
        <v>172</v>
      </c>
      <c r="C11" s="1137">
        <f t="shared" si="7"/>
        <v>0</v>
      </c>
      <c r="D11" s="1137"/>
      <c r="E11" s="1137"/>
      <c r="F11" s="1137">
        <f t="shared" si="0"/>
        <v>0</v>
      </c>
      <c r="G11" s="1138">
        <f>'State gasoline'!K11</f>
        <v>0</v>
      </c>
      <c r="H11" s="1139"/>
      <c r="I11" s="1134">
        <v>20468000</v>
      </c>
      <c r="J11" s="156"/>
      <c r="K11" s="156"/>
      <c r="L11" s="156">
        <f t="shared" si="1"/>
        <v>0</v>
      </c>
      <c r="M11" s="952">
        <f t="shared" si="8"/>
        <v>0</v>
      </c>
      <c r="N11" s="70">
        <f t="shared" si="2"/>
        <v>0</v>
      </c>
      <c r="O11" s="70">
        <f t="shared" si="3"/>
        <v>0</v>
      </c>
      <c r="P11" s="70">
        <f t="shared" si="4"/>
        <v>0</v>
      </c>
      <c r="Q11" s="70">
        <f t="shared" si="5"/>
        <v>0</v>
      </c>
    </row>
    <row r="12" spans="1:17" s="85" customFormat="1" x14ac:dyDescent="0.6">
      <c r="A12" s="1135">
        <f t="shared" si="6"/>
        <v>9</v>
      </c>
      <c r="B12" s="1136" t="s">
        <v>171</v>
      </c>
      <c r="C12" s="1137">
        <f t="shared" si="7"/>
        <v>0</v>
      </c>
      <c r="D12" s="1137"/>
      <c r="E12" s="1137"/>
      <c r="F12" s="1137">
        <f t="shared" si="0"/>
        <v>0</v>
      </c>
      <c r="G12" s="1138">
        <f>'State gasoline'!K12</f>
        <v>5.7500000000000002E-2</v>
      </c>
      <c r="H12" s="1139"/>
      <c r="I12" s="1134">
        <v>7818000</v>
      </c>
      <c r="J12" s="156"/>
      <c r="K12" s="156"/>
      <c r="L12" s="156">
        <f t="shared" si="1"/>
        <v>0</v>
      </c>
      <c r="M12" s="952">
        <f t="shared" si="8"/>
        <v>0</v>
      </c>
      <c r="N12" s="70">
        <f t="shared" si="2"/>
        <v>0</v>
      </c>
      <c r="O12" s="70">
        <f t="shared" si="3"/>
        <v>0</v>
      </c>
      <c r="P12" s="70">
        <f t="shared" si="4"/>
        <v>0</v>
      </c>
      <c r="Q12" s="70">
        <f t="shared" si="5"/>
        <v>0</v>
      </c>
    </row>
    <row r="13" spans="1:17" s="85" customFormat="1" x14ac:dyDescent="0.6">
      <c r="A13" s="1135">
        <f t="shared" si="6"/>
        <v>10</v>
      </c>
      <c r="B13" s="1136" t="s">
        <v>144</v>
      </c>
      <c r="C13" s="1137">
        <f t="shared" si="7"/>
        <v>0</v>
      </c>
      <c r="D13" s="1137"/>
      <c r="E13" s="1137"/>
      <c r="F13" s="1137">
        <f t="shared" si="0"/>
        <v>0</v>
      </c>
      <c r="G13" s="1138">
        <f>'State gasoline'!K13</f>
        <v>6.6500000000000004E-2</v>
      </c>
      <c r="H13" s="1139"/>
      <c r="I13" s="1134">
        <v>589000</v>
      </c>
      <c r="J13" s="156"/>
      <c r="K13" s="156"/>
      <c r="L13" s="156">
        <f t="shared" si="1"/>
        <v>0</v>
      </c>
      <c r="M13" s="952">
        <f t="shared" si="8"/>
        <v>0</v>
      </c>
      <c r="N13" s="70">
        <f t="shared" si="2"/>
        <v>0</v>
      </c>
      <c r="O13" s="70">
        <f t="shared" si="3"/>
        <v>0</v>
      </c>
      <c r="P13" s="70">
        <f t="shared" si="4"/>
        <v>0</v>
      </c>
      <c r="Q13" s="70">
        <f t="shared" si="5"/>
        <v>0</v>
      </c>
    </row>
    <row r="14" spans="1:17" s="85" customFormat="1" x14ac:dyDescent="0.6">
      <c r="A14" s="1135">
        <f t="shared" si="6"/>
        <v>11</v>
      </c>
      <c r="B14" s="1136" t="s">
        <v>154</v>
      </c>
      <c r="C14" s="1137">
        <f t="shared" si="7"/>
        <v>0</v>
      </c>
      <c r="D14" s="1137"/>
      <c r="E14" s="1137"/>
      <c r="F14" s="1137">
        <f t="shared" si="0"/>
        <v>0</v>
      </c>
      <c r="G14" s="1138">
        <f>'State gasoline'!K14</f>
        <v>6.9599999999999995E-2</v>
      </c>
      <c r="H14" s="1139"/>
      <c r="I14" s="1134">
        <v>496000</v>
      </c>
      <c r="J14" s="156"/>
      <c r="K14" s="156"/>
      <c r="L14" s="156">
        <f t="shared" si="1"/>
        <v>0</v>
      </c>
      <c r="M14" s="952">
        <f t="shared" si="8"/>
        <v>0</v>
      </c>
      <c r="N14" s="70">
        <f t="shared" si="2"/>
        <v>0</v>
      </c>
      <c r="O14" s="70">
        <f t="shared" si="3"/>
        <v>0</v>
      </c>
      <c r="P14" s="70">
        <f t="shared" si="4"/>
        <v>0</v>
      </c>
      <c r="Q14" s="70">
        <f t="shared" si="5"/>
        <v>0</v>
      </c>
    </row>
    <row r="15" spans="1:17" s="85" customFormat="1" x14ac:dyDescent="0.6">
      <c r="A15" s="1135">
        <f t="shared" si="6"/>
        <v>12</v>
      </c>
      <c r="B15" s="1136" t="s">
        <v>141</v>
      </c>
      <c r="C15" s="1137">
        <f t="shared" si="7"/>
        <v>0</v>
      </c>
      <c r="D15" s="1137"/>
      <c r="E15" s="1137"/>
      <c r="F15" s="1137">
        <f t="shared" si="0"/>
        <v>0</v>
      </c>
      <c r="G15" s="1138">
        <f>'State gasoline'!K15</f>
        <v>4.3499999999999997E-2</v>
      </c>
      <c r="H15" s="1139"/>
      <c r="I15" s="1134">
        <v>14000</v>
      </c>
      <c r="J15" s="156"/>
      <c r="K15" s="156"/>
      <c r="L15" s="156">
        <f t="shared" si="1"/>
        <v>0</v>
      </c>
      <c r="M15" s="952">
        <f t="shared" si="8"/>
        <v>0</v>
      </c>
      <c r="N15" s="70">
        <f t="shared" si="2"/>
        <v>0</v>
      </c>
      <c r="O15" s="70">
        <f t="shared" si="3"/>
        <v>0</v>
      </c>
      <c r="P15" s="70">
        <f t="shared" si="4"/>
        <v>0</v>
      </c>
      <c r="Q15" s="70">
        <f t="shared" si="5"/>
        <v>0</v>
      </c>
    </row>
    <row r="16" spans="1:17" s="85" customFormat="1" x14ac:dyDescent="0.6">
      <c r="A16" s="1135">
        <f t="shared" si="6"/>
        <v>13</v>
      </c>
      <c r="B16" s="1136" t="s">
        <v>152</v>
      </c>
      <c r="C16" s="1137">
        <f t="shared" si="7"/>
        <v>0</v>
      </c>
      <c r="D16" s="1137"/>
      <c r="E16" s="1137"/>
      <c r="F16" s="1137">
        <f t="shared" si="0"/>
        <v>0</v>
      </c>
      <c r="G16" s="1138">
        <f>'State gasoline'!K16</f>
        <v>6.0100000000000001E-2</v>
      </c>
      <c r="H16" s="1139"/>
      <c r="I16" s="1134">
        <v>5846000</v>
      </c>
      <c r="J16" s="156"/>
      <c r="K16" s="156"/>
      <c r="L16" s="156">
        <f t="shared" si="1"/>
        <v>0</v>
      </c>
      <c r="M16" s="952">
        <f t="shared" si="8"/>
        <v>0</v>
      </c>
      <c r="N16" s="70">
        <f t="shared" si="2"/>
        <v>0</v>
      </c>
      <c r="O16" s="70">
        <f t="shared" si="3"/>
        <v>0</v>
      </c>
      <c r="P16" s="70">
        <f t="shared" si="4"/>
        <v>0</v>
      </c>
      <c r="Q16" s="70">
        <f t="shared" si="5"/>
        <v>0</v>
      </c>
    </row>
    <row r="17" spans="1:17" s="85" customFormat="1" x14ac:dyDescent="0.6">
      <c r="A17" s="1135">
        <f t="shared" si="6"/>
        <v>14</v>
      </c>
      <c r="B17" s="1136" t="s">
        <v>157</v>
      </c>
      <c r="C17" s="1137">
        <f t="shared" si="7"/>
        <v>0</v>
      </c>
      <c r="D17" s="1137"/>
      <c r="E17" s="1137"/>
      <c r="F17" s="1137">
        <f t="shared" si="0"/>
        <v>0</v>
      </c>
      <c r="G17" s="1138">
        <f>'State gasoline'!K17</f>
        <v>8.1900000000000001E-2</v>
      </c>
      <c r="H17" s="1139"/>
      <c r="I17" s="1134">
        <v>3159000</v>
      </c>
      <c r="J17" s="156"/>
      <c r="K17" s="156"/>
      <c r="L17" s="156">
        <f t="shared" si="1"/>
        <v>0</v>
      </c>
      <c r="M17" s="952">
        <f t="shared" si="8"/>
        <v>0</v>
      </c>
      <c r="N17" s="70">
        <f t="shared" si="2"/>
        <v>0</v>
      </c>
      <c r="O17" s="70">
        <f t="shared" si="3"/>
        <v>0</v>
      </c>
      <c r="P17" s="70">
        <f t="shared" si="4"/>
        <v>0</v>
      </c>
      <c r="Q17" s="70">
        <f t="shared" si="5"/>
        <v>0</v>
      </c>
    </row>
    <row r="18" spans="1:17" s="85" customFormat="1" x14ac:dyDescent="0.6">
      <c r="A18" s="1135">
        <f t="shared" si="6"/>
        <v>15</v>
      </c>
      <c r="B18" s="1136" t="s">
        <v>160</v>
      </c>
      <c r="C18" s="1137">
        <f t="shared" si="7"/>
        <v>0</v>
      </c>
      <c r="D18" s="1137"/>
      <c r="E18" s="1137"/>
      <c r="F18" s="1137">
        <f t="shared" si="0"/>
        <v>0</v>
      </c>
      <c r="G18" s="1138">
        <f>'State gasoline'!K18</f>
        <v>7.0000000000000007E-2</v>
      </c>
      <c r="H18" s="1139"/>
      <c r="I18" s="1134">
        <v>9488000</v>
      </c>
      <c r="J18" s="156"/>
      <c r="K18" s="156"/>
      <c r="L18" s="156">
        <f t="shared" si="1"/>
        <v>0</v>
      </c>
      <c r="M18" s="952">
        <f t="shared" si="8"/>
        <v>0</v>
      </c>
      <c r="N18" s="70">
        <f t="shared" si="2"/>
        <v>0</v>
      </c>
      <c r="O18" s="70">
        <f t="shared" si="3"/>
        <v>0</v>
      </c>
      <c r="P18" s="70">
        <f t="shared" si="4"/>
        <v>0</v>
      </c>
      <c r="Q18" s="70">
        <f t="shared" si="5"/>
        <v>0</v>
      </c>
    </row>
    <row r="19" spans="1:17" s="85" customFormat="1" x14ac:dyDescent="0.6">
      <c r="A19" s="1135">
        <f t="shared" si="6"/>
        <v>16</v>
      </c>
      <c r="B19" s="1136" t="s">
        <v>151</v>
      </c>
      <c r="C19" s="1137">
        <f t="shared" si="7"/>
        <v>0</v>
      </c>
      <c r="D19" s="1137"/>
      <c r="E19" s="1137"/>
      <c r="F19" s="1137">
        <f t="shared" si="0"/>
        <v>0</v>
      </c>
      <c r="G19" s="1138">
        <f>'State gasoline'!K19</f>
        <v>6.7799999999999999E-2</v>
      </c>
      <c r="H19" s="1139"/>
      <c r="I19" s="1134">
        <v>5994000</v>
      </c>
      <c r="J19" s="156"/>
      <c r="K19" s="156"/>
      <c r="L19" s="156">
        <f t="shared" si="1"/>
        <v>0</v>
      </c>
      <c r="M19" s="952">
        <f t="shared" si="8"/>
        <v>0</v>
      </c>
      <c r="N19" s="70">
        <f t="shared" si="2"/>
        <v>0</v>
      </c>
      <c r="O19" s="70">
        <f t="shared" si="3"/>
        <v>0</v>
      </c>
      <c r="P19" s="70">
        <f t="shared" si="4"/>
        <v>0</v>
      </c>
      <c r="Q19" s="70">
        <f t="shared" si="5"/>
        <v>0</v>
      </c>
    </row>
    <row r="20" spans="1:17" s="85" customFormat="1" x14ac:dyDescent="0.6">
      <c r="A20" s="1135">
        <f t="shared" si="6"/>
        <v>17</v>
      </c>
      <c r="B20" s="1136" t="s">
        <v>168</v>
      </c>
      <c r="C20" s="1137">
        <f t="shared" si="7"/>
        <v>0</v>
      </c>
      <c r="D20" s="1137"/>
      <c r="E20" s="1137"/>
      <c r="F20" s="1137">
        <f t="shared" si="0"/>
        <v>0</v>
      </c>
      <c r="G20" s="1138">
        <f>'State gasoline'!K20</f>
        <v>8.2000000000000003E-2</v>
      </c>
      <c r="H20" s="1139"/>
      <c r="I20" s="1134">
        <v>158000</v>
      </c>
      <c r="J20" s="156"/>
      <c r="K20" s="156"/>
      <c r="L20" s="156">
        <f t="shared" si="1"/>
        <v>0</v>
      </c>
      <c r="M20" s="952">
        <f t="shared" si="8"/>
        <v>0</v>
      </c>
      <c r="N20" s="70">
        <f t="shared" si="2"/>
        <v>0</v>
      </c>
      <c r="O20" s="70">
        <f t="shared" si="3"/>
        <v>0</v>
      </c>
      <c r="P20" s="70">
        <f t="shared" si="4"/>
        <v>0</v>
      </c>
      <c r="Q20" s="70">
        <f t="shared" si="5"/>
        <v>0</v>
      </c>
    </row>
    <row r="21" spans="1:17" s="85" customFormat="1" x14ac:dyDescent="0.6">
      <c r="A21" s="1135">
        <f t="shared" si="6"/>
        <v>18</v>
      </c>
      <c r="B21" s="1136" t="s">
        <v>167</v>
      </c>
      <c r="C21" s="1137">
        <f t="shared" si="7"/>
        <v>0</v>
      </c>
      <c r="D21" s="1137"/>
      <c r="E21" s="1137"/>
      <c r="F21" s="1137">
        <f t="shared" si="0"/>
        <v>0</v>
      </c>
      <c r="G21" s="1138">
        <f>'State gasoline'!K21</f>
        <v>0.06</v>
      </c>
      <c r="H21" s="1139"/>
      <c r="I21" s="1134">
        <v>4907000</v>
      </c>
      <c r="J21" s="156"/>
      <c r="K21" s="156"/>
      <c r="L21" s="156">
        <f t="shared" si="1"/>
        <v>0</v>
      </c>
      <c r="M21" s="952">
        <f t="shared" si="8"/>
        <v>0</v>
      </c>
      <c r="N21" s="70">
        <f t="shared" si="2"/>
        <v>0</v>
      </c>
      <c r="O21" s="70">
        <f t="shared" si="3"/>
        <v>0</v>
      </c>
      <c r="P21" s="70">
        <f t="shared" si="4"/>
        <v>0</v>
      </c>
      <c r="Q21" s="70">
        <f t="shared" si="5"/>
        <v>0</v>
      </c>
    </row>
    <row r="22" spans="1:17" s="85" customFormat="1" x14ac:dyDescent="0.6">
      <c r="A22" s="1135">
        <f t="shared" si="6"/>
        <v>19</v>
      </c>
      <c r="B22" s="1136" t="s">
        <v>179</v>
      </c>
      <c r="C22" s="1137">
        <f t="shared" si="7"/>
        <v>0</v>
      </c>
      <c r="D22" s="1137"/>
      <c r="E22" s="1137"/>
      <c r="F22" s="1137">
        <f t="shared" si="0"/>
        <v>0</v>
      </c>
      <c r="G22" s="1138">
        <f>'State gasoline'!K22</f>
        <v>8.9099999999999999E-2</v>
      </c>
      <c r="H22" s="1139"/>
      <c r="I22" s="1134">
        <v>258000</v>
      </c>
      <c r="J22" s="156"/>
      <c r="K22" s="156"/>
      <c r="L22" s="156">
        <f t="shared" si="1"/>
        <v>0</v>
      </c>
      <c r="M22" s="952">
        <f t="shared" si="8"/>
        <v>0</v>
      </c>
      <c r="N22" s="70">
        <f t="shared" si="2"/>
        <v>0</v>
      </c>
      <c r="O22" s="70">
        <f t="shared" si="3"/>
        <v>0</v>
      </c>
      <c r="P22" s="70">
        <f t="shared" si="4"/>
        <v>0</v>
      </c>
      <c r="Q22" s="70">
        <f t="shared" si="5"/>
        <v>0</v>
      </c>
    </row>
    <row r="23" spans="1:17" s="85" customFormat="1" x14ac:dyDescent="0.6">
      <c r="A23" s="60">
        <f t="shared" si="6"/>
        <v>20</v>
      </c>
      <c r="B23" s="85" t="s">
        <v>158</v>
      </c>
      <c r="C23" s="89">
        <f t="shared" si="7"/>
        <v>0</v>
      </c>
      <c r="D23" s="89"/>
      <c r="E23" s="89"/>
      <c r="F23" s="89">
        <f t="shared" si="0"/>
        <v>0</v>
      </c>
      <c r="G23" s="174">
        <f>'State gasoline'!K23</f>
        <v>5.5E-2</v>
      </c>
      <c r="H23" s="1140" t="s">
        <v>199</v>
      </c>
      <c r="I23" s="897">
        <v>235199000</v>
      </c>
      <c r="J23" s="156">
        <v>2.6230000000000002</v>
      </c>
      <c r="K23" s="156">
        <f t="shared" ref="K23:K25" si="9">IF(H23="Yes",J23/(1+G23),J23)</f>
        <v>2.6230000000000002</v>
      </c>
      <c r="L23" s="156">
        <f t="shared" si="1"/>
        <v>2.7672650000000001</v>
      </c>
      <c r="M23" s="952">
        <f t="shared" si="8"/>
        <v>0</v>
      </c>
      <c r="N23" s="70">
        <f t="shared" si="2"/>
        <v>616926977</v>
      </c>
      <c r="O23" s="70">
        <f t="shared" si="3"/>
        <v>616926977</v>
      </c>
      <c r="P23" s="70">
        <f t="shared" si="4"/>
        <v>650857960.73500001</v>
      </c>
      <c r="Q23" s="70">
        <f t="shared" si="5"/>
        <v>-33930983.735000014</v>
      </c>
    </row>
    <row r="24" spans="1:17" s="85" customFormat="1" x14ac:dyDescent="0.6">
      <c r="A24" s="60">
        <f t="shared" si="6"/>
        <v>21</v>
      </c>
      <c r="B24" s="85" t="s">
        <v>150</v>
      </c>
      <c r="C24" s="89">
        <f t="shared" si="7"/>
        <v>0</v>
      </c>
      <c r="D24" s="89"/>
      <c r="E24" s="89"/>
      <c r="F24" s="89">
        <f t="shared" si="0"/>
        <v>0</v>
      </c>
      <c r="G24" s="174">
        <f>'State gasoline'!K24</f>
        <v>0.06</v>
      </c>
      <c r="H24" s="1140" t="s">
        <v>200</v>
      </c>
      <c r="I24" s="897">
        <v>141120000</v>
      </c>
      <c r="J24" s="156">
        <v>2.7160000000000002</v>
      </c>
      <c r="K24" s="156">
        <f t="shared" si="9"/>
        <v>2.5622641509433963</v>
      </c>
      <c r="L24" s="156">
        <f t="shared" si="1"/>
        <v>2.7160000000000002</v>
      </c>
      <c r="M24" s="952">
        <f t="shared" si="8"/>
        <v>0.15373584905660387</v>
      </c>
      <c r="N24" s="70">
        <f t="shared" si="2"/>
        <v>383281920</v>
      </c>
      <c r="O24" s="70">
        <f t="shared" si="3"/>
        <v>361586716.98113209</v>
      </c>
      <c r="P24" s="70">
        <f t="shared" si="4"/>
        <v>383281920</v>
      </c>
      <c r="Q24" s="70">
        <f t="shared" si="5"/>
        <v>0</v>
      </c>
    </row>
    <row r="25" spans="1:17" s="85" customFormat="1" x14ac:dyDescent="0.6">
      <c r="A25" s="60">
        <f t="shared" si="6"/>
        <v>22</v>
      </c>
      <c r="B25" s="85" t="s">
        <v>166</v>
      </c>
      <c r="C25" s="89">
        <f t="shared" si="7"/>
        <v>0</v>
      </c>
      <c r="D25" s="89"/>
      <c r="E25" s="89"/>
      <c r="F25" s="89">
        <f t="shared" si="0"/>
        <v>0</v>
      </c>
      <c r="G25" s="174">
        <f>'State gasoline'!K25</f>
        <v>6.25E-2</v>
      </c>
      <c r="H25" s="1140" t="s">
        <v>199</v>
      </c>
      <c r="I25" s="897">
        <v>606641000</v>
      </c>
      <c r="J25" s="156">
        <v>2.6230000000000002</v>
      </c>
      <c r="K25" s="156">
        <f t="shared" si="9"/>
        <v>2.6230000000000002</v>
      </c>
      <c r="L25" s="156">
        <f t="shared" si="1"/>
        <v>2.7869375000000001</v>
      </c>
      <c r="M25" s="952">
        <f t="shared" si="8"/>
        <v>0</v>
      </c>
      <c r="N25" s="70">
        <f t="shared" si="2"/>
        <v>1591219343.0000002</v>
      </c>
      <c r="O25" s="70">
        <f t="shared" si="3"/>
        <v>1591219343.0000002</v>
      </c>
      <c r="P25" s="70">
        <f t="shared" si="4"/>
        <v>1690670551.9375</v>
      </c>
      <c r="Q25" s="70">
        <f t="shared" si="5"/>
        <v>-99451208.937499762</v>
      </c>
    </row>
    <row r="26" spans="1:17" s="85" customFormat="1" x14ac:dyDescent="0.6">
      <c r="A26" s="1135">
        <f t="shared" si="6"/>
        <v>23</v>
      </c>
      <c r="B26" s="1136" t="s">
        <v>155</v>
      </c>
      <c r="C26" s="1137">
        <f t="shared" si="7"/>
        <v>0</v>
      </c>
      <c r="D26" s="1137"/>
      <c r="E26" s="1137"/>
      <c r="F26" s="1137">
        <f t="shared" si="0"/>
        <v>0</v>
      </c>
      <c r="G26" s="1138">
        <f>'State gasoline'!K26</f>
        <v>0.06</v>
      </c>
      <c r="H26" s="1139"/>
      <c r="I26" s="1134">
        <v>22638000</v>
      </c>
      <c r="J26" s="156"/>
      <c r="K26" s="156"/>
      <c r="L26" s="156">
        <f t="shared" si="1"/>
        <v>0</v>
      </c>
      <c r="M26" s="952">
        <f t="shared" si="8"/>
        <v>0</v>
      </c>
      <c r="N26" s="70">
        <f t="shared" si="2"/>
        <v>0</v>
      </c>
      <c r="O26" s="70">
        <f t="shared" si="3"/>
        <v>0</v>
      </c>
      <c r="P26" s="70">
        <f t="shared" si="4"/>
        <v>0</v>
      </c>
      <c r="Q26" s="70">
        <f t="shared" si="5"/>
        <v>0</v>
      </c>
    </row>
    <row r="27" spans="1:17" s="85" customFormat="1" x14ac:dyDescent="0.6">
      <c r="A27" s="1135">
        <f t="shared" si="6"/>
        <v>24</v>
      </c>
      <c r="B27" s="1136" t="s">
        <v>162</v>
      </c>
      <c r="C27" s="1137">
        <f t="shared" si="7"/>
        <v>0</v>
      </c>
      <c r="D27" s="1137"/>
      <c r="E27" s="1137"/>
      <c r="F27" s="1137">
        <f t="shared" si="0"/>
        <v>0</v>
      </c>
      <c r="G27" s="1138">
        <f>'State gasoline'!K27</f>
        <v>7.1999999999999995E-2</v>
      </c>
      <c r="H27" s="1139"/>
      <c r="I27" s="1134">
        <v>34064000</v>
      </c>
      <c r="J27" s="156"/>
      <c r="K27" s="156"/>
      <c r="L27" s="156">
        <f t="shared" si="1"/>
        <v>0</v>
      </c>
      <c r="M27" s="952">
        <f t="shared" si="8"/>
        <v>0</v>
      </c>
      <c r="N27" s="70">
        <f t="shared" si="2"/>
        <v>0</v>
      </c>
      <c r="O27" s="70">
        <f t="shared" si="3"/>
        <v>0</v>
      </c>
      <c r="P27" s="70">
        <f t="shared" si="4"/>
        <v>0</v>
      </c>
      <c r="Q27" s="70">
        <f t="shared" si="5"/>
        <v>0</v>
      </c>
    </row>
    <row r="28" spans="1:17" s="85" customFormat="1" x14ac:dyDescent="0.6">
      <c r="A28" s="1135">
        <f t="shared" si="6"/>
        <v>25</v>
      </c>
      <c r="B28" s="1136" t="s">
        <v>183</v>
      </c>
      <c r="C28" s="1137">
        <f t="shared" si="7"/>
        <v>0</v>
      </c>
      <c r="D28" s="1137"/>
      <c r="E28" s="1137"/>
      <c r="F28" s="1137">
        <f t="shared" si="0"/>
        <v>0</v>
      </c>
      <c r="G28" s="1138">
        <f>'State gasoline'!K28</f>
        <v>7.0699999999999999E-2</v>
      </c>
      <c r="H28" s="1139"/>
      <c r="I28" s="1134">
        <v>5000</v>
      </c>
      <c r="J28" s="156"/>
      <c r="K28" s="156"/>
      <c r="L28" s="156">
        <f t="shared" si="1"/>
        <v>0</v>
      </c>
      <c r="M28" s="952">
        <f t="shared" si="8"/>
        <v>0</v>
      </c>
      <c r="N28" s="70">
        <f t="shared" si="2"/>
        <v>0</v>
      </c>
      <c r="O28" s="70">
        <f t="shared" si="3"/>
        <v>0</v>
      </c>
      <c r="P28" s="70">
        <f t="shared" si="4"/>
        <v>0</v>
      </c>
      <c r="Q28" s="70">
        <f t="shared" si="5"/>
        <v>0</v>
      </c>
    </row>
    <row r="29" spans="1:17" s="85" customFormat="1" x14ac:dyDescent="0.6">
      <c r="A29" s="1135">
        <f t="shared" si="6"/>
        <v>26</v>
      </c>
      <c r="B29" s="1136" t="s">
        <v>184</v>
      </c>
      <c r="C29" s="1137">
        <f t="shared" si="7"/>
        <v>0</v>
      </c>
      <c r="D29" s="1137"/>
      <c r="E29" s="1137"/>
      <c r="F29" s="1137">
        <f t="shared" si="0"/>
        <v>0</v>
      </c>
      <c r="G29" s="1138">
        <f>'State gasoline'!K29</f>
        <v>7.8100000000000003E-2</v>
      </c>
      <c r="H29" s="1139"/>
      <c r="I29" s="1134">
        <v>1193000</v>
      </c>
      <c r="J29" s="156"/>
      <c r="K29" s="156"/>
      <c r="L29" s="156">
        <f t="shared" si="1"/>
        <v>0</v>
      </c>
      <c r="M29" s="952">
        <f t="shared" si="8"/>
        <v>0</v>
      </c>
      <c r="N29" s="70">
        <f t="shared" si="2"/>
        <v>0</v>
      </c>
      <c r="O29" s="70">
        <f t="shared" si="3"/>
        <v>0</v>
      </c>
      <c r="P29" s="70">
        <f t="shared" si="4"/>
        <v>0</v>
      </c>
      <c r="Q29" s="70">
        <f t="shared" si="5"/>
        <v>0</v>
      </c>
    </row>
    <row r="30" spans="1:17" s="85" customFormat="1" x14ac:dyDescent="0.6">
      <c r="A30" s="1135">
        <f t="shared" si="6"/>
        <v>27</v>
      </c>
      <c r="B30" s="1136" t="s">
        <v>164</v>
      </c>
      <c r="C30" s="1137">
        <f t="shared" si="7"/>
        <v>0</v>
      </c>
      <c r="D30" s="1137"/>
      <c r="E30" s="1137"/>
      <c r="F30" s="1137">
        <f t="shared" si="0"/>
        <v>0</v>
      </c>
      <c r="G30" s="1138">
        <f>'State gasoline'!K30</f>
        <v>0</v>
      </c>
      <c r="H30" s="1139"/>
      <c r="I30" s="1134">
        <v>3313000</v>
      </c>
      <c r="J30" s="156"/>
      <c r="K30" s="156"/>
      <c r="L30" s="156">
        <f t="shared" si="1"/>
        <v>0</v>
      </c>
      <c r="M30" s="952">
        <f t="shared" si="8"/>
        <v>0</v>
      </c>
      <c r="N30" s="70">
        <f t="shared" si="2"/>
        <v>0</v>
      </c>
      <c r="O30" s="70">
        <f t="shared" si="3"/>
        <v>0</v>
      </c>
      <c r="P30" s="70">
        <f t="shared" si="4"/>
        <v>0</v>
      </c>
      <c r="Q30" s="70">
        <f t="shared" si="5"/>
        <v>0</v>
      </c>
    </row>
    <row r="31" spans="1:17" s="85" customFormat="1" x14ac:dyDescent="0.6">
      <c r="A31" s="1135">
        <f t="shared" si="6"/>
        <v>28</v>
      </c>
      <c r="B31" s="1136" t="s">
        <v>165</v>
      </c>
      <c r="C31" s="1137">
        <f t="shared" si="7"/>
        <v>0</v>
      </c>
      <c r="D31" s="1137"/>
      <c r="E31" s="1137"/>
      <c r="F31" s="1137">
        <f t="shared" si="0"/>
        <v>0</v>
      </c>
      <c r="G31" s="1138">
        <f>'State gasoline'!K31</f>
        <v>6.8000000000000005E-2</v>
      </c>
      <c r="H31" s="1139"/>
      <c r="I31" s="1134">
        <v>636000</v>
      </c>
      <c r="J31" s="156"/>
      <c r="K31" s="156"/>
      <c r="L31" s="156">
        <f t="shared" si="1"/>
        <v>0</v>
      </c>
      <c r="M31" s="952">
        <f t="shared" si="8"/>
        <v>0</v>
      </c>
      <c r="N31" s="70">
        <f t="shared" si="2"/>
        <v>0</v>
      </c>
      <c r="O31" s="70">
        <f t="shared" si="3"/>
        <v>0</v>
      </c>
      <c r="P31" s="70">
        <f t="shared" si="4"/>
        <v>0</v>
      </c>
      <c r="Q31" s="70">
        <f t="shared" si="5"/>
        <v>0</v>
      </c>
    </row>
    <row r="32" spans="1:17" s="85" customFormat="1" x14ac:dyDescent="0.6">
      <c r="A32" s="1135">
        <f t="shared" si="6"/>
        <v>29</v>
      </c>
      <c r="B32" s="1136" t="s">
        <v>147</v>
      </c>
      <c r="C32" s="1137">
        <f t="shared" si="7"/>
        <v>0</v>
      </c>
      <c r="D32" s="1137"/>
      <c r="E32" s="1137"/>
      <c r="F32" s="1137">
        <f t="shared" si="0"/>
        <v>0</v>
      </c>
      <c r="G32" s="1138">
        <f>'State gasoline'!K32</f>
        <v>7.9399999999999998E-2</v>
      </c>
      <c r="H32" s="1139"/>
      <c r="I32" s="1134">
        <v>1363000</v>
      </c>
      <c r="J32" s="156"/>
      <c r="K32" s="156"/>
      <c r="L32" s="156">
        <f t="shared" si="1"/>
        <v>0</v>
      </c>
      <c r="M32" s="952">
        <f t="shared" si="8"/>
        <v>0</v>
      </c>
      <c r="N32" s="70">
        <f t="shared" si="2"/>
        <v>0</v>
      </c>
      <c r="O32" s="70">
        <f t="shared" si="3"/>
        <v>0</v>
      </c>
      <c r="P32" s="70">
        <f t="shared" si="4"/>
        <v>0</v>
      </c>
      <c r="Q32" s="70">
        <f t="shared" si="5"/>
        <v>0</v>
      </c>
    </row>
    <row r="33" spans="1:17" s="85" customFormat="1" x14ac:dyDescent="0.6">
      <c r="A33" s="60">
        <f t="shared" si="6"/>
        <v>30</v>
      </c>
      <c r="B33" s="85" t="s">
        <v>170</v>
      </c>
      <c r="C33" s="89">
        <f t="shared" si="7"/>
        <v>0</v>
      </c>
      <c r="D33" s="89"/>
      <c r="E33" s="89"/>
      <c r="F33" s="89">
        <f t="shared" si="0"/>
        <v>0</v>
      </c>
      <c r="G33" s="174">
        <f>'State gasoline'!K33</f>
        <v>0</v>
      </c>
      <c r="H33" s="1140" t="s">
        <v>199</v>
      </c>
      <c r="I33" s="897">
        <v>153184000</v>
      </c>
      <c r="J33" s="156">
        <v>2.6230000000000002</v>
      </c>
      <c r="K33" s="156">
        <f>IF(H33="Yes",J33/(1+G33),J33)</f>
        <v>2.6230000000000002</v>
      </c>
      <c r="L33" s="156">
        <f t="shared" si="1"/>
        <v>2.6230000000000002</v>
      </c>
      <c r="M33" s="952">
        <f t="shared" si="8"/>
        <v>0</v>
      </c>
      <c r="N33" s="70">
        <f t="shared" si="2"/>
        <v>401801632.00000006</v>
      </c>
      <c r="O33" s="70">
        <f t="shared" si="3"/>
        <v>401801632.00000006</v>
      </c>
      <c r="P33" s="70">
        <f t="shared" si="4"/>
        <v>401801632.00000006</v>
      </c>
      <c r="Q33" s="70">
        <f t="shared" si="5"/>
        <v>0</v>
      </c>
    </row>
    <row r="34" spans="1:17" s="85" customFormat="1" x14ac:dyDescent="0.6">
      <c r="A34" s="60">
        <f t="shared" si="6"/>
        <v>31</v>
      </c>
      <c r="B34" s="85" t="s">
        <v>187</v>
      </c>
      <c r="C34" s="89">
        <f t="shared" si="7"/>
        <v>0</v>
      </c>
      <c r="D34" s="89"/>
      <c r="E34" s="89"/>
      <c r="F34" s="89">
        <f t="shared" si="0"/>
        <v>0</v>
      </c>
      <c r="G34" s="174">
        <f>'State gasoline'!K34</f>
        <v>6.9699999999999998E-2</v>
      </c>
      <c r="H34" s="1140" t="s">
        <v>199</v>
      </c>
      <c r="I34" s="897">
        <v>206182000</v>
      </c>
      <c r="J34" s="156">
        <v>2.7160000000000002</v>
      </c>
      <c r="K34" s="156">
        <f>IF(H34="Yes",J34/(1+G34),J34)</f>
        <v>2.7160000000000002</v>
      </c>
      <c r="L34" s="156">
        <f t="shared" si="1"/>
        <v>2.9053052000000004</v>
      </c>
      <c r="M34" s="952">
        <f t="shared" si="8"/>
        <v>0</v>
      </c>
      <c r="N34" s="70">
        <f t="shared" si="2"/>
        <v>559990312</v>
      </c>
      <c r="O34" s="70">
        <f t="shared" si="3"/>
        <v>559990312</v>
      </c>
      <c r="P34" s="70">
        <f t="shared" si="4"/>
        <v>599021636.74640012</v>
      </c>
      <c r="Q34" s="70">
        <f t="shared" si="5"/>
        <v>-39031324.746400118</v>
      </c>
    </row>
    <row r="35" spans="1:17" s="85" customFormat="1" x14ac:dyDescent="0.6">
      <c r="A35" s="1135">
        <f t="shared" si="6"/>
        <v>32</v>
      </c>
      <c r="B35" s="1136" t="s">
        <v>182</v>
      </c>
      <c r="C35" s="1137">
        <f t="shared" si="7"/>
        <v>0</v>
      </c>
      <c r="D35" s="1137"/>
      <c r="E35" s="1137"/>
      <c r="F35" s="1137">
        <f t="shared" si="0"/>
        <v>0</v>
      </c>
      <c r="G35" s="1138">
        <f>'State gasoline'!K35</f>
        <v>7.3499999999999996E-2</v>
      </c>
      <c r="H35" s="1139"/>
      <c r="I35" s="1134">
        <v>65000</v>
      </c>
      <c r="J35" s="156"/>
      <c r="K35" s="156">
        <f>J35-F35</f>
        <v>0</v>
      </c>
      <c r="L35" s="156">
        <f t="shared" si="1"/>
        <v>0</v>
      </c>
      <c r="M35" s="952">
        <f t="shared" si="8"/>
        <v>0</v>
      </c>
      <c r="N35" s="70">
        <f t="shared" si="2"/>
        <v>0</v>
      </c>
      <c r="O35" s="70">
        <f t="shared" si="3"/>
        <v>0</v>
      </c>
      <c r="P35" s="70">
        <f t="shared" si="4"/>
        <v>0</v>
      </c>
      <c r="Q35" s="70">
        <f t="shared" si="5"/>
        <v>0</v>
      </c>
    </row>
    <row r="36" spans="1:17" s="85" customFormat="1" x14ac:dyDescent="0.6">
      <c r="A36" s="60">
        <f t="shared" si="6"/>
        <v>33</v>
      </c>
      <c r="B36" s="85" t="s">
        <v>140</v>
      </c>
      <c r="C36" s="89">
        <f t="shared" si="7"/>
        <v>0</v>
      </c>
      <c r="D36" s="360">
        <v>4.4999999999999998E-2</v>
      </c>
      <c r="E36" s="89"/>
      <c r="F36" s="89">
        <f t="shared" ref="F36:F54" si="10">D36+C36</f>
        <v>4.4999999999999998E-2</v>
      </c>
      <c r="G36" s="174">
        <f>'State gasoline'!K36</f>
        <v>8.48E-2</v>
      </c>
      <c r="H36" s="1140" t="s">
        <v>199</v>
      </c>
      <c r="I36" s="897">
        <v>886596000</v>
      </c>
      <c r="J36" s="156">
        <v>2.7160000000000002</v>
      </c>
      <c r="K36" s="156">
        <f>J36/(1+D36)</f>
        <v>2.5990430622009573</v>
      </c>
      <c r="L36" s="156">
        <f t="shared" ref="L36:L54" si="11">K36*(1+G36)</f>
        <v>2.8194419138755986</v>
      </c>
      <c r="M36" s="952">
        <f t="shared" si="8"/>
        <v>0.11695693779904293</v>
      </c>
      <c r="N36" s="70">
        <f t="shared" ref="N36:N54" si="12">J36*I36</f>
        <v>2407994736</v>
      </c>
      <c r="O36" s="70">
        <f t="shared" ref="O36:O54" si="13">K36*I36</f>
        <v>2304301182.7751198</v>
      </c>
      <c r="P36" s="70">
        <f t="shared" ref="P36:P54" si="14">L36*I36</f>
        <v>2499705923.07445</v>
      </c>
      <c r="Q36" s="70">
        <f t="shared" si="5"/>
        <v>-91711187.074450016</v>
      </c>
    </row>
    <row r="37" spans="1:17" s="85" customFormat="1" x14ac:dyDescent="0.6">
      <c r="A37" s="1135">
        <f t="shared" si="6"/>
        <v>34</v>
      </c>
      <c r="B37" s="1136" t="s">
        <v>145</v>
      </c>
      <c r="C37" s="1137">
        <f t="shared" si="7"/>
        <v>0</v>
      </c>
      <c r="D37" s="1137"/>
      <c r="E37" s="1137"/>
      <c r="F37" s="1137">
        <f t="shared" si="10"/>
        <v>0</v>
      </c>
      <c r="G37" s="1138">
        <f>'State gasoline'!K37</f>
        <v>6.9000000000000006E-2</v>
      </c>
      <c r="H37" s="1139"/>
      <c r="I37" s="1134">
        <v>65882000</v>
      </c>
      <c r="J37" s="156"/>
      <c r="K37" s="156"/>
      <c r="L37" s="156">
        <f t="shared" si="11"/>
        <v>0</v>
      </c>
      <c r="M37" s="952">
        <f t="shared" si="8"/>
        <v>0</v>
      </c>
      <c r="N37" s="70">
        <f t="shared" si="12"/>
        <v>0</v>
      </c>
      <c r="O37" s="70">
        <f t="shared" si="13"/>
        <v>0</v>
      </c>
      <c r="P37" s="70">
        <f t="shared" si="14"/>
        <v>0</v>
      </c>
      <c r="Q37" s="70">
        <f t="shared" si="5"/>
        <v>0</v>
      </c>
    </row>
    <row r="38" spans="1:17" s="85" customFormat="1" x14ac:dyDescent="0.6">
      <c r="A38" s="1135">
        <f t="shared" si="6"/>
        <v>35</v>
      </c>
      <c r="B38" s="1136" t="s">
        <v>173</v>
      </c>
      <c r="C38" s="1137">
        <f t="shared" si="7"/>
        <v>0</v>
      </c>
      <c r="D38" s="1137"/>
      <c r="E38" s="1137"/>
      <c r="F38" s="1137">
        <f t="shared" si="10"/>
        <v>0</v>
      </c>
      <c r="G38" s="1138">
        <f>'State gasoline'!K38</f>
        <v>6.5600000000000006E-2</v>
      </c>
      <c r="H38" s="1139"/>
      <c r="I38" s="1134">
        <v>5699000</v>
      </c>
      <c r="J38" s="156"/>
      <c r="K38" s="156"/>
      <c r="L38" s="156">
        <f t="shared" si="11"/>
        <v>0</v>
      </c>
      <c r="M38" s="952">
        <f t="shared" si="8"/>
        <v>0</v>
      </c>
      <c r="N38" s="70">
        <f t="shared" si="12"/>
        <v>0</v>
      </c>
      <c r="O38" s="70">
        <f t="shared" si="13"/>
        <v>0</v>
      </c>
      <c r="P38" s="70">
        <f t="shared" si="14"/>
        <v>0</v>
      </c>
      <c r="Q38" s="70">
        <f t="shared" si="5"/>
        <v>0</v>
      </c>
    </row>
    <row r="39" spans="1:17" s="85" customFormat="1" x14ac:dyDescent="0.6">
      <c r="A39" s="1135">
        <f t="shared" si="6"/>
        <v>36</v>
      </c>
      <c r="B39" s="1136" t="s">
        <v>163</v>
      </c>
      <c r="C39" s="1137">
        <f t="shared" si="7"/>
        <v>0</v>
      </c>
      <c r="D39" s="1137"/>
      <c r="E39" s="1137"/>
      <c r="F39" s="1137">
        <f t="shared" si="10"/>
        <v>0</v>
      </c>
      <c r="G39" s="1138">
        <f>'State gasoline'!K39</f>
        <v>7.0999999999999994E-2</v>
      </c>
      <c r="H39" s="1139"/>
      <c r="I39" s="1134">
        <v>62838000</v>
      </c>
      <c r="J39" s="156"/>
      <c r="K39" s="156"/>
      <c r="L39" s="156">
        <f t="shared" si="11"/>
        <v>0</v>
      </c>
      <c r="M39" s="952">
        <f t="shared" si="8"/>
        <v>0</v>
      </c>
      <c r="N39" s="70">
        <f t="shared" si="12"/>
        <v>0</v>
      </c>
      <c r="O39" s="70">
        <f t="shared" si="13"/>
        <v>0</v>
      </c>
      <c r="P39" s="70">
        <f t="shared" si="14"/>
        <v>0</v>
      </c>
      <c r="Q39" s="70">
        <f t="shared" si="5"/>
        <v>0</v>
      </c>
    </row>
    <row r="40" spans="1:17" s="85" customFormat="1" x14ac:dyDescent="0.6">
      <c r="A40" s="1135">
        <f t="shared" si="6"/>
        <v>37</v>
      </c>
      <c r="B40" s="1136" t="s">
        <v>185</v>
      </c>
      <c r="C40" s="1137">
        <f t="shared" si="7"/>
        <v>0</v>
      </c>
      <c r="D40" s="1137"/>
      <c r="E40" s="1137"/>
      <c r="F40" s="1137">
        <f t="shared" si="10"/>
        <v>0</v>
      </c>
      <c r="G40" s="1138">
        <f>'State gasoline'!K40</f>
        <v>8.77E-2</v>
      </c>
      <c r="H40" s="1139"/>
      <c r="I40" s="1134">
        <v>46000</v>
      </c>
      <c r="J40" s="156"/>
      <c r="K40" s="156"/>
      <c r="L40" s="156">
        <f t="shared" si="11"/>
        <v>0</v>
      </c>
      <c r="M40" s="952">
        <f t="shared" si="8"/>
        <v>0</v>
      </c>
      <c r="N40" s="70">
        <f t="shared" si="12"/>
        <v>0</v>
      </c>
      <c r="O40" s="70">
        <f t="shared" si="13"/>
        <v>0</v>
      </c>
      <c r="P40" s="70">
        <f t="shared" si="14"/>
        <v>0</v>
      </c>
      <c r="Q40" s="70">
        <f t="shared" si="5"/>
        <v>0</v>
      </c>
    </row>
    <row r="41" spans="1:17" s="85" customFormat="1" x14ac:dyDescent="0.6">
      <c r="A41" s="1135">
        <f t="shared" si="6"/>
        <v>38</v>
      </c>
      <c r="B41" s="1136" t="s">
        <v>153</v>
      </c>
      <c r="C41" s="1137">
        <f t="shared" si="7"/>
        <v>0</v>
      </c>
      <c r="D41" s="1137"/>
      <c r="E41" s="1137"/>
      <c r="F41" s="1137">
        <f t="shared" si="10"/>
        <v>0</v>
      </c>
      <c r="G41" s="1138">
        <f>'State gasoline'!K41</f>
        <v>0</v>
      </c>
      <c r="H41" s="1139"/>
      <c r="I41" s="1134">
        <v>12236000</v>
      </c>
      <c r="J41" s="156"/>
      <c r="K41" s="156"/>
      <c r="L41" s="156">
        <f t="shared" si="11"/>
        <v>0</v>
      </c>
      <c r="M41" s="952">
        <f t="shared" si="8"/>
        <v>0</v>
      </c>
      <c r="N41" s="70">
        <f t="shared" si="12"/>
        <v>0</v>
      </c>
      <c r="O41" s="70">
        <f t="shared" si="13"/>
        <v>0</v>
      </c>
      <c r="P41" s="70">
        <f t="shared" si="14"/>
        <v>0</v>
      </c>
      <c r="Q41" s="70">
        <f t="shared" si="5"/>
        <v>0</v>
      </c>
    </row>
    <row r="42" spans="1:17" s="85" customFormat="1" x14ac:dyDescent="0.6">
      <c r="A42" s="60">
        <f t="shared" si="6"/>
        <v>39</v>
      </c>
      <c r="B42" s="85" t="s">
        <v>138</v>
      </c>
      <c r="C42" s="89">
        <f t="shared" si="7"/>
        <v>0</v>
      </c>
      <c r="D42" s="89"/>
      <c r="E42" s="89"/>
      <c r="F42" s="89">
        <f t="shared" si="10"/>
        <v>0</v>
      </c>
      <c r="G42" s="174">
        <f>'State gasoline'!K42</f>
        <v>6.3399999999999998E-2</v>
      </c>
      <c r="H42" s="1140" t="s">
        <v>199</v>
      </c>
      <c r="I42" s="897">
        <v>631690000</v>
      </c>
      <c r="J42" s="156">
        <v>2.7160000000000002</v>
      </c>
      <c r="K42" s="156">
        <f t="shared" ref="K42:K43" si="15">IF(H42="Yes",J42/(1+G42),J42)</f>
        <v>2.7160000000000002</v>
      </c>
      <c r="L42" s="156">
        <f t="shared" si="11"/>
        <v>2.8881943999999997</v>
      </c>
      <c r="M42" s="952">
        <f t="shared" si="8"/>
        <v>0</v>
      </c>
      <c r="N42" s="70">
        <f t="shared" si="12"/>
        <v>1715670040.0000002</v>
      </c>
      <c r="O42" s="70">
        <f t="shared" si="13"/>
        <v>1715670040.0000002</v>
      </c>
      <c r="P42" s="70">
        <f t="shared" si="14"/>
        <v>1824443520.5359998</v>
      </c>
      <c r="Q42" s="70">
        <f t="shared" si="5"/>
        <v>-108773480.53599954</v>
      </c>
    </row>
    <row r="43" spans="1:17" s="85" customFormat="1" x14ac:dyDescent="0.6">
      <c r="A43" s="60">
        <f t="shared" si="6"/>
        <v>40</v>
      </c>
      <c r="B43" s="85" t="s">
        <v>146</v>
      </c>
      <c r="C43" s="89">
        <f t="shared" si="7"/>
        <v>0</v>
      </c>
      <c r="D43" s="89"/>
      <c r="E43" s="89"/>
      <c r="F43" s="89">
        <f t="shared" si="10"/>
        <v>0</v>
      </c>
      <c r="G43" s="174">
        <f>'State gasoline'!K43</f>
        <v>7.0000000000000007E-2</v>
      </c>
      <c r="H43" s="1140" t="s">
        <v>199</v>
      </c>
      <c r="I43" s="897">
        <v>125708000</v>
      </c>
      <c r="J43" s="156">
        <v>2.6230000000000002</v>
      </c>
      <c r="K43" s="156">
        <f t="shared" si="15"/>
        <v>2.6230000000000002</v>
      </c>
      <c r="L43" s="156">
        <f t="shared" si="11"/>
        <v>2.8066100000000005</v>
      </c>
      <c r="M43" s="952">
        <f t="shared" si="8"/>
        <v>0</v>
      </c>
      <c r="N43" s="70">
        <f t="shared" si="12"/>
        <v>329732084</v>
      </c>
      <c r="O43" s="70">
        <f t="shared" si="13"/>
        <v>329732084</v>
      </c>
      <c r="P43" s="70">
        <f t="shared" si="14"/>
        <v>352813329.88000005</v>
      </c>
      <c r="Q43" s="70">
        <f t="shared" si="5"/>
        <v>-23081245.880000055</v>
      </c>
    </row>
    <row r="44" spans="1:17" s="85" customFormat="1" x14ac:dyDescent="0.6">
      <c r="A44" s="1135">
        <f t="shared" si="6"/>
        <v>41</v>
      </c>
      <c r="B44" s="1136" t="s">
        <v>186</v>
      </c>
      <c r="C44" s="1137">
        <f t="shared" si="7"/>
        <v>0</v>
      </c>
      <c r="D44" s="1137"/>
      <c r="E44" s="1137"/>
      <c r="F44" s="1137">
        <f t="shared" si="10"/>
        <v>0</v>
      </c>
      <c r="G44" s="1138">
        <f>'State gasoline'!K44</f>
        <v>7.1300000000000002E-2</v>
      </c>
      <c r="H44" s="1139"/>
      <c r="I44" s="1134">
        <v>3729000</v>
      </c>
      <c r="J44" s="156"/>
      <c r="K44" s="156"/>
      <c r="L44" s="156">
        <f t="shared" si="11"/>
        <v>0</v>
      </c>
      <c r="M44" s="952">
        <f t="shared" si="8"/>
        <v>0</v>
      </c>
      <c r="N44" s="70">
        <f t="shared" si="12"/>
        <v>0</v>
      </c>
      <c r="O44" s="70">
        <f t="shared" si="13"/>
        <v>0</v>
      </c>
      <c r="P44" s="70">
        <f t="shared" si="14"/>
        <v>0</v>
      </c>
      <c r="Q44" s="70">
        <f t="shared" si="5"/>
        <v>0</v>
      </c>
    </row>
    <row r="45" spans="1:17" s="85" customFormat="1" x14ac:dyDescent="0.6">
      <c r="A45" s="1135">
        <f t="shared" si="6"/>
        <v>42</v>
      </c>
      <c r="B45" s="1136" t="s">
        <v>159</v>
      </c>
      <c r="C45" s="1137">
        <f t="shared" si="7"/>
        <v>0</v>
      </c>
      <c r="D45" s="1137"/>
      <c r="E45" s="1137"/>
      <c r="F45" s="1137">
        <f t="shared" si="10"/>
        <v>0</v>
      </c>
      <c r="G45" s="1138">
        <f>'State gasoline'!K45</f>
        <v>5.8299999999999998E-2</v>
      </c>
      <c r="H45" s="1139"/>
      <c r="I45" s="1134">
        <v>3650000</v>
      </c>
      <c r="J45" s="156"/>
      <c r="K45" s="156"/>
      <c r="L45" s="156">
        <f t="shared" si="11"/>
        <v>0</v>
      </c>
      <c r="M45" s="952">
        <f t="shared" si="8"/>
        <v>0</v>
      </c>
      <c r="N45" s="70">
        <f t="shared" si="12"/>
        <v>0</v>
      </c>
      <c r="O45" s="70">
        <f t="shared" si="13"/>
        <v>0</v>
      </c>
      <c r="P45" s="70">
        <f t="shared" si="14"/>
        <v>0</v>
      </c>
      <c r="Q45" s="70">
        <f t="shared" si="5"/>
        <v>0</v>
      </c>
    </row>
    <row r="46" spans="1:17" s="85" customFormat="1" x14ac:dyDescent="0.6">
      <c r="A46" s="1135">
        <f t="shared" si="6"/>
        <v>43</v>
      </c>
      <c r="B46" s="1136" t="s">
        <v>177</v>
      </c>
      <c r="C46" s="1137">
        <f t="shared" si="7"/>
        <v>0</v>
      </c>
      <c r="D46" s="1137"/>
      <c r="E46" s="1137"/>
      <c r="F46" s="1137">
        <f t="shared" si="10"/>
        <v>0</v>
      </c>
      <c r="G46" s="1138">
        <f>'State gasoline'!K46</f>
        <v>9.4500000000000001E-2</v>
      </c>
      <c r="H46" s="1139"/>
      <c r="I46" s="1134">
        <v>2257000</v>
      </c>
      <c r="J46" s="156"/>
      <c r="K46" s="156"/>
      <c r="L46" s="156">
        <f t="shared" si="11"/>
        <v>0</v>
      </c>
      <c r="M46" s="952">
        <f t="shared" si="8"/>
        <v>0</v>
      </c>
      <c r="N46" s="70">
        <f t="shared" si="12"/>
        <v>0</v>
      </c>
      <c r="O46" s="70">
        <f t="shared" si="13"/>
        <v>0</v>
      </c>
      <c r="P46" s="70">
        <f t="shared" si="14"/>
        <v>0</v>
      </c>
      <c r="Q46" s="70">
        <f t="shared" si="5"/>
        <v>0</v>
      </c>
    </row>
    <row r="47" spans="1:17" s="85" customFormat="1" x14ac:dyDescent="0.6">
      <c r="A47" s="1135">
        <f t="shared" si="6"/>
        <v>44</v>
      </c>
      <c r="B47" s="1136" t="s">
        <v>180</v>
      </c>
      <c r="C47" s="1137">
        <f t="shared" si="7"/>
        <v>0</v>
      </c>
      <c r="D47" s="1137"/>
      <c r="E47" s="1137"/>
      <c r="F47" s="1137">
        <f t="shared" si="10"/>
        <v>0</v>
      </c>
      <c r="G47" s="1138">
        <f>'State gasoline'!K47</f>
        <v>8.0500000000000002E-2</v>
      </c>
      <c r="H47" s="1139"/>
      <c r="I47" s="1134">
        <v>67000</v>
      </c>
      <c r="J47" s="156"/>
      <c r="K47" s="156"/>
      <c r="L47" s="156">
        <f t="shared" si="11"/>
        <v>0</v>
      </c>
      <c r="M47" s="952">
        <f t="shared" si="8"/>
        <v>0</v>
      </c>
      <c r="N47" s="70">
        <f t="shared" si="12"/>
        <v>0</v>
      </c>
      <c r="O47" s="70">
        <f t="shared" si="13"/>
        <v>0</v>
      </c>
      <c r="P47" s="70">
        <f t="shared" si="14"/>
        <v>0</v>
      </c>
      <c r="Q47" s="70">
        <f t="shared" si="5"/>
        <v>0</v>
      </c>
    </row>
    <row r="48" spans="1:17" s="85" customFormat="1" x14ac:dyDescent="0.6">
      <c r="A48" s="1135">
        <f t="shared" si="6"/>
        <v>45</v>
      </c>
      <c r="B48" s="1136" t="s">
        <v>161</v>
      </c>
      <c r="C48" s="1137">
        <f t="shared" si="7"/>
        <v>0</v>
      </c>
      <c r="D48" s="1137"/>
      <c r="E48" s="1137"/>
      <c r="F48" s="1137">
        <f t="shared" si="10"/>
        <v>0</v>
      </c>
      <c r="G48" s="1138">
        <f>'State gasoline'!K48</f>
        <v>6.6799999999999998E-2</v>
      </c>
      <c r="H48" s="1139"/>
      <c r="I48" s="1134">
        <v>1054000</v>
      </c>
      <c r="J48" s="156"/>
      <c r="K48" s="156"/>
      <c r="L48" s="156">
        <f t="shared" si="11"/>
        <v>0</v>
      </c>
      <c r="M48" s="952">
        <f t="shared" si="8"/>
        <v>0</v>
      </c>
      <c r="N48" s="70">
        <f t="shared" si="12"/>
        <v>0</v>
      </c>
      <c r="O48" s="70">
        <f t="shared" si="13"/>
        <v>0</v>
      </c>
      <c r="P48" s="70">
        <f t="shared" si="14"/>
        <v>0</v>
      </c>
      <c r="Q48" s="70">
        <f t="shared" si="5"/>
        <v>0</v>
      </c>
    </row>
    <row r="49" spans="1:18" s="85" customFormat="1" x14ac:dyDescent="0.6">
      <c r="A49" s="60">
        <f t="shared" si="6"/>
        <v>46</v>
      </c>
      <c r="B49" s="85" t="s">
        <v>156</v>
      </c>
      <c r="C49" s="89">
        <f t="shared" si="7"/>
        <v>0</v>
      </c>
      <c r="D49" s="89">
        <v>0.02</v>
      </c>
      <c r="E49" s="89"/>
      <c r="F49" s="89">
        <f t="shared" si="10"/>
        <v>0.02</v>
      </c>
      <c r="G49" s="174">
        <f>'State gasoline'!K49</f>
        <v>6.1400000000000003E-2</v>
      </c>
      <c r="H49" s="1140" t="s">
        <v>199</v>
      </c>
      <c r="I49" s="897">
        <v>79061000</v>
      </c>
      <c r="J49" s="156">
        <v>2.6230000000000002</v>
      </c>
      <c r="K49" s="156">
        <f>J49-D49</f>
        <v>2.6030000000000002</v>
      </c>
      <c r="L49" s="156">
        <f t="shared" si="11"/>
        <v>2.7628241999999998</v>
      </c>
      <c r="M49" s="952">
        <f t="shared" si="8"/>
        <v>2.0000000000000018E-2</v>
      </c>
      <c r="N49" s="70">
        <f t="shared" si="12"/>
        <v>207377003.00000003</v>
      </c>
      <c r="O49" s="70">
        <f t="shared" si="13"/>
        <v>205795783.00000003</v>
      </c>
      <c r="P49" s="70">
        <f t="shared" si="14"/>
        <v>218431644.07619998</v>
      </c>
      <c r="Q49" s="70">
        <f t="shared" si="5"/>
        <v>-11054641.076199949</v>
      </c>
    </row>
    <row r="50" spans="1:18" s="85" customFormat="1" x14ac:dyDescent="0.6">
      <c r="A50" s="60">
        <f t="shared" si="6"/>
        <v>47</v>
      </c>
      <c r="B50" s="85" t="s">
        <v>174</v>
      </c>
      <c r="C50" s="89">
        <f t="shared" si="7"/>
        <v>0</v>
      </c>
      <c r="D50" s="89"/>
      <c r="E50" s="89"/>
      <c r="F50" s="89">
        <f t="shared" si="10"/>
        <v>0</v>
      </c>
      <c r="G50" s="174">
        <f>'State gasoline'!K50</f>
        <v>5.6300000000000003E-2</v>
      </c>
      <c r="H50" s="1140" t="s">
        <v>199</v>
      </c>
      <c r="I50" s="897">
        <v>94313000</v>
      </c>
      <c r="J50" s="156">
        <v>2.6</v>
      </c>
      <c r="K50" s="156">
        <f t="shared" ref="K50" si="16">IF(H50="Yes",J50/(1+G50),J50)</f>
        <v>2.6</v>
      </c>
      <c r="L50" s="156">
        <f t="shared" si="11"/>
        <v>2.7463800000000003</v>
      </c>
      <c r="M50" s="952">
        <f t="shared" si="8"/>
        <v>0</v>
      </c>
      <c r="N50" s="70">
        <f t="shared" si="12"/>
        <v>245213800</v>
      </c>
      <c r="O50" s="70">
        <f t="shared" si="13"/>
        <v>245213800</v>
      </c>
      <c r="P50" s="70">
        <f t="shared" si="14"/>
        <v>259019336.94000003</v>
      </c>
      <c r="Q50" s="70">
        <f t="shared" si="5"/>
        <v>-13805536.940000027</v>
      </c>
    </row>
    <row r="51" spans="1:18" s="85" customFormat="1" x14ac:dyDescent="0.6">
      <c r="A51" s="1135">
        <f t="shared" si="6"/>
        <v>48</v>
      </c>
      <c r="B51" s="1136" t="s">
        <v>139</v>
      </c>
      <c r="C51" s="1137">
        <f t="shared" si="7"/>
        <v>0</v>
      </c>
      <c r="D51" s="1137"/>
      <c r="E51" s="1137"/>
      <c r="F51" s="1137">
        <f t="shared" si="10"/>
        <v>0</v>
      </c>
      <c r="G51" s="1138">
        <f>'State gasoline'!K51</f>
        <v>8.8900000000000007E-2</v>
      </c>
      <c r="H51" s="1139"/>
      <c r="I51" s="1134">
        <v>25501000</v>
      </c>
      <c r="J51" s="156"/>
      <c r="K51" s="156"/>
      <c r="L51" s="156">
        <f t="shared" si="11"/>
        <v>0</v>
      </c>
      <c r="M51" s="952">
        <f t="shared" si="8"/>
        <v>0</v>
      </c>
      <c r="N51" s="70">
        <f t="shared" si="12"/>
        <v>0</v>
      </c>
      <c r="O51" s="70">
        <f t="shared" si="13"/>
        <v>0</v>
      </c>
      <c r="P51" s="70">
        <f t="shared" si="14"/>
        <v>0</v>
      </c>
      <c r="Q51" s="70">
        <f t="shared" si="5"/>
        <v>0</v>
      </c>
    </row>
    <row r="52" spans="1:18" s="85" customFormat="1" x14ac:dyDescent="0.6">
      <c r="A52" s="1135">
        <f t="shared" si="6"/>
        <v>49</v>
      </c>
      <c r="B52" s="1136" t="s">
        <v>148</v>
      </c>
      <c r="C52" s="1137">
        <f t="shared" si="7"/>
        <v>0</v>
      </c>
      <c r="D52" s="1137"/>
      <c r="E52" s="1137"/>
      <c r="F52" s="1137">
        <f t="shared" si="10"/>
        <v>0</v>
      </c>
      <c r="G52" s="1138">
        <f>'State gasoline'!K52</f>
        <v>6.0699999999999997E-2</v>
      </c>
      <c r="H52" s="1139"/>
      <c r="I52" s="1134">
        <v>12164000</v>
      </c>
      <c r="J52" s="156"/>
      <c r="K52" s="156"/>
      <c r="L52" s="156">
        <f t="shared" si="11"/>
        <v>0</v>
      </c>
      <c r="M52" s="952">
        <f t="shared" si="8"/>
        <v>0</v>
      </c>
      <c r="N52" s="70">
        <f t="shared" si="12"/>
        <v>0</v>
      </c>
      <c r="O52" s="70">
        <f t="shared" si="13"/>
        <v>0</v>
      </c>
      <c r="P52" s="70">
        <f t="shared" si="14"/>
        <v>0</v>
      </c>
      <c r="Q52" s="70">
        <f t="shared" si="5"/>
        <v>0</v>
      </c>
    </row>
    <row r="53" spans="1:18" s="85" customFormat="1" x14ac:dyDescent="0.6">
      <c r="A53" s="1135">
        <f t="shared" si="6"/>
        <v>50</v>
      </c>
      <c r="B53" s="1136" t="s">
        <v>149</v>
      </c>
      <c r="C53" s="1137">
        <f t="shared" si="7"/>
        <v>0</v>
      </c>
      <c r="D53" s="1137"/>
      <c r="E53" s="1137"/>
      <c r="F53" s="1137">
        <f t="shared" si="10"/>
        <v>0</v>
      </c>
      <c r="G53" s="1138">
        <f>'State gasoline'!K53</f>
        <v>5.4300000000000001E-2</v>
      </c>
      <c r="H53" s="1139"/>
      <c r="I53" s="1134">
        <v>34419000</v>
      </c>
      <c r="J53" s="156"/>
      <c r="K53" s="156"/>
      <c r="L53" s="156">
        <f t="shared" si="11"/>
        <v>0</v>
      </c>
      <c r="M53" s="952">
        <f t="shared" si="8"/>
        <v>0</v>
      </c>
      <c r="N53" s="70">
        <f t="shared" si="12"/>
        <v>0</v>
      </c>
      <c r="O53" s="70">
        <f t="shared" si="13"/>
        <v>0</v>
      </c>
      <c r="P53" s="70">
        <f t="shared" si="14"/>
        <v>0</v>
      </c>
      <c r="Q53" s="70">
        <f t="shared" si="5"/>
        <v>0</v>
      </c>
    </row>
    <row r="54" spans="1:18" s="85" customFormat="1" x14ac:dyDescent="0.6">
      <c r="A54" s="1135">
        <f t="shared" si="6"/>
        <v>51</v>
      </c>
      <c r="B54" s="1136" t="s">
        <v>169</v>
      </c>
      <c r="C54" s="1137">
        <f t="shared" si="7"/>
        <v>0</v>
      </c>
      <c r="D54" s="1137"/>
      <c r="E54" s="1137"/>
      <c r="F54" s="1137">
        <f t="shared" si="10"/>
        <v>0</v>
      </c>
      <c r="G54" s="1138">
        <f>'State gasoline'!K54</f>
        <v>5.4699999999999999E-2</v>
      </c>
      <c r="H54" s="1139"/>
      <c r="I54" s="1134">
        <v>1195000</v>
      </c>
      <c r="J54" s="156"/>
      <c r="K54" s="156"/>
      <c r="L54" s="156">
        <f t="shared" si="11"/>
        <v>0</v>
      </c>
      <c r="M54" s="952">
        <f t="shared" si="8"/>
        <v>0</v>
      </c>
      <c r="N54" s="70">
        <f t="shared" si="12"/>
        <v>0</v>
      </c>
      <c r="O54" s="70">
        <f t="shared" si="13"/>
        <v>0</v>
      </c>
      <c r="P54" s="70">
        <f t="shared" si="14"/>
        <v>0</v>
      </c>
      <c r="Q54" s="70">
        <f t="shared" si="5"/>
        <v>0</v>
      </c>
    </row>
    <row r="55" spans="1:18" s="85" customFormat="1" x14ac:dyDescent="0.6">
      <c r="C55" s="89"/>
      <c r="D55" s="89"/>
      <c r="E55" s="89"/>
      <c r="F55" s="89"/>
      <c r="G55" s="174"/>
      <c r="H55" s="1140"/>
      <c r="I55" s="913"/>
      <c r="J55" s="156"/>
      <c r="K55" s="156"/>
      <c r="L55" s="156"/>
      <c r="M55" s="952"/>
      <c r="N55" s="70"/>
      <c r="O55" s="70"/>
      <c r="P55" s="70"/>
    </row>
    <row r="56" spans="1:18" s="104" customFormat="1" x14ac:dyDescent="0.6">
      <c r="B56" s="104" t="s">
        <v>42</v>
      </c>
      <c r="C56" s="942"/>
      <c r="D56" s="942"/>
      <c r="E56" s="942"/>
      <c r="F56" s="942">
        <f>SUMPRODUCT(F4:F54,I4:I54)/SUM(I4:I54)</f>
        <v>1.0327852606511635E-2</v>
      </c>
      <c r="G56" s="943"/>
      <c r="H56" s="1140"/>
      <c r="I56" s="951">
        <f>SUM(I4:I55)</f>
        <v>4016134000</v>
      </c>
      <c r="J56" s="881"/>
      <c r="K56" s="881"/>
      <c r="L56" s="881"/>
      <c r="M56" s="952"/>
      <c r="N56" s="593">
        <f>SUM(N4:N55)</f>
        <v>9613952121</v>
      </c>
      <c r="O56" s="593">
        <f>SUM(O4:O55)</f>
        <v>9486982144.7562523</v>
      </c>
      <c r="P56" s="593">
        <f>SUM(P4:P55)</f>
        <v>10108117991.324549</v>
      </c>
      <c r="Q56" s="593">
        <f>SUM(Q4:Q55)</f>
        <v>-494165870.32454944</v>
      </c>
    </row>
    <row r="57" spans="1:18" s="104" customFormat="1" ht="15.9" thickBot="1" x14ac:dyDescent="0.65">
      <c r="A57" s="99"/>
      <c r="B57" s="99"/>
      <c r="C57" s="944"/>
      <c r="D57" s="944"/>
      <c r="E57" s="944"/>
      <c r="F57" s="944"/>
      <c r="G57" s="945"/>
      <c r="H57" s="1141"/>
      <c r="I57" s="954"/>
      <c r="J57" s="237"/>
      <c r="K57" s="237"/>
      <c r="L57" s="237"/>
      <c r="M57" s="955"/>
      <c r="N57" s="944"/>
      <c r="O57" s="108"/>
      <c r="P57" s="944"/>
      <c r="Q57" s="944"/>
      <c r="R57" s="942"/>
    </row>
    <row r="58" spans="1:18" s="85" customFormat="1" ht="15.9" thickTop="1" x14ac:dyDescent="0.6">
      <c r="C58" s="89"/>
      <c r="D58" s="89"/>
      <c r="E58" s="89"/>
      <c r="F58" s="89"/>
      <c r="G58" s="174"/>
      <c r="H58" s="533"/>
      <c r="J58" s="156"/>
      <c r="K58" s="156"/>
      <c r="L58" s="156"/>
      <c r="M58" s="156"/>
      <c r="N58" s="181"/>
      <c r="O58" s="70"/>
      <c r="P58" s="70"/>
    </row>
    <row r="59" spans="1:18" s="85" customFormat="1" x14ac:dyDescent="0.6">
      <c r="C59" s="89"/>
      <c r="D59" s="89"/>
      <c r="E59" s="89"/>
      <c r="F59" s="89"/>
      <c r="G59" s="178"/>
      <c r="H59" s="157"/>
      <c r="I59" s="957">
        <f>I10+I23+I24+I25+I33+I34+I36+I42+I43+I49+I50</f>
        <v>3599932000</v>
      </c>
      <c r="J59" s="156"/>
      <c r="K59" s="156"/>
      <c r="L59" s="156"/>
      <c r="M59" s="156"/>
      <c r="N59" s="70"/>
      <c r="Q59" s="240" t="s">
        <v>504</v>
      </c>
    </row>
    <row r="60" spans="1:18" s="85" customFormat="1" x14ac:dyDescent="0.6">
      <c r="C60" s="89"/>
      <c r="D60" s="89"/>
      <c r="E60" s="89"/>
      <c r="F60" s="89"/>
      <c r="G60" s="178"/>
      <c r="H60" s="157"/>
      <c r="I60" s="174">
        <f>I59/I56</f>
        <v>0.89636750168196577</v>
      </c>
      <c r="J60" s="156"/>
      <c r="K60" s="156"/>
      <c r="L60" s="156"/>
      <c r="M60" s="156"/>
      <c r="N60" s="70"/>
      <c r="O60" s="70" t="s">
        <v>26</v>
      </c>
      <c r="P60" s="70">
        <f>N56-O56</f>
        <v>126969976.24374771</v>
      </c>
      <c r="Q60" s="881">
        <f>P60/$I$56</f>
        <v>3.1614975059036307E-2</v>
      </c>
    </row>
    <row r="61" spans="1:18" s="85" customFormat="1" x14ac:dyDescent="0.6">
      <c r="C61" s="89"/>
      <c r="D61" s="89"/>
      <c r="E61" s="533" t="s">
        <v>1746</v>
      </c>
      <c r="F61" s="821">
        <f>LARGE($F$4:$F$54,2)</f>
        <v>0.02</v>
      </c>
      <c r="G61" s="174"/>
      <c r="H61" s="533" t="s">
        <v>1746</v>
      </c>
      <c r="I61" s="21">
        <f>LARGE($I$4:$I$54,1)</f>
        <v>886596000</v>
      </c>
      <c r="J61" s="156"/>
      <c r="K61" s="156"/>
      <c r="L61" s="156"/>
      <c r="M61" s="156"/>
      <c r="N61" s="70"/>
      <c r="O61" s="70" t="s">
        <v>654</v>
      </c>
      <c r="P61" s="70">
        <f>P56-O56</f>
        <v>621135846.56829643</v>
      </c>
      <c r="Q61" s="881">
        <f>P61/$I$56</f>
        <v>0.15466013996751513</v>
      </c>
    </row>
    <row r="62" spans="1:18" s="85" customFormat="1" x14ac:dyDescent="0.6">
      <c r="C62" s="89"/>
      <c r="D62" s="89"/>
      <c r="E62" s="533" t="s">
        <v>1744</v>
      </c>
      <c r="F62" s="821">
        <f t="shared" ref="F62" si="17">LARGE($F$4:$F$54,1)</f>
        <v>4.4999999999999998E-2</v>
      </c>
      <c r="G62" s="174"/>
      <c r="H62" s="533" t="s">
        <v>1744</v>
      </c>
      <c r="I62" s="21">
        <f>LARGE($I$4:$I$54,2)</f>
        <v>631690000</v>
      </c>
      <c r="J62" s="156"/>
      <c r="K62" s="156"/>
      <c r="L62" s="156"/>
      <c r="M62" s="156"/>
      <c r="N62" s="70"/>
      <c r="O62" s="70" t="s">
        <v>602</v>
      </c>
      <c r="P62" s="70">
        <f>P60-P61</f>
        <v>-494165870.32454872</v>
      </c>
      <c r="Q62" s="881">
        <f>P62/$I$56</f>
        <v>-0.12304516490847883</v>
      </c>
    </row>
    <row r="63" spans="1:18" s="85" customFormat="1" x14ac:dyDescent="0.6">
      <c r="C63" s="89"/>
      <c r="D63" s="89"/>
      <c r="E63" s="533" t="s">
        <v>1745</v>
      </c>
      <c r="F63" s="821">
        <f>LARGE($F$4:$F$54,3)</f>
        <v>0</v>
      </c>
      <c r="G63" s="174"/>
      <c r="H63" s="533" t="s">
        <v>1745</v>
      </c>
      <c r="I63" s="21">
        <f>LARGE($I$4:$I$54,3)</f>
        <v>606641000</v>
      </c>
      <c r="J63" s="156"/>
      <c r="K63" s="156"/>
      <c r="L63" s="156"/>
      <c r="M63" s="156"/>
      <c r="N63" s="70"/>
      <c r="O63" s="70"/>
      <c r="Q63" s="70"/>
    </row>
    <row r="64" spans="1:18" s="85" customFormat="1" x14ac:dyDescent="0.6">
      <c r="C64" s="89"/>
      <c r="D64" s="89"/>
      <c r="E64" s="89"/>
      <c r="F64" s="89"/>
      <c r="G64" s="174"/>
      <c r="H64" s="533"/>
      <c r="J64" s="156"/>
      <c r="K64" s="156"/>
      <c r="L64" s="156"/>
      <c r="M64" s="156"/>
      <c r="N64" s="70"/>
      <c r="O64" s="70" t="s">
        <v>686</v>
      </c>
      <c r="Q64" s="506">
        <f>O56/I56</f>
        <v>2.3622175317746499</v>
      </c>
    </row>
    <row r="65" spans="3:18" s="85" customFormat="1" x14ac:dyDescent="0.6">
      <c r="C65" s="89"/>
      <c r="D65" s="89"/>
      <c r="E65" s="89"/>
      <c r="F65" s="89"/>
      <c r="G65" s="174"/>
      <c r="H65" s="533"/>
      <c r="J65" s="156"/>
      <c r="K65" s="156"/>
      <c r="L65" s="156"/>
      <c r="M65" s="156"/>
      <c r="N65" s="70"/>
      <c r="O65" s="70" t="s">
        <v>645</v>
      </c>
      <c r="Q65" s="506">
        <f>N56/I56</f>
        <v>2.3938325068336863</v>
      </c>
    </row>
    <row r="66" spans="3:18" s="85" customFormat="1" x14ac:dyDescent="0.6">
      <c r="C66" s="89"/>
      <c r="D66" s="89"/>
      <c r="E66" s="89"/>
      <c r="F66" s="89"/>
      <c r="G66" s="174"/>
      <c r="H66" s="533"/>
      <c r="J66" s="156"/>
      <c r="K66" s="156"/>
      <c r="L66" s="156"/>
      <c r="M66" s="156"/>
      <c r="N66" s="70"/>
      <c r="O66" s="70"/>
      <c r="P66" s="70"/>
    </row>
    <row r="67" spans="3:18" s="85" customFormat="1" x14ac:dyDescent="0.6">
      <c r="C67" s="89"/>
      <c r="D67" s="89"/>
      <c r="E67" s="89"/>
      <c r="F67" s="89"/>
      <c r="G67" s="174"/>
      <c r="H67" s="533"/>
      <c r="J67" s="156"/>
      <c r="K67" s="156"/>
      <c r="L67" s="156"/>
      <c r="M67" s="156"/>
      <c r="N67" s="70"/>
      <c r="O67" s="17"/>
      <c r="P67" s="1" t="s">
        <v>180</v>
      </c>
      <c r="Q67" s="17">
        <f>SMALL($Q$4:$Q$54,1)</f>
        <v>-108773480.53599954</v>
      </c>
      <c r="R67" s="826"/>
    </row>
    <row r="68" spans="3:18" s="85" customFormat="1" x14ac:dyDescent="0.6">
      <c r="C68" s="89"/>
      <c r="D68" s="89"/>
      <c r="E68" s="89"/>
      <c r="F68" s="89"/>
      <c r="G68" s="174"/>
      <c r="H68" s="533"/>
      <c r="J68" s="156"/>
      <c r="K68" s="156"/>
      <c r="L68" s="156"/>
      <c r="M68" s="156"/>
      <c r="N68" s="70"/>
      <c r="O68" s="1"/>
      <c r="P68" s="1" t="s">
        <v>142</v>
      </c>
      <c r="Q68" s="17">
        <f>SMALL($Q$4:$Q$54,2)</f>
        <v>-99451208.937499762</v>
      </c>
      <c r="R68" s="17"/>
    </row>
    <row r="69" spans="3:18" s="85" customFormat="1" x14ac:dyDescent="0.6">
      <c r="C69" s="89"/>
      <c r="D69" s="89"/>
      <c r="E69" s="89"/>
      <c r="F69" s="89"/>
      <c r="G69" s="174"/>
      <c r="H69" s="533"/>
      <c r="J69" s="156"/>
      <c r="K69" s="156"/>
      <c r="L69" s="156"/>
      <c r="M69" s="156"/>
      <c r="N69" s="70"/>
      <c r="O69" s="1"/>
      <c r="P69" s="1" t="s">
        <v>138</v>
      </c>
      <c r="Q69" s="17">
        <f>SMALL($Q$4:$Q$54,3)</f>
        <v>-91711187.074450016</v>
      </c>
      <c r="R69" s="17"/>
    </row>
    <row r="70" spans="3:18" s="85" customFormat="1" x14ac:dyDescent="0.6">
      <c r="C70" s="89"/>
      <c r="D70" s="89"/>
      <c r="E70" s="89"/>
      <c r="F70" s="89"/>
      <c r="G70" s="174"/>
      <c r="H70" s="533"/>
      <c r="J70" s="156"/>
      <c r="K70" s="156"/>
      <c r="L70" s="156"/>
      <c r="M70" s="156"/>
      <c r="N70" s="70"/>
      <c r="O70" s="1"/>
      <c r="P70" s="1"/>
      <c r="Q70" s="70"/>
      <c r="R70" s="17"/>
    </row>
    <row r="71" spans="3:18" s="85" customFormat="1" x14ac:dyDescent="0.6">
      <c r="C71" s="89"/>
      <c r="D71" s="89"/>
      <c r="E71" s="89"/>
      <c r="F71" s="89"/>
      <c r="G71" s="174"/>
      <c r="H71" s="533"/>
      <c r="J71" s="156"/>
      <c r="K71" s="156"/>
      <c r="L71" s="156"/>
      <c r="M71" s="156"/>
      <c r="N71" s="70"/>
      <c r="O71" s="1"/>
      <c r="P71" s="1" t="s">
        <v>852</v>
      </c>
      <c r="Q71" s="891">
        <f>SUM(Q4:Q54)</f>
        <v>-494165870.32454944</v>
      </c>
      <c r="R71" s="929">
        <v>51</v>
      </c>
    </row>
    <row r="72" spans="3:18" s="85" customFormat="1" x14ac:dyDescent="0.6">
      <c r="C72" s="89"/>
      <c r="D72" s="89"/>
      <c r="E72" s="89"/>
      <c r="F72" s="89"/>
      <c r="G72" s="174"/>
      <c r="H72" s="533"/>
      <c r="J72" s="156"/>
      <c r="K72" s="156"/>
      <c r="L72" s="156"/>
      <c r="M72" s="156"/>
      <c r="N72" s="70"/>
      <c r="O72" s="1"/>
      <c r="P72" s="1" t="s">
        <v>853</v>
      </c>
      <c r="Q72" s="891">
        <v>0</v>
      </c>
      <c r="R72" s="929">
        <v>0</v>
      </c>
    </row>
    <row r="73" spans="3:18" s="85" customFormat="1" x14ac:dyDescent="0.6">
      <c r="C73" s="89"/>
      <c r="D73" s="89"/>
      <c r="E73" s="89"/>
      <c r="F73" s="89"/>
      <c r="G73" s="174"/>
      <c r="H73" s="533"/>
      <c r="J73" s="156"/>
      <c r="K73" s="156"/>
      <c r="L73" s="156"/>
      <c r="M73" s="156"/>
      <c r="N73" s="70"/>
      <c r="O73" s="1"/>
      <c r="P73" s="1"/>
      <c r="Q73" s="70"/>
      <c r="R73" s="17"/>
    </row>
    <row r="74" spans="3:18" s="85" customFormat="1" x14ac:dyDescent="0.6">
      <c r="C74" s="89"/>
      <c r="D74" s="89"/>
      <c r="E74" s="89"/>
      <c r="F74" s="89"/>
      <c r="G74" s="174"/>
      <c r="H74" s="533"/>
      <c r="J74" s="156"/>
      <c r="K74" s="156"/>
      <c r="L74" s="156"/>
      <c r="M74" s="156"/>
      <c r="N74" s="70"/>
      <c r="O74" s="1"/>
      <c r="P74" s="1"/>
      <c r="Q74" s="891"/>
      <c r="R74" s="17"/>
    </row>
    <row r="75" spans="3:18" s="85" customFormat="1" x14ac:dyDescent="0.6">
      <c r="C75" s="89"/>
      <c r="D75" s="89"/>
      <c r="E75" s="89"/>
      <c r="F75" s="89"/>
      <c r="G75" s="174"/>
      <c r="H75" s="533"/>
      <c r="J75" s="156"/>
      <c r="K75" s="156"/>
      <c r="L75" s="156"/>
      <c r="M75" s="156"/>
      <c r="N75" s="70"/>
      <c r="O75" s="1"/>
    </row>
    <row r="76" spans="3:18" s="85" customFormat="1" x14ac:dyDescent="0.6">
      <c r="C76" s="89"/>
      <c r="D76" s="89"/>
      <c r="E76" s="89"/>
      <c r="F76" s="89"/>
      <c r="G76" s="174"/>
      <c r="H76" s="533"/>
      <c r="J76" s="156"/>
      <c r="K76" s="156"/>
      <c r="L76" s="156"/>
      <c r="M76" s="156"/>
      <c r="N76" s="70"/>
      <c r="O76" s="1"/>
    </row>
    <row r="77" spans="3:18" s="85" customFormat="1" x14ac:dyDescent="0.6">
      <c r="C77" s="89"/>
      <c r="D77" s="89"/>
      <c r="E77" s="89"/>
      <c r="F77" s="89"/>
      <c r="G77" s="174"/>
      <c r="H77" s="533"/>
      <c r="J77" s="156"/>
      <c r="K77" s="156"/>
      <c r="L77" s="156"/>
      <c r="M77" s="156"/>
      <c r="N77" s="70"/>
      <c r="O77" s="17"/>
      <c r="P77" s="17"/>
      <c r="Q77" s="891"/>
      <c r="R77" s="1"/>
    </row>
    <row r="78" spans="3:18" s="85" customFormat="1" x14ac:dyDescent="0.6">
      <c r="C78" s="89"/>
      <c r="D78" s="89"/>
      <c r="E78" s="89"/>
      <c r="F78" s="89"/>
      <c r="G78" s="174"/>
      <c r="H78" s="533"/>
      <c r="J78" s="156"/>
      <c r="K78" s="156"/>
      <c r="L78" s="156"/>
      <c r="M78" s="156"/>
      <c r="N78" s="70"/>
      <c r="O78" s="17"/>
      <c r="P78" s="17"/>
      <c r="Q78" s="891"/>
      <c r="R78" s="1"/>
    </row>
    <row r="79" spans="3:18" s="85" customFormat="1" x14ac:dyDescent="0.6">
      <c r="C79" s="89"/>
      <c r="D79" s="89"/>
      <c r="E79" s="89"/>
      <c r="F79" s="89"/>
      <c r="G79" s="174"/>
      <c r="H79" s="533"/>
      <c r="J79" s="156"/>
      <c r="K79" s="156"/>
      <c r="L79" s="156"/>
      <c r="M79" s="156"/>
      <c r="N79" s="70"/>
      <c r="O79" s="17"/>
      <c r="P79" s="17"/>
      <c r="Q79" s="891"/>
      <c r="R79" s="1"/>
    </row>
    <row r="80" spans="3:18" s="1" customFormat="1" x14ac:dyDescent="0.6">
      <c r="C80" s="55"/>
      <c r="D80" s="55"/>
      <c r="E80" s="55"/>
      <c r="F80" s="55"/>
      <c r="G80" s="96"/>
      <c r="H80" s="97"/>
      <c r="I80" s="13"/>
      <c r="J80" s="360"/>
      <c r="K80" s="54"/>
      <c r="L80" s="54"/>
      <c r="M80" s="54"/>
      <c r="N80" s="17"/>
      <c r="O80" s="70"/>
      <c r="P80" s="17"/>
    </row>
    <row r="81" spans="3:10" s="1" customFormat="1" x14ac:dyDescent="0.6">
      <c r="C81" s="55"/>
      <c r="D81" s="55"/>
      <c r="E81" s="55"/>
      <c r="F81" s="55"/>
      <c r="G81" s="96"/>
      <c r="H81" s="97"/>
      <c r="I81" s="13"/>
      <c r="J81" s="360"/>
    </row>
    <row r="82" spans="3:10" s="1" customFormat="1" x14ac:dyDescent="0.6">
      <c r="C82" s="89"/>
      <c r="D82" s="89"/>
      <c r="E82" s="89"/>
      <c r="F82" s="89"/>
      <c r="G82" s="174"/>
      <c r="H82" s="533"/>
      <c r="I82" s="21"/>
      <c r="J82" s="54"/>
    </row>
    <row r="83" spans="3:10" s="1" customFormat="1" x14ac:dyDescent="0.6">
      <c r="C83" s="55"/>
      <c r="D83" s="55"/>
      <c r="E83" s="55"/>
      <c r="F83" s="55"/>
      <c r="G83" s="96"/>
      <c r="H83" s="97"/>
      <c r="I83" s="13"/>
      <c r="J83" s="54"/>
    </row>
    <row r="84" spans="3:10" s="1" customFormat="1" x14ac:dyDescent="0.6">
      <c r="C84" s="55"/>
      <c r="D84" s="55"/>
      <c r="E84" s="55"/>
      <c r="F84" s="55"/>
      <c r="G84" s="96"/>
      <c r="H84" s="97"/>
      <c r="I84" s="13"/>
      <c r="J84" s="54"/>
    </row>
    <row r="85" spans="3:10" s="1" customFormat="1" x14ac:dyDescent="0.6">
      <c r="C85" s="55"/>
      <c r="D85" s="55"/>
      <c r="E85" s="55"/>
      <c r="F85" s="55"/>
      <c r="G85" s="96"/>
      <c r="H85" s="97"/>
      <c r="I85" s="13"/>
      <c r="J85" s="54"/>
    </row>
    <row r="86" spans="3:10" s="1" customFormat="1" x14ac:dyDescent="0.6">
      <c r="C86" s="55"/>
      <c r="D86" s="55"/>
      <c r="E86" s="55"/>
      <c r="F86" s="55"/>
      <c r="G86" s="96"/>
      <c r="H86" s="97"/>
      <c r="I86" s="13"/>
      <c r="J86" s="54"/>
    </row>
    <row r="87" spans="3:10" s="1" customFormat="1" x14ac:dyDescent="0.6">
      <c r="C87" s="55"/>
      <c r="D87" s="55"/>
      <c r="E87" s="55"/>
      <c r="F87" s="55"/>
      <c r="G87" s="96"/>
      <c r="H87" s="97"/>
      <c r="I87" s="13"/>
      <c r="J87" s="54"/>
    </row>
    <row r="88" spans="3:10" s="1" customFormat="1" x14ac:dyDescent="0.6">
      <c r="C88" s="55"/>
      <c r="D88" s="55"/>
      <c r="E88" s="55"/>
      <c r="F88" s="55"/>
      <c r="G88" s="96"/>
      <c r="H88" s="97"/>
      <c r="I88" s="13"/>
      <c r="J88" s="54"/>
    </row>
    <row r="89" spans="3:10" s="1" customFormat="1" x14ac:dyDescent="0.6">
      <c r="C89" s="55"/>
      <c r="D89" s="55"/>
      <c r="E89" s="55"/>
      <c r="F89" s="55"/>
      <c r="G89" s="96"/>
      <c r="H89" s="97"/>
      <c r="I89" s="13"/>
      <c r="J89" s="54"/>
    </row>
    <row r="90" spans="3:10" s="1" customFormat="1" x14ac:dyDescent="0.6">
      <c r="C90" s="55"/>
      <c r="D90" s="55"/>
      <c r="E90" s="55"/>
      <c r="F90" s="55"/>
      <c r="G90" s="96"/>
      <c r="H90" s="97"/>
      <c r="I90" s="13"/>
      <c r="J90" s="54"/>
    </row>
    <row r="91" spans="3:10" s="1" customFormat="1" x14ac:dyDescent="0.6">
      <c r="C91" s="55"/>
      <c r="D91" s="55"/>
      <c r="E91" s="55"/>
      <c r="F91" s="55"/>
      <c r="G91" s="96"/>
      <c r="H91" s="97"/>
      <c r="I91" s="13"/>
      <c r="J91" s="54"/>
    </row>
    <row r="92" spans="3:10" s="1" customFormat="1" x14ac:dyDescent="0.6">
      <c r="C92" s="55"/>
      <c r="D92" s="55"/>
      <c r="E92" s="55"/>
      <c r="F92" s="55"/>
      <c r="G92" s="96"/>
      <c r="H92" s="97"/>
      <c r="I92" s="13"/>
      <c r="J92" s="54"/>
    </row>
    <row r="93" spans="3:10" s="1" customFormat="1" x14ac:dyDescent="0.6">
      <c r="C93" s="55"/>
      <c r="D93" s="55"/>
      <c r="E93" s="55"/>
      <c r="F93" s="55"/>
      <c r="G93" s="96"/>
      <c r="H93" s="97"/>
      <c r="I93" s="13"/>
      <c r="J93" s="54"/>
    </row>
    <row r="94" spans="3:10" s="1" customFormat="1" x14ac:dyDescent="0.6">
      <c r="C94" s="55"/>
      <c r="D94" s="55"/>
      <c r="E94" s="55"/>
      <c r="F94" s="55"/>
      <c r="G94" s="96"/>
      <c r="H94" s="97"/>
      <c r="I94" s="13"/>
      <c r="J94" s="54"/>
    </row>
    <row r="95" spans="3:10" s="1" customFormat="1" x14ac:dyDescent="0.6">
      <c r="C95" s="55"/>
      <c r="D95" s="55"/>
      <c r="E95" s="55"/>
      <c r="F95" s="55"/>
      <c r="G95" s="96"/>
      <c r="H95" s="97"/>
      <c r="I95" s="13"/>
      <c r="J95" s="54"/>
    </row>
    <row r="96" spans="3:10" s="1" customFormat="1" x14ac:dyDescent="0.6">
      <c r="C96" s="55"/>
      <c r="D96" s="55"/>
      <c r="E96" s="55"/>
      <c r="F96" s="55"/>
      <c r="G96" s="96"/>
      <c r="H96" s="97"/>
      <c r="I96" s="13"/>
      <c r="J96" s="54"/>
    </row>
    <row r="97" spans="3:9" s="1" customFormat="1" x14ac:dyDescent="0.6">
      <c r="C97" s="55"/>
      <c r="D97" s="55"/>
      <c r="E97" s="55"/>
      <c r="F97" s="55"/>
      <c r="G97" s="96"/>
      <c r="H97" s="97"/>
      <c r="I97" s="13"/>
    </row>
    <row r="98" spans="3:9" s="1" customFormat="1" x14ac:dyDescent="0.6">
      <c r="C98" s="55"/>
      <c r="D98" s="55"/>
      <c r="E98" s="55"/>
      <c r="F98" s="55"/>
      <c r="G98" s="96"/>
      <c r="H98" s="97"/>
      <c r="I98" s="13"/>
    </row>
    <row r="99" spans="3:9" s="1" customFormat="1" x14ac:dyDescent="0.6">
      <c r="C99" s="89"/>
      <c r="D99" s="89"/>
      <c r="E99" s="89"/>
      <c r="F99" s="89"/>
      <c r="G99" s="174"/>
      <c r="H99" s="533"/>
      <c r="I99" s="21"/>
    </row>
    <row r="100" spans="3:9" s="1" customFormat="1" x14ac:dyDescent="0.6">
      <c r="C100" s="55"/>
      <c r="D100" s="55"/>
      <c r="E100" s="55"/>
      <c r="F100" s="55"/>
      <c r="G100" s="96"/>
      <c r="H100" s="97"/>
      <c r="I100" s="13"/>
    </row>
    <row r="101" spans="3:9" s="1" customFormat="1" x14ac:dyDescent="0.6">
      <c r="C101" s="89"/>
      <c r="D101" s="89"/>
      <c r="E101" s="89"/>
      <c r="F101" s="89"/>
      <c r="G101" s="174"/>
      <c r="H101" s="533"/>
      <c r="I101" s="21"/>
    </row>
    <row r="102" spans="3:9" s="1" customFormat="1" x14ac:dyDescent="0.6">
      <c r="C102" s="55"/>
      <c r="D102" s="55"/>
      <c r="E102" s="55"/>
      <c r="F102" s="55"/>
      <c r="G102" s="96"/>
      <c r="H102" s="97"/>
      <c r="I102" s="13"/>
    </row>
    <row r="103" spans="3:9" s="1" customFormat="1" x14ac:dyDescent="0.6">
      <c r="C103" s="55"/>
      <c r="D103" s="55"/>
      <c r="E103" s="55"/>
      <c r="F103" s="55"/>
      <c r="G103" s="96"/>
      <c r="H103" s="97"/>
      <c r="I103" s="13"/>
    </row>
    <row r="104" spans="3:9" s="1" customFormat="1" x14ac:dyDescent="0.6">
      <c r="C104" s="55"/>
      <c r="D104" s="55"/>
      <c r="E104" s="55"/>
      <c r="F104" s="55"/>
      <c r="G104" s="96"/>
      <c r="H104" s="97"/>
      <c r="I104" s="13"/>
    </row>
    <row r="105" spans="3:9" s="1" customFormat="1" x14ac:dyDescent="0.6">
      <c r="C105" s="55"/>
      <c r="D105" s="55"/>
      <c r="E105" s="55"/>
      <c r="F105" s="55"/>
      <c r="G105" s="96"/>
      <c r="H105" s="97"/>
      <c r="I105" s="13"/>
    </row>
    <row r="106" spans="3:9" s="1" customFormat="1" x14ac:dyDescent="0.6">
      <c r="C106" s="55"/>
      <c r="D106" s="55"/>
      <c r="E106" s="55"/>
      <c r="F106" s="55"/>
      <c r="G106" s="96"/>
      <c r="H106" s="97"/>
      <c r="I106" s="13"/>
    </row>
    <row r="107" spans="3:9" s="1" customFormat="1" x14ac:dyDescent="0.6">
      <c r="C107" s="89"/>
      <c r="D107" s="89"/>
      <c r="E107" s="89"/>
      <c r="F107" s="89"/>
      <c r="G107" s="174"/>
      <c r="H107" s="533"/>
      <c r="I107" s="21"/>
    </row>
    <row r="108" spans="3:9" s="1" customFormat="1" x14ac:dyDescent="0.6">
      <c r="C108" s="55"/>
      <c r="D108" s="55"/>
      <c r="E108" s="55"/>
      <c r="F108" s="55"/>
      <c r="G108" s="96"/>
      <c r="H108" s="97"/>
      <c r="I108" s="13"/>
    </row>
    <row r="109" spans="3:9" s="1" customFormat="1" x14ac:dyDescent="0.6">
      <c r="C109" s="55"/>
      <c r="D109" s="55"/>
      <c r="E109" s="55"/>
      <c r="F109" s="55"/>
      <c r="G109" s="96"/>
      <c r="H109" s="97"/>
      <c r="I109" s="13"/>
    </row>
    <row r="110" spans="3:9" s="1" customFormat="1" x14ac:dyDescent="0.6">
      <c r="C110" s="55"/>
      <c r="D110" s="55"/>
      <c r="E110" s="55"/>
      <c r="F110" s="55"/>
      <c r="G110" s="96"/>
      <c r="H110" s="97"/>
      <c r="I110" s="13"/>
    </row>
    <row r="111" spans="3:9" s="1" customFormat="1" x14ac:dyDescent="0.6">
      <c r="C111" s="89"/>
      <c r="D111" s="89"/>
      <c r="E111" s="89"/>
      <c r="F111" s="89"/>
      <c r="G111" s="174"/>
      <c r="H111" s="533"/>
      <c r="I111" s="21"/>
    </row>
    <row r="112" spans="3:9" s="1" customFormat="1" x14ac:dyDescent="0.6">
      <c r="C112" s="55"/>
      <c r="D112" s="55"/>
      <c r="E112" s="55"/>
      <c r="F112" s="55"/>
      <c r="G112" s="96"/>
      <c r="H112" s="97"/>
      <c r="I112" s="13"/>
    </row>
    <row r="113" spans="3:9" s="1" customFormat="1" x14ac:dyDescent="0.6">
      <c r="C113" s="55"/>
      <c r="D113" s="55"/>
      <c r="E113" s="55"/>
      <c r="F113" s="55"/>
      <c r="G113" s="96"/>
      <c r="H113" s="97"/>
      <c r="I113" s="13"/>
    </row>
    <row r="114" spans="3:9" s="1" customFormat="1" x14ac:dyDescent="0.6">
      <c r="C114" s="55"/>
      <c r="D114" s="55"/>
      <c r="E114" s="55"/>
      <c r="F114" s="55"/>
      <c r="G114" s="96"/>
      <c r="H114" s="97"/>
      <c r="I114" s="13"/>
    </row>
    <row r="115" spans="3:9" s="1" customFormat="1" x14ac:dyDescent="0.6">
      <c r="C115" s="55"/>
      <c r="D115" s="55"/>
      <c r="E115" s="55"/>
      <c r="F115" s="55"/>
      <c r="G115" s="96"/>
      <c r="H115" s="97"/>
      <c r="I115" s="13"/>
    </row>
    <row r="116" spans="3:9" s="1" customFormat="1" x14ac:dyDescent="0.6">
      <c r="C116" s="55"/>
      <c r="D116" s="55"/>
      <c r="E116" s="55"/>
      <c r="F116" s="55"/>
      <c r="G116" s="96"/>
      <c r="H116" s="97"/>
      <c r="I116" s="13"/>
    </row>
    <row r="117" spans="3:9" s="1" customFormat="1" x14ac:dyDescent="0.6">
      <c r="C117" s="89"/>
      <c r="D117" s="89"/>
      <c r="E117" s="89"/>
      <c r="F117" s="89"/>
      <c r="G117" s="174"/>
      <c r="H117" s="533"/>
      <c r="I117" s="21"/>
    </row>
    <row r="118" spans="3:9" s="1" customFormat="1" x14ac:dyDescent="0.6">
      <c r="C118" s="55"/>
      <c r="D118" s="55"/>
      <c r="E118" s="55"/>
      <c r="F118" s="55"/>
      <c r="G118" s="96"/>
      <c r="H118" s="97"/>
      <c r="I118" s="13"/>
    </row>
    <row r="119" spans="3:9" s="1" customFormat="1" x14ac:dyDescent="0.6">
      <c r="C119" s="55"/>
      <c r="D119" s="55"/>
      <c r="E119" s="55"/>
      <c r="F119" s="55"/>
      <c r="G119" s="96"/>
      <c r="H119" s="97"/>
      <c r="I119" s="13"/>
    </row>
  </sheetData>
  <sortState xmlns:xlrd2="http://schemas.microsoft.com/office/spreadsheetml/2017/richdata2" ref="B80:I130">
    <sortCondition descending="1" ref="I80:I130"/>
  </sortState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Cover</vt:lpstr>
      <vt:lpstr>Summary</vt:lpstr>
      <vt:lpstr>Assumptions</vt:lpstr>
      <vt:lpstr>Gasoline</vt:lpstr>
      <vt:lpstr>State gasoline</vt:lpstr>
      <vt:lpstr>Diesel</vt:lpstr>
      <vt:lpstr>State diesel</vt:lpstr>
      <vt:lpstr>Res dist</vt:lpstr>
      <vt:lpstr>State Res Dist</vt:lpstr>
      <vt:lpstr>Com dist</vt:lpstr>
      <vt:lpstr>State Com Dist</vt:lpstr>
      <vt:lpstr>Ind dist</vt:lpstr>
      <vt:lpstr>State Ind Dist</vt:lpstr>
      <vt:lpstr>LPG transport</vt:lpstr>
      <vt:lpstr>State LPG-Transport</vt:lpstr>
      <vt:lpstr>LPG Res</vt:lpstr>
      <vt:lpstr>State LPG - Res</vt:lpstr>
      <vt:lpstr>LPG Comm</vt:lpstr>
      <vt:lpstr>State LPG - Comm</vt:lpstr>
      <vt:lpstr>LPG Ind</vt:lpstr>
      <vt:lpstr>State LPG - Ind</vt:lpstr>
      <vt:lpstr>Jet</vt:lpstr>
      <vt:lpstr>State Jet</vt:lpstr>
      <vt:lpstr>Kero-Res</vt:lpstr>
      <vt:lpstr>State kero - Res</vt:lpstr>
      <vt:lpstr>Kero-Comm</vt:lpstr>
      <vt:lpstr>Kero Ind</vt:lpstr>
      <vt:lpstr>HFO</vt:lpstr>
      <vt:lpstr>Other petroleum products</vt:lpstr>
      <vt:lpstr>Crude</vt:lpstr>
      <vt:lpstr>State Sev Tax</vt:lpstr>
      <vt:lpstr>Coal</vt:lpstr>
      <vt:lpstr>State Coal Cons</vt:lpstr>
      <vt:lpstr>NG transport</vt:lpstr>
      <vt:lpstr>NG Res</vt:lpstr>
      <vt:lpstr>State NG Res</vt:lpstr>
      <vt:lpstr>NG Comm</vt:lpstr>
      <vt:lpstr>State NG Comm</vt:lpstr>
      <vt:lpstr>NG Ind</vt:lpstr>
      <vt:lpstr>State NG Ind</vt:lpstr>
      <vt:lpstr>Electricity - Res</vt:lpstr>
      <vt:lpstr>State Elec Res</vt:lpstr>
      <vt:lpstr>Electricity-Com</vt:lpstr>
      <vt:lpstr>State Elec Comm</vt:lpstr>
      <vt:lpstr>Electricity - Ind</vt:lpstr>
      <vt:lpstr>State Elec Ind</vt:lpstr>
      <vt:lpstr>OECD gasoline subsidies</vt:lpstr>
      <vt:lpstr>OECD distillate subsidies</vt:lpstr>
      <vt:lpstr>OECD LPG subsidies</vt:lpstr>
      <vt:lpstr>OECD Jet subsidies</vt:lpstr>
      <vt:lpstr>OECD other kero subsidies</vt:lpstr>
      <vt:lpstr>OECD HFO subsidies</vt:lpstr>
      <vt:lpstr>OECD Other oil subsidies</vt:lpstr>
      <vt:lpstr>OECD crude subsidies</vt:lpstr>
      <vt:lpstr>OECD coal subsidies</vt:lpstr>
      <vt:lpstr>OECD NG subsidies</vt:lpstr>
      <vt:lpstr>OECD electricity subsidies</vt:lpstr>
      <vt:lpstr>Oil Prod subsidies</vt:lpstr>
    </vt:vector>
  </TitlesOfParts>
  <Company>Self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Everett</dc:creator>
  <cp:lastModifiedBy>Gregory Wrightstone</cp:lastModifiedBy>
  <dcterms:created xsi:type="dcterms:W3CDTF">2016-02-17T00:29:41Z</dcterms:created>
  <dcterms:modified xsi:type="dcterms:W3CDTF">2021-08-08T18:47:59Z</dcterms:modified>
</cp:coreProperties>
</file>